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2_Notice/"/>
    </mc:Choice>
  </mc:AlternateContent>
  <bookViews>
    <workbookView xWindow="-15" yWindow="-15" windowWidth="14400" windowHeight="8535" tabRatio="926" firstSheet="3" activeTab="13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  <externalReference r:id="rId16"/>
    <externalReference r:id="rId17"/>
  </externalReferences>
  <definedNames>
    <definedName name="ADD">'R5 Input page'!$D$76:$M$76</definedName>
    <definedName name="ADDSF6">'[1]R5 Input page'!$F$98:$M$98</definedName>
    <definedName name="AFFTIRG">'R5 Input page'!$F$101:$M$101</definedName>
    <definedName name="AFFTIRG2">'R5 Input page'!$F$110:$M$110</definedName>
    <definedName name="AFFTIRG3">'R5 Input page'!$F$119:$M$119</definedName>
    <definedName name="AFFTIRG4">'R5 Input page'!$F$128:$M$128</definedName>
    <definedName name="AFFTIRG5">'R5 Input page'!$F$137:$M$137</definedName>
    <definedName name="AFFTIRGDepn">'R5 Input page'!$F$102:$M$102</definedName>
    <definedName name="AFFTIRGDepn2">'R5 Input page'!$F$111:$M$111</definedName>
    <definedName name="AFFTIRGDepn3">'R5 Input page'!$F$120:$M$120</definedName>
    <definedName name="AFFTIRGDepn4">'R5 Input page'!$F$129:$M$129</definedName>
    <definedName name="AFFTIRGDepn5">'R5 Input page'!$F$138:$M$138</definedName>
    <definedName name="ALE">'R5 Input page'!$D$80:$M$80</definedName>
    <definedName name="ANIA">'R9 Innovation incentive'!$F$27:$M$27</definedName>
    <definedName name="ATIRG">'R5 Input page'!$F$105:$M$105</definedName>
    <definedName name="ATIRG2">'R5 Input page'!$F$114:$M$114</definedName>
    <definedName name="ATIRG3">'R5 Input page'!$F$123:$M$123</definedName>
    <definedName name="ATIRG4">'R5 Input page'!$F$132:$M$132</definedName>
    <definedName name="ATIRG5">'R5 Input page'!$F$141:$M$141</definedName>
    <definedName name="BASE">'R5 Input page'!$E$75</definedName>
    <definedName name="BPC">'R5 Input page'!$F$93:$M$93</definedName>
    <definedName name="BR" comment="Transmission Base Revenue">'R6 Base revenue'!$F$14:$M$14</definedName>
    <definedName name="CCTIRG">'R4 Licence Condition Values'!$D$82:$M$82</definedName>
    <definedName name="CF">'R4 Licence Condition Values'!$F$45:$M$45</definedName>
    <definedName name="CFTIRG1">'R4 Licence Condition Values'!$F$75:$M$75</definedName>
    <definedName name="CFTIRG2">'R4 Licence Condition Values'!$F$86:$M$86</definedName>
    <definedName name="CFTIRG3">'R4 Licence Condition Values'!$F$96:$M$96</definedName>
    <definedName name="cftirg4">'R4 Licence Condition Values'!$F$106:$M$106</definedName>
    <definedName name="CFTIRG5">'R4 Licence Condition Values'!$F$116:$M$116</definedName>
    <definedName name="CompName">'R5 Input page'!$E$6</definedName>
    <definedName name="CONADJ">'R8 Output incentives'!$H$151:$M$151</definedName>
    <definedName name="CSSPRO">'R4 Licence Condition Values'!#REF!</definedName>
    <definedName name="CTE">'R5 Input page'!#REF!</definedName>
    <definedName name="Dep">'R4 Licence Condition Values'!$E$79:$M$79</definedName>
    <definedName name="Dep_3">'R4 Licence Condition Values'!$F$100:$M$100</definedName>
    <definedName name="Dep_4">'R4 Licence Condition Values'!$F$110:$M$110</definedName>
    <definedName name="Dep_5">'R4 Licence Condition Values'!$F$120:$M$120</definedName>
    <definedName name="DIS">'R5 Input page'!#REF!</definedName>
    <definedName name="DSP">'R5 Input page'!$D$78:$M$78</definedName>
    <definedName name="EDR">'R8 Output incentives'!$F$137:$M$137</definedName>
    <definedName name="EDRO">'R5 Input page'!$F$83:$M$83</definedName>
    <definedName name="ENIA">'R5 Input page'!$F$92:$M$92</definedName>
    <definedName name="ENSA">'R5 Input page'!$D$61:$M$61</definedName>
    <definedName name="ENST">'R4 Licence Condition Values'!$D$23:$M$23</definedName>
    <definedName name="ETIRGC">'R4 Licence Condition Values'!$E$80:$M$80</definedName>
    <definedName name="ETIRGC2">'R4 Licence Condition Values'!$F$91:$M$91</definedName>
    <definedName name="ETIRGC3">'R4 Licence Condition Values'!$F$101:$M$101</definedName>
    <definedName name="ETIRGC4">'R4 Licence Condition Values'!$F$111:$M$111</definedName>
    <definedName name="ETIRGC5">'R4 Licence Condition Values'!$F$121:$M$121</definedName>
    <definedName name="ETIRGORAV">'R4 Licence Condition Values'!$E$78:$M$78</definedName>
    <definedName name="ETIRGORAV2">'R4 Licence Condition Values'!$F$89:$M$89</definedName>
    <definedName name="ETIRGORAV3">'R4 Licence Condition Values'!$F$99:$M$99</definedName>
    <definedName name="ETIRGORAV4">'R4 Licence Condition Values'!$F$109:$M$109</definedName>
    <definedName name="ETIRGORAV5">'R4 Licence Condition Values'!$F$119:$M$119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2">'R4 Licence Condition Values'!$F$87:$M$87</definedName>
    <definedName name="FTIRGC">'R4 Licence Condition Values'!$F$76:$M$76</definedName>
    <definedName name="FTIRGC3">'R4 Licence Condition Values'!$F$97:$M$97</definedName>
    <definedName name="FTIRGC4">'R4 Licence Condition Values'!$F$107:$M$107</definedName>
    <definedName name="FTIRGC5">'R4 Licence Condition Values'!$F$117:$M$117</definedName>
    <definedName name="FTIRGDepn">'R4 Licence Condition Values'!$F$77:$M$77</definedName>
    <definedName name="FTIRGDepn2">'R4 Licence Condition Values'!$F$88:$M$88</definedName>
    <definedName name="FTIRGDepn3">'R4 Licence Condition Values'!$F$98:$M$98</definedName>
    <definedName name="FTIRGDepn4">'R4 Licence Condition Values'!$F$108:$M$108</definedName>
    <definedName name="FTIRGDEPN5">'R4 Licence Condition Values'!$F$118:$M$118</definedName>
    <definedName name="FYADD">'R5 Input page'!$F$77:$M$77</definedName>
    <definedName name="FYDSP">'R5 Input page'!$F$79:$M$79</definedName>
    <definedName name="It">'R5 Input page'!$E$45:$M$45</definedName>
    <definedName name="KPI">'R5 Input page'!#REF!</definedName>
    <definedName name="Kt">'R10 Correction'!$D$18:$M$18</definedName>
    <definedName name="MOD">'R5 Input page'!$F$25:$M$25</definedName>
    <definedName name="NIA">'R9 Innovation incentive'!$F$17:$M$17</definedName>
    <definedName name="NIAIE">'R5 Input page'!$F$96:$M$96</definedName>
    <definedName name="NIAINT">'[1]R5 Input page'!$F$105:$M$105</definedName>
    <definedName name="NIAR">'R5 Input page'!$F$94:$M$94</definedName>
    <definedName name="NIAV">'R4 Licence Condition Values'!$F$42:$M$42</definedName>
    <definedName name="NICF">'R5 Input page'!$F$95:$M$95</definedName>
    <definedName name="NTPC">'R5 Input page'!$D$81:$M$81</definedName>
    <definedName name="OIP">'R8 Output incentives'!$F$14:$M$14</definedName>
    <definedName name="_xlnm.Print_Area" localSheetId="9">'R10 Correction'!$A$1:$N$30</definedName>
    <definedName name="_xlnm.Print_Area" localSheetId="10">'R11 TIRG'!$A$1:$O$306</definedName>
    <definedName name="_xlnm.Print_Area" localSheetId="11">'R12 TO MAR'!$A$1:$N$23</definedName>
    <definedName name="_xlnm.Print_Area" localSheetId="3">'R4 Licence Condition Values'!$A$1:$N$123</definedName>
    <definedName name="_xlnm.Print_Area" localSheetId="4">'R5 Input page'!$A$1:$N$143</definedName>
    <definedName name="_xlnm.Print_Area" localSheetId="5">'R6 Base revenue'!$A$1:$N$117</definedName>
    <definedName name="_xlnm.Print_Area" localSheetId="6">'R7 pass through'!$A$1:$N$55</definedName>
    <definedName name="_xlnm.Print_Area" localSheetId="7">'R8 Output incentives'!$A$1:$N$132</definedName>
    <definedName name="_xlnm.Print_Area" localSheetId="8">'R9 Innovation incentive'!$A$1:$N$41</definedName>
    <definedName name="PTIS">'R8 Output incentives'!$F$130:$M$130</definedName>
    <definedName name="PTRA">'R4 Licence Condition Values'!$F$70:$M$70</definedName>
    <definedName name="PTt" comment="Pass through Items">'R7 pass through'!$F$12:$M$12</definedName>
    <definedName name="PU">'R4 Licence Condition Values'!$F$9:$M$9</definedName>
    <definedName name="PVF">'R5 Input page'!$E$42:$M$42</definedName>
    <definedName name="RBA">'R5 Input page'!$D$49:$M$49</definedName>
    <definedName name="RBE">'R4 Licence Condition Values'!$D$12:$M$12</definedName>
    <definedName name="RBt">'R7 pass through'!$E$10:$M$10</definedName>
    <definedName name="RegYr">'R5 Input page'!$F$7</definedName>
    <definedName name="REV">'R6 Base revenue'!$E$78:$M$78</definedName>
    <definedName name="RI">'R8 Output incentives'!$E$32:$M$32</definedName>
    <definedName name="RIDPA">'R4 Licence Condition Values'!$F$24:$M$24</definedName>
    <definedName name="RILEG">'R5 Input page'!$F$55</definedName>
    <definedName name="RPIA">'R5 Input page'!$D$10:$M$10</definedName>
    <definedName name="RPIF">'R6 Base revenue'!$E$30:$M$30</definedName>
    <definedName name="SAFTIRG">'R5 Input page'!$F$103:$M$103</definedName>
    <definedName name="SAFTIRG1">'R5 Input page'!$D$103:$M$103</definedName>
    <definedName name="SAFTIRG2">'R5 Input page'!$F$112:$M$112</definedName>
    <definedName name="SAFTIRG3">'R5 Input page'!$F$121:$M$121</definedName>
    <definedName name="SAFTIRG4">'R5 Input page'!$F$130:$M$130</definedName>
    <definedName name="SAFTIRG5">'R5 Input page'!$F$139:$M$139</definedName>
    <definedName name="SEA">'R5 Input page'!$F$67:$M$67</definedName>
    <definedName name="SEAPRO">'R4 Licence Condition Values'!$F$65:$M$65</definedName>
    <definedName name="SER">'R5 Input page'!$F$65:$M$65</definedName>
    <definedName name="SERLIMIT">'R4 Licence Condition Values'!$F$54:$M$54</definedName>
    <definedName name="SFI">'R8 Output incentives'!$E$121:$M$121</definedName>
    <definedName name="SHCP">'[2]R8 Output incentives'!$F$149:$M$149</definedName>
    <definedName name="SKPI">'R8 Output incentives'!$F$107:$M$107</definedName>
    <definedName name="SKPIC">'R5 Input page'!$F$66:$M$66</definedName>
    <definedName name="SKPICAP">'R4 Licence Condition Values'!$F$59:$M$59</definedName>
    <definedName name="SKPICOL">'R4 Licence Condition Values'!$F$61:$M$61</definedName>
    <definedName name="SKPIDPA">'R4 Licence Condition Values'!$F$62:$M$62</definedName>
    <definedName name="SKPIPRO">'R4 Licence Condition Values'!$F$63:$M$63</definedName>
    <definedName name="SKPIT">'R4 Licence Condition Values'!$F$58:$M$58</definedName>
    <definedName name="SKPIUPA">'R4 Licence Condition Values'!$F$60:$M$60</definedName>
    <definedName name="SOMOD">'R5 Input page'!$F$28:$M$28</definedName>
    <definedName name="SOPU">'R4 Licence Condition Values'!$F$10:$M$10</definedName>
    <definedName name="SS">'R8 Output incentives'!#REF!</definedName>
    <definedName name="SSC">'R5 Input page'!$F$64:$M$64</definedName>
    <definedName name="SSCAP">'R4 Licence Condition Values'!$F$50:$M$50</definedName>
    <definedName name="SSCOL">'R4 Licence Condition Values'!$F$51:$M$51</definedName>
    <definedName name="SSDPA">'R4 Licence Condition Values'!$F$53:$M$53</definedName>
    <definedName name="SSI">'R8 Output incentives'!$F$83:$M$83</definedName>
    <definedName name="SSO">'R8 Output incentives'!$F$64:$M$64</definedName>
    <definedName name="SSPRO">'R4 Licence Condition Values'!$F$55:$M$55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'[3]R5 Input page'!$D$81:$M$81</definedName>
    <definedName name="SSST">'R4 Licence Condition Values'!#REF!</definedName>
    <definedName name="SSSUPA">'R4 Licence Condition Values'!#REF!</definedName>
    <definedName name="SST">'R4 Licence Condition Values'!$F$49:$M$49</definedName>
    <definedName name="SSUPA">'R4 Licence Condition Values'!$F$52:$M$52</definedName>
    <definedName name="SubTIRG">'R11 TIRG'!$E$12:$M$12</definedName>
    <definedName name="TIRG">'R11 TIRG'!$E$16:$M$16</definedName>
    <definedName name="TIRGIncAdj">'R5 Input page'!$F$104:$M$104</definedName>
    <definedName name="TIRGIncAdj2">'R5 Input page'!$F$113:$M$113</definedName>
    <definedName name="TIRGIncAdj3">'R5 Input page'!$F$122:$M$122</definedName>
    <definedName name="TIRGIncAdj4">'R5 Input page'!$F$131:$M$131</definedName>
    <definedName name="TIRGIncAdj5">'R5 Input page'!$F$140:$M$140</definedName>
    <definedName name="TIS">'R4 Licence Condition Values'!$D$40:$M$40</definedName>
    <definedName name="TNR">'R5 Input page'!$D$33:$M$33</definedName>
    <definedName name="TO">'R12 TO MAR'!$F$16:$M$16</definedName>
    <definedName name="TOTO">'R5 Input page'!$F$88:$M$88</definedName>
    <definedName name="TPA">'R5 Input page'!$E$51:$M$51</definedName>
    <definedName name="TPD">'R7 pass through'!$E$11:$M$11</definedName>
    <definedName name="TR">'R5 Input page'!$D$70:$M$70</definedName>
    <definedName name="TS">'R5 Input page'!#REF!</definedName>
    <definedName name="UNTO">'R5 Input page'!$F$87:$M$87</definedName>
    <definedName name="VOLL">'R4 Licence Condition Values'!$F$22:$M$22</definedName>
    <definedName name="WACC">'R5 Input page'!$E$41:$M$41</definedName>
  </definedNames>
  <calcPr calcId="162913"/>
</workbook>
</file>

<file path=xl/calcChain.xml><?xml version="1.0" encoding="utf-8"?>
<calcChain xmlns="http://schemas.openxmlformats.org/spreadsheetml/2006/main">
  <c r="I11" i="10" l="1"/>
  <c r="K11" i="17" l="1"/>
  <c r="L11" i="17" s="1"/>
  <c r="M11" i="17" s="1"/>
  <c r="M38" i="18" l="1"/>
  <c r="L38" i="18"/>
  <c r="K38" i="18"/>
  <c r="J38" i="18"/>
  <c r="I38" i="18"/>
  <c r="H38" i="18"/>
  <c r="G38" i="18"/>
  <c r="F195" i="18" l="1"/>
  <c r="M81" i="5" l="1"/>
  <c r="G80" i="5" l="1"/>
  <c r="H80" i="5"/>
  <c r="I80" i="5"/>
  <c r="J80" i="5"/>
  <c r="K80" i="5"/>
  <c r="L80" i="5"/>
  <c r="M80" i="5"/>
  <c r="F80" i="5"/>
  <c r="G81" i="5"/>
  <c r="H81" i="5"/>
  <c r="I81" i="5"/>
  <c r="J81" i="5"/>
  <c r="K81" i="5"/>
  <c r="L81" i="5"/>
  <c r="F81" i="5"/>
  <c r="G77" i="5"/>
  <c r="H77" i="5"/>
  <c r="I77" i="5"/>
  <c r="J77" i="5"/>
  <c r="K77" i="5"/>
  <c r="L77" i="5"/>
  <c r="M77" i="5"/>
  <c r="F77" i="5"/>
  <c r="G106" i="5"/>
  <c r="H106" i="5"/>
  <c r="I106" i="5"/>
  <c r="J106" i="5"/>
  <c r="K106" i="5"/>
  <c r="L106" i="5"/>
  <c r="M106" i="5"/>
  <c r="F106" i="5"/>
  <c r="G105" i="5"/>
  <c r="H105" i="5"/>
  <c r="I105" i="5"/>
  <c r="J105" i="5"/>
  <c r="K105" i="5"/>
  <c r="L105" i="5"/>
  <c r="M105" i="5"/>
  <c r="F105" i="5"/>
  <c r="G104" i="5"/>
  <c r="H104" i="5"/>
  <c r="I104" i="5"/>
  <c r="J104" i="5"/>
  <c r="K104" i="5"/>
  <c r="L104" i="5"/>
  <c r="M104" i="5"/>
  <c r="F104" i="5"/>
  <c r="G103" i="5"/>
  <c r="H103" i="5"/>
  <c r="I103" i="5"/>
  <c r="J103" i="5"/>
  <c r="K103" i="5"/>
  <c r="L103" i="5"/>
  <c r="M103" i="5"/>
  <c r="F103" i="5"/>
  <c r="G102" i="5"/>
  <c r="H102" i="5"/>
  <c r="I102" i="5"/>
  <c r="J102" i="5"/>
  <c r="K102" i="5"/>
  <c r="L102" i="5"/>
  <c r="M102" i="5"/>
  <c r="F102" i="5"/>
  <c r="G101" i="5"/>
  <c r="H101" i="5"/>
  <c r="H78" i="5" s="1"/>
  <c r="I101" i="5"/>
  <c r="J101" i="5"/>
  <c r="J107" i="5" s="1"/>
  <c r="J78" i="5" s="1"/>
  <c r="K101" i="5"/>
  <c r="L101" i="5"/>
  <c r="L107" i="5" s="1"/>
  <c r="L78" i="5" s="1"/>
  <c r="M101" i="5"/>
  <c r="M107" i="5" s="1"/>
  <c r="M78" i="5" s="1"/>
  <c r="F101" i="5"/>
  <c r="G74" i="5"/>
  <c r="H74" i="5"/>
  <c r="I74" i="5"/>
  <c r="J74" i="5"/>
  <c r="K74" i="5"/>
  <c r="L74" i="5"/>
  <c r="M74" i="5"/>
  <c r="F74" i="5"/>
  <c r="F89" i="5"/>
  <c r="F90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G89" i="5"/>
  <c r="H89" i="5"/>
  <c r="I89" i="5"/>
  <c r="J89" i="5"/>
  <c r="K89" i="5"/>
  <c r="L89" i="5"/>
  <c r="M89" i="5"/>
  <c r="G94" i="5"/>
  <c r="H94" i="5"/>
  <c r="I94" i="5"/>
  <c r="J94" i="5"/>
  <c r="J95" i="5" s="1"/>
  <c r="J75" i="5" s="1"/>
  <c r="K94" i="5"/>
  <c r="L94" i="5"/>
  <c r="M94" i="5"/>
  <c r="F94" i="5"/>
  <c r="L95" i="5" l="1"/>
  <c r="L75" i="5" s="1"/>
  <c r="G78" i="5"/>
  <c r="I107" i="5"/>
  <c r="I78" i="5" s="1"/>
  <c r="K107" i="5"/>
  <c r="K78" i="5" s="1"/>
  <c r="F78" i="5"/>
  <c r="F79" i="5" s="1"/>
  <c r="M95" i="5"/>
  <c r="M75" i="5" s="1"/>
  <c r="K95" i="5"/>
  <c r="K75" i="5" s="1"/>
  <c r="I95" i="5"/>
  <c r="I75" i="5" s="1"/>
  <c r="H75" i="5"/>
  <c r="G75" i="5"/>
  <c r="F75" i="5"/>
  <c r="F82" i="5" l="1"/>
  <c r="M164" i="5" l="1"/>
  <c r="L164" i="5"/>
  <c r="K164" i="5"/>
  <c r="J164" i="5"/>
  <c r="I164" i="5"/>
  <c r="H164" i="5"/>
  <c r="G164" i="5"/>
  <c r="F164" i="5"/>
  <c r="M163" i="5"/>
  <c r="L163" i="5"/>
  <c r="K163" i="5"/>
  <c r="J163" i="5"/>
  <c r="I163" i="5"/>
  <c r="H163" i="5"/>
  <c r="G163" i="5"/>
  <c r="F163" i="5"/>
  <c r="F162" i="5"/>
  <c r="G159" i="5" s="1"/>
  <c r="M161" i="5"/>
  <c r="L161" i="5"/>
  <c r="K161" i="5"/>
  <c r="J161" i="5"/>
  <c r="I161" i="5"/>
  <c r="H161" i="5"/>
  <c r="G161" i="5"/>
  <c r="F161" i="5"/>
  <c r="M160" i="5"/>
  <c r="L160" i="5"/>
  <c r="K160" i="5"/>
  <c r="J160" i="5"/>
  <c r="I160" i="5"/>
  <c r="H160" i="5"/>
  <c r="G160" i="5"/>
  <c r="F160" i="5"/>
  <c r="F165" i="5" l="1"/>
  <c r="F114" i="5" s="1"/>
  <c r="G162" i="5"/>
  <c r="G165" i="5" s="1"/>
  <c r="G114" i="5" s="1"/>
  <c r="H159" i="5" l="1"/>
  <c r="H162" i="5" s="1"/>
  <c r="I159" i="5" s="1"/>
  <c r="I162" i="5" s="1"/>
  <c r="I165" i="5" s="1"/>
  <c r="H165" i="5" l="1"/>
  <c r="H114" i="5" s="1"/>
  <c r="I114" i="5"/>
  <c r="J159" i="5"/>
  <c r="J162" i="5" s="1"/>
  <c r="K159" i="5" l="1"/>
  <c r="K162" i="5" s="1"/>
  <c r="J165" i="5"/>
  <c r="J114" i="5" s="1"/>
  <c r="K165" i="5" l="1"/>
  <c r="K114" i="5" s="1"/>
  <c r="L159" i="5"/>
  <c r="L162" i="5" s="1"/>
  <c r="M159" i="5" l="1"/>
  <c r="M162" i="5" s="1"/>
  <c r="M165" i="5" s="1"/>
  <c r="M114" i="5" s="1"/>
  <c r="L165" i="5"/>
  <c r="L114" i="5" s="1"/>
  <c r="E39" i="4" l="1"/>
  <c r="E55" i="3" l="1"/>
  <c r="H167" i="18" l="1"/>
  <c r="H169" i="18" s="1"/>
  <c r="M29" i="3" l="1"/>
  <c r="L29" i="3"/>
  <c r="L28" i="3"/>
  <c r="K28" i="3"/>
  <c r="K27" i="3"/>
  <c r="J27" i="3"/>
  <c r="J26" i="3"/>
  <c r="I26" i="3"/>
  <c r="I25" i="3"/>
  <c r="H25" i="3"/>
  <c r="H24" i="3" l="1"/>
  <c r="G24" i="3"/>
  <c r="G23" i="3"/>
  <c r="F23" i="3"/>
  <c r="F22" i="3"/>
  <c r="E22" i="3"/>
  <c r="E10" i="17" l="1"/>
  <c r="F10" i="17"/>
  <c r="G10" i="17"/>
  <c r="H10" i="17"/>
  <c r="I10" i="17"/>
  <c r="J10" i="17"/>
  <c r="K10" i="17"/>
  <c r="L10" i="17"/>
  <c r="M10" i="17"/>
  <c r="D10" i="17"/>
  <c r="E42" i="4" l="1"/>
  <c r="E40" i="4"/>
  <c r="E58" i="3"/>
  <c r="E56" i="3"/>
  <c r="E54" i="3"/>
  <c r="E53" i="3"/>
  <c r="F38" i="5" s="1"/>
  <c r="G88" i="18" l="1"/>
  <c r="H88" i="18"/>
  <c r="I88" i="18"/>
  <c r="J88" i="18"/>
  <c r="K88" i="18"/>
  <c r="L88" i="18"/>
  <c r="M88" i="18"/>
  <c r="F88" i="18"/>
  <c r="F26" i="5" l="1"/>
  <c r="G26" i="5"/>
  <c r="G10" i="5"/>
  <c r="F10" i="5"/>
  <c r="G10" i="6" l="1"/>
  <c r="H10" i="6"/>
  <c r="I10" i="6"/>
  <c r="J10" i="6"/>
  <c r="K10" i="6"/>
  <c r="L10" i="6"/>
  <c r="M10" i="6"/>
  <c r="F10" i="6"/>
  <c r="F47" i="5" l="1"/>
  <c r="F46" i="5"/>
  <c r="F45" i="5"/>
  <c r="F44" i="5"/>
  <c r="F43" i="5"/>
  <c r="F42" i="5"/>
  <c r="F50" i="5" l="1"/>
  <c r="F52" i="5" s="1"/>
  <c r="G9" i="5"/>
  <c r="G304" i="18" l="1"/>
  <c r="H304" i="18"/>
  <c r="I304" i="18"/>
  <c r="J304" i="18"/>
  <c r="K304" i="18"/>
  <c r="L304" i="18"/>
  <c r="M304" i="18"/>
  <c r="F304" i="18"/>
  <c r="G303" i="18"/>
  <c r="H303" i="18"/>
  <c r="I303" i="18"/>
  <c r="J303" i="18"/>
  <c r="K303" i="18"/>
  <c r="L303" i="18"/>
  <c r="M303" i="18"/>
  <c r="F303" i="18"/>
  <c r="G245" i="18"/>
  <c r="H245" i="18"/>
  <c r="I245" i="18"/>
  <c r="J245" i="18"/>
  <c r="K245" i="18"/>
  <c r="L245" i="18"/>
  <c r="M245" i="18"/>
  <c r="F245" i="18"/>
  <c r="G244" i="18"/>
  <c r="H244" i="18"/>
  <c r="I244" i="18"/>
  <c r="J244" i="18"/>
  <c r="K244" i="18"/>
  <c r="L244" i="18"/>
  <c r="M244" i="18"/>
  <c r="F244" i="18"/>
  <c r="G188" i="18"/>
  <c r="H188" i="18"/>
  <c r="I188" i="18"/>
  <c r="J188" i="18"/>
  <c r="K188" i="18"/>
  <c r="L188" i="18"/>
  <c r="M188" i="18"/>
  <c r="F188" i="18"/>
  <c r="G187" i="18"/>
  <c r="H187" i="18"/>
  <c r="I187" i="18"/>
  <c r="J187" i="18"/>
  <c r="K187" i="18"/>
  <c r="L187" i="18"/>
  <c r="M187" i="18"/>
  <c r="F187" i="18"/>
  <c r="G129" i="18"/>
  <c r="H129" i="18"/>
  <c r="I129" i="18"/>
  <c r="J129" i="18"/>
  <c r="K129" i="18"/>
  <c r="L129" i="18"/>
  <c r="M129" i="18"/>
  <c r="F129" i="18"/>
  <c r="G128" i="18"/>
  <c r="H128" i="18"/>
  <c r="I128" i="18"/>
  <c r="J128" i="18"/>
  <c r="K128" i="18"/>
  <c r="L128" i="18"/>
  <c r="M128" i="18"/>
  <c r="F128" i="18"/>
  <c r="G78" i="18"/>
  <c r="H78" i="18"/>
  <c r="I78" i="18"/>
  <c r="J78" i="18"/>
  <c r="K78" i="18"/>
  <c r="L78" i="18"/>
  <c r="M78" i="18"/>
  <c r="F78" i="18"/>
  <c r="G72" i="18"/>
  <c r="G14" i="18" s="1"/>
  <c r="H72" i="18"/>
  <c r="H14" i="18" s="1"/>
  <c r="I72" i="18"/>
  <c r="I14" i="18" s="1"/>
  <c r="J72" i="18"/>
  <c r="J14" i="18" s="1"/>
  <c r="K72" i="18"/>
  <c r="K14" i="18" s="1"/>
  <c r="L72" i="18"/>
  <c r="L14" i="18" s="1"/>
  <c r="M72" i="18"/>
  <c r="M14" i="18" s="1"/>
  <c r="F72" i="18"/>
  <c r="F14" i="18" s="1"/>
  <c r="G71" i="18"/>
  <c r="G13" i="18" s="1"/>
  <c r="H71" i="18"/>
  <c r="H13" i="18" s="1"/>
  <c r="I71" i="18"/>
  <c r="I13" i="18" s="1"/>
  <c r="J71" i="18"/>
  <c r="J13" i="18" s="1"/>
  <c r="K71" i="18"/>
  <c r="K13" i="18" s="1"/>
  <c r="L71" i="18"/>
  <c r="L13" i="18" s="1"/>
  <c r="M71" i="18"/>
  <c r="M13" i="18" s="1"/>
  <c r="F71" i="18"/>
  <c r="F13" i="18" s="1"/>
  <c r="G269" i="18" l="1"/>
  <c r="H269" i="18"/>
  <c r="I269" i="18"/>
  <c r="J269" i="18"/>
  <c r="K269" i="18"/>
  <c r="L269" i="18"/>
  <c r="M269" i="18"/>
  <c r="F269" i="18"/>
  <c r="G264" i="18"/>
  <c r="H264" i="18"/>
  <c r="I264" i="18"/>
  <c r="J264" i="18"/>
  <c r="K264" i="18"/>
  <c r="L264" i="18"/>
  <c r="M264" i="18"/>
  <c r="F264" i="18"/>
  <c r="G254" i="18"/>
  <c r="H254" i="18"/>
  <c r="I254" i="18"/>
  <c r="J254" i="18"/>
  <c r="K254" i="18"/>
  <c r="L254" i="18"/>
  <c r="M254" i="18"/>
  <c r="F254" i="18"/>
  <c r="G195" i="18"/>
  <c r="H195" i="18"/>
  <c r="I195" i="18"/>
  <c r="J195" i="18"/>
  <c r="K195" i="18"/>
  <c r="L195" i="18"/>
  <c r="M195" i="18"/>
  <c r="G137" i="18"/>
  <c r="H137" i="18"/>
  <c r="I137" i="18"/>
  <c r="J137" i="18"/>
  <c r="K137" i="18"/>
  <c r="L137" i="18"/>
  <c r="M137" i="18"/>
  <c r="F137" i="18"/>
  <c r="F120" i="18"/>
  <c r="G120" i="18"/>
  <c r="H120" i="18"/>
  <c r="I120" i="18"/>
  <c r="J120" i="18"/>
  <c r="K120" i="18"/>
  <c r="L120" i="18"/>
  <c r="M120" i="18"/>
  <c r="G22" i="18"/>
  <c r="H22" i="18"/>
  <c r="I22" i="18"/>
  <c r="J22" i="18"/>
  <c r="K22" i="18"/>
  <c r="L22" i="18"/>
  <c r="M22" i="18"/>
  <c r="F22" i="18"/>
  <c r="E12" i="7" l="1"/>
  <c r="G35" i="6" l="1"/>
  <c r="H35" i="6"/>
  <c r="I35" i="6"/>
  <c r="J35" i="6"/>
  <c r="K35" i="6"/>
  <c r="L35" i="6"/>
  <c r="M35" i="6"/>
  <c r="F35" i="6"/>
  <c r="M34" i="6"/>
  <c r="L34" i="6"/>
  <c r="K34" i="6"/>
  <c r="J34" i="6"/>
  <c r="I34" i="6"/>
  <c r="H34" i="6"/>
  <c r="G34" i="6"/>
  <c r="F34" i="6"/>
  <c r="G117" i="5"/>
  <c r="H117" i="5"/>
  <c r="I117" i="5"/>
  <c r="J117" i="5"/>
  <c r="K117" i="5"/>
  <c r="L117" i="5"/>
  <c r="M117" i="5"/>
  <c r="F22" i="6"/>
  <c r="G70" i="16"/>
  <c r="H70" i="16" s="1"/>
  <c r="I70" i="16" s="1"/>
  <c r="J70" i="16" s="1"/>
  <c r="K70" i="16" s="1"/>
  <c r="L70" i="16" s="1"/>
  <c r="M70" i="16" s="1"/>
  <c r="M22" i="6" s="1"/>
  <c r="F116" i="5"/>
  <c r="M116" i="5"/>
  <c r="M37" i="6" l="1"/>
  <c r="K37" i="6"/>
  <c r="I37" i="6"/>
  <c r="G37" i="6"/>
  <c r="F37" i="6"/>
  <c r="L37" i="6"/>
  <c r="J37" i="6"/>
  <c r="H37" i="6"/>
  <c r="K22" i="6"/>
  <c r="I22" i="6"/>
  <c r="L116" i="5"/>
  <c r="J116" i="5"/>
  <c r="H116" i="5"/>
  <c r="L22" i="6"/>
  <c r="J22" i="6"/>
  <c r="H22" i="6"/>
  <c r="K116" i="5"/>
  <c r="I116" i="5"/>
  <c r="G116" i="5"/>
  <c r="G22" i="6"/>
  <c r="G225" i="18"/>
  <c r="H225" i="18"/>
  <c r="I225" i="18"/>
  <c r="J225" i="18"/>
  <c r="K225" i="18"/>
  <c r="L225" i="18"/>
  <c r="M225" i="18"/>
  <c r="F225" i="18"/>
  <c r="G223" i="18"/>
  <c r="H223" i="18"/>
  <c r="I223" i="18"/>
  <c r="J223" i="18"/>
  <c r="K223" i="18"/>
  <c r="L223" i="18"/>
  <c r="M223" i="18"/>
  <c r="F223" i="18"/>
  <c r="G270" i="18"/>
  <c r="H270" i="18"/>
  <c r="I270" i="18"/>
  <c r="J270" i="18"/>
  <c r="K270" i="18"/>
  <c r="L270" i="18"/>
  <c r="M270" i="18"/>
  <c r="F270" i="18"/>
  <c r="G265" i="18"/>
  <c r="H265" i="18"/>
  <c r="I265" i="18"/>
  <c r="J265" i="18"/>
  <c r="K265" i="18"/>
  <c r="L265" i="18"/>
  <c r="M265" i="18"/>
  <c r="F265" i="18"/>
  <c r="G282" i="18"/>
  <c r="H282" i="18"/>
  <c r="I282" i="18"/>
  <c r="J282" i="18"/>
  <c r="K282" i="18"/>
  <c r="L282" i="18"/>
  <c r="M282" i="18"/>
  <c r="F282" i="18"/>
  <c r="G284" i="18"/>
  <c r="H284" i="18"/>
  <c r="I284" i="18"/>
  <c r="J284" i="18"/>
  <c r="K284" i="18"/>
  <c r="L284" i="18"/>
  <c r="M284" i="18"/>
  <c r="F284" i="18"/>
  <c r="G285" i="18"/>
  <c r="H285" i="18"/>
  <c r="I285" i="18"/>
  <c r="J285" i="18"/>
  <c r="K285" i="18"/>
  <c r="L285" i="18"/>
  <c r="M285" i="18"/>
  <c r="F285" i="18"/>
  <c r="F286" i="18" s="1"/>
  <c r="G226" i="18"/>
  <c r="H226" i="18"/>
  <c r="I226" i="18"/>
  <c r="J226" i="18"/>
  <c r="K226" i="18"/>
  <c r="L226" i="18"/>
  <c r="M226" i="18"/>
  <c r="F226" i="18"/>
  <c r="G179" i="18"/>
  <c r="H179" i="18"/>
  <c r="I179" i="18"/>
  <c r="J179" i="18"/>
  <c r="K179" i="18"/>
  <c r="L179" i="18"/>
  <c r="M179" i="18"/>
  <c r="F179" i="18"/>
  <c r="G296" i="18"/>
  <c r="H296" i="18"/>
  <c r="I296" i="18"/>
  <c r="J296" i="18"/>
  <c r="K296" i="18"/>
  <c r="L296" i="18"/>
  <c r="M296" i="18"/>
  <c r="F296" i="18"/>
  <c r="G237" i="18"/>
  <c r="H237" i="18"/>
  <c r="I237" i="18"/>
  <c r="J237" i="18"/>
  <c r="K237" i="18"/>
  <c r="L237" i="18"/>
  <c r="M237" i="18"/>
  <c r="F237" i="18"/>
  <c r="G152" i="18"/>
  <c r="H152" i="18"/>
  <c r="I152" i="18"/>
  <c r="J152" i="18"/>
  <c r="K152" i="18"/>
  <c r="L152" i="18"/>
  <c r="M152" i="18"/>
  <c r="F152" i="18"/>
  <c r="G147" i="18"/>
  <c r="H147" i="18"/>
  <c r="I147" i="18"/>
  <c r="J147" i="18"/>
  <c r="K147" i="18"/>
  <c r="L147" i="18"/>
  <c r="M147" i="18"/>
  <c r="F147" i="18"/>
  <c r="G205" i="18" l="1"/>
  <c r="H205" i="18"/>
  <c r="I205" i="18"/>
  <c r="J205" i="18"/>
  <c r="K205" i="18"/>
  <c r="L205" i="18"/>
  <c r="M205" i="18"/>
  <c r="G206" i="18"/>
  <c r="H206" i="18"/>
  <c r="I206" i="18"/>
  <c r="J206" i="18"/>
  <c r="K206" i="18"/>
  <c r="L206" i="18"/>
  <c r="M206" i="18"/>
  <c r="F206" i="18"/>
  <c r="F205" i="18"/>
  <c r="G210" i="18"/>
  <c r="H210" i="18"/>
  <c r="I210" i="18"/>
  <c r="J210" i="18"/>
  <c r="K210" i="18"/>
  <c r="L210" i="18"/>
  <c r="M210" i="18"/>
  <c r="G211" i="18"/>
  <c r="H211" i="18"/>
  <c r="I211" i="18"/>
  <c r="J211" i="18"/>
  <c r="K211" i="18"/>
  <c r="L211" i="18"/>
  <c r="M211" i="18"/>
  <c r="F211" i="18"/>
  <c r="F210" i="18"/>
  <c r="G148" i="18"/>
  <c r="H148" i="18"/>
  <c r="I148" i="18"/>
  <c r="J148" i="18"/>
  <c r="K148" i="18"/>
  <c r="L148" i="18"/>
  <c r="M148" i="18"/>
  <c r="G153" i="18"/>
  <c r="H153" i="18"/>
  <c r="I153" i="18"/>
  <c r="J153" i="18"/>
  <c r="K153" i="18"/>
  <c r="L153" i="18"/>
  <c r="M153" i="18"/>
  <c r="F153" i="18"/>
  <c r="F148" i="18"/>
  <c r="G165" i="18"/>
  <c r="H165" i="18"/>
  <c r="I165" i="18"/>
  <c r="J165" i="18"/>
  <c r="K165" i="18"/>
  <c r="L165" i="18"/>
  <c r="M165" i="18"/>
  <c r="G167" i="18"/>
  <c r="G169" i="18" s="1"/>
  <c r="I167" i="18"/>
  <c r="I169" i="18" s="1"/>
  <c r="J167" i="18"/>
  <c r="J169" i="18" s="1"/>
  <c r="K167" i="18"/>
  <c r="K169" i="18" s="1"/>
  <c r="L167" i="18"/>
  <c r="L169" i="18" s="1"/>
  <c r="M167" i="18"/>
  <c r="M169" i="18" s="1"/>
  <c r="G168" i="18"/>
  <c r="H168" i="18"/>
  <c r="I168" i="18"/>
  <c r="J168" i="18"/>
  <c r="K168" i="18"/>
  <c r="L168" i="18"/>
  <c r="M168" i="18"/>
  <c r="F168" i="18"/>
  <c r="F167" i="18"/>
  <c r="F169" i="18" s="1"/>
  <c r="F165" i="18"/>
  <c r="G106" i="18"/>
  <c r="H106" i="18"/>
  <c r="I106" i="18"/>
  <c r="J106" i="18"/>
  <c r="K106" i="18"/>
  <c r="L106" i="18"/>
  <c r="M106" i="18"/>
  <c r="F106" i="18"/>
  <c r="G108" i="18"/>
  <c r="H108" i="18"/>
  <c r="I108" i="18"/>
  <c r="J108" i="18"/>
  <c r="K108" i="18"/>
  <c r="L108" i="18"/>
  <c r="M108" i="18"/>
  <c r="G109" i="18"/>
  <c r="H109" i="18"/>
  <c r="I109" i="18"/>
  <c r="J109" i="18"/>
  <c r="K109" i="18"/>
  <c r="L109" i="18"/>
  <c r="M109" i="18"/>
  <c r="F108" i="18"/>
  <c r="F110" i="18" s="1"/>
  <c r="G93" i="18"/>
  <c r="H93" i="18"/>
  <c r="I93" i="18"/>
  <c r="J93" i="18"/>
  <c r="K93" i="18"/>
  <c r="L93" i="18"/>
  <c r="M93" i="18"/>
  <c r="F93" i="18"/>
  <c r="G94" i="18"/>
  <c r="H94" i="18"/>
  <c r="I94" i="18"/>
  <c r="J94" i="18"/>
  <c r="K94" i="18"/>
  <c r="L94" i="18"/>
  <c r="M94" i="18"/>
  <c r="F94" i="18"/>
  <c r="G89" i="18"/>
  <c r="H89" i="18"/>
  <c r="I89" i="18"/>
  <c r="J89" i="18"/>
  <c r="K89" i="18"/>
  <c r="L89" i="18"/>
  <c r="M89" i="18"/>
  <c r="F89" i="18"/>
  <c r="G32" i="18"/>
  <c r="H32" i="18"/>
  <c r="I32" i="18"/>
  <c r="J32" i="18"/>
  <c r="K32" i="18"/>
  <c r="L32" i="18"/>
  <c r="M32" i="18"/>
  <c r="F32" i="18"/>
  <c r="G51" i="18"/>
  <c r="G33" i="18" l="1"/>
  <c r="H33" i="18"/>
  <c r="I33" i="18"/>
  <c r="J33" i="18"/>
  <c r="K33" i="18"/>
  <c r="L33" i="18"/>
  <c r="M33" i="18"/>
  <c r="F33" i="18"/>
  <c r="F38" i="18"/>
  <c r="F109" i="18"/>
  <c r="G37" i="18"/>
  <c r="H37" i="18"/>
  <c r="I37" i="18"/>
  <c r="J37" i="18"/>
  <c r="K37" i="18"/>
  <c r="L37" i="18"/>
  <c r="M37" i="18"/>
  <c r="F37" i="18"/>
  <c r="F42" i="17" l="1"/>
  <c r="G42" i="17"/>
  <c r="G119" i="5" s="1"/>
  <c r="H42" i="17"/>
  <c r="H119" i="5" s="1"/>
  <c r="I42" i="17"/>
  <c r="I119" i="5" s="1"/>
  <c r="J42" i="17"/>
  <c r="J119" i="5" s="1"/>
  <c r="K42" i="17"/>
  <c r="K119" i="5" s="1"/>
  <c r="L42" i="17"/>
  <c r="L119" i="5" s="1"/>
  <c r="M42" i="17"/>
  <c r="M119" i="5" s="1"/>
  <c r="E42" i="17"/>
  <c r="E41" i="4" s="1"/>
  <c r="G30" i="5" l="1"/>
  <c r="H30" i="5"/>
  <c r="I30" i="5"/>
  <c r="J30" i="5"/>
  <c r="K30" i="5"/>
  <c r="L30" i="5"/>
  <c r="M30" i="5"/>
  <c r="F30" i="5"/>
  <c r="G39" i="4"/>
  <c r="H39" i="4"/>
  <c r="I39" i="4"/>
  <c r="J39" i="4"/>
  <c r="K39" i="4"/>
  <c r="L39" i="4"/>
  <c r="M39" i="4"/>
  <c r="F39" i="4"/>
  <c r="F119" i="5"/>
  <c r="G115" i="5"/>
  <c r="H115" i="5"/>
  <c r="I115" i="5"/>
  <c r="J115" i="5"/>
  <c r="K115" i="5"/>
  <c r="L115" i="5"/>
  <c r="M115" i="5"/>
  <c r="F115" i="5"/>
  <c r="H79" i="5" l="1"/>
  <c r="H76" i="5"/>
  <c r="G76" i="5"/>
  <c r="M82" i="5"/>
  <c r="K82" i="5"/>
  <c r="I82" i="5"/>
  <c r="G82" i="5"/>
  <c r="L82" i="5"/>
  <c r="J82" i="5"/>
  <c r="H82" i="5"/>
  <c r="G150" i="5"/>
  <c r="H150" i="5"/>
  <c r="I150" i="5"/>
  <c r="J150" i="5"/>
  <c r="K150" i="5"/>
  <c r="L150" i="5"/>
  <c r="M150" i="5"/>
  <c r="G145" i="5"/>
  <c r="H145" i="5"/>
  <c r="I145" i="5"/>
  <c r="J145" i="5"/>
  <c r="K145" i="5"/>
  <c r="L145" i="5"/>
  <c r="M145" i="5"/>
  <c r="G146" i="5"/>
  <c r="H146" i="5"/>
  <c r="I146" i="5"/>
  <c r="J146" i="5"/>
  <c r="K146" i="5"/>
  <c r="M151" i="5" s="1"/>
  <c r="M13" i="5" s="1"/>
  <c r="L146" i="5"/>
  <c r="M146" i="5"/>
  <c r="F150" i="5"/>
  <c r="F146" i="5"/>
  <c r="F145" i="5"/>
  <c r="L151" i="5" l="1"/>
  <c r="L13" i="5" s="1"/>
  <c r="J76" i="5"/>
  <c r="L76" i="5"/>
  <c r="I76" i="5"/>
  <c r="K76" i="5"/>
  <c r="M76" i="5"/>
  <c r="J79" i="5"/>
  <c r="I79" i="5"/>
  <c r="K79" i="5"/>
  <c r="M79" i="5"/>
  <c r="G79" i="5"/>
  <c r="L79" i="5"/>
  <c r="M286" i="18"/>
  <c r="L286" i="18"/>
  <c r="K286" i="18"/>
  <c r="J286" i="18"/>
  <c r="I286" i="18"/>
  <c r="H286" i="18"/>
  <c r="M281" i="18"/>
  <c r="L281" i="18"/>
  <c r="K281" i="18"/>
  <c r="J281" i="18"/>
  <c r="I281" i="18"/>
  <c r="H281" i="18"/>
  <c r="G281" i="18"/>
  <c r="F281" i="18"/>
  <c r="M263" i="18"/>
  <c r="L263" i="18"/>
  <c r="K263" i="18"/>
  <c r="J263" i="18"/>
  <c r="I263" i="18"/>
  <c r="H263" i="18"/>
  <c r="G263" i="18"/>
  <c r="F263" i="18"/>
  <c r="M227" i="18"/>
  <c r="L227" i="18"/>
  <c r="K227" i="18"/>
  <c r="J227" i="18"/>
  <c r="I227" i="18"/>
  <c r="H227" i="18"/>
  <c r="F227" i="18"/>
  <c r="M222" i="18"/>
  <c r="L222" i="18"/>
  <c r="K222" i="18"/>
  <c r="J222" i="18"/>
  <c r="I222" i="18"/>
  <c r="H222" i="18"/>
  <c r="G222" i="18"/>
  <c r="F222" i="18"/>
  <c r="M204" i="18"/>
  <c r="L204" i="18"/>
  <c r="K204" i="18"/>
  <c r="J204" i="18"/>
  <c r="I204" i="18"/>
  <c r="H204" i="18"/>
  <c r="G204" i="18"/>
  <c r="F204" i="18"/>
  <c r="M164" i="18"/>
  <c r="L164" i="18"/>
  <c r="K164" i="18"/>
  <c r="J164" i="18"/>
  <c r="I164" i="18"/>
  <c r="H164" i="18"/>
  <c r="G164" i="18"/>
  <c r="F164" i="18"/>
  <c r="M146" i="18"/>
  <c r="L146" i="18"/>
  <c r="K146" i="18"/>
  <c r="J146" i="18"/>
  <c r="I146" i="18"/>
  <c r="H146" i="18"/>
  <c r="G146" i="18"/>
  <c r="F146" i="18"/>
  <c r="M110" i="18"/>
  <c r="M121" i="18" s="1"/>
  <c r="L110" i="18"/>
  <c r="L121" i="18" s="1"/>
  <c r="K110" i="18"/>
  <c r="K121" i="18" s="1"/>
  <c r="J110" i="18"/>
  <c r="J121" i="18" s="1"/>
  <c r="I110" i="18"/>
  <c r="I121" i="18" s="1"/>
  <c r="H110" i="18"/>
  <c r="H121" i="18" s="1"/>
  <c r="G110" i="18"/>
  <c r="G121" i="18" s="1"/>
  <c r="F121" i="18"/>
  <c r="M105" i="18"/>
  <c r="L105" i="18"/>
  <c r="K105" i="18"/>
  <c r="J105" i="18"/>
  <c r="I105" i="18"/>
  <c r="H105" i="18"/>
  <c r="G105" i="18"/>
  <c r="F105" i="18"/>
  <c r="M87" i="18"/>
  <c r="L87" i="18"/>
  <c r="K87" i="18"/>
  <c r="J87" i="18"/>
  <c r="I87" i="18"/>
  <c r="H87" i="18"/>
  <c r="G87" i="18"/>
  <c r="F87" i="18"/>
  <c r="I297" i="18" l="1"/>
  <c r="K297" i="18"/>
  <c r="M297" i="18"/>
  <c r="H297" i="18"/>
  <c r="J297" i="18"/>
  <c r="L297" i="18"/>
  <c r="F297" i="18"/>
  <c r="I238" i="18"/>
  <c r="K238" i="18"/>
  <c r="M238" i="18"/>
  <c r="H238" i="18"/>
  <c r="J238" i="18"/>
  <c r="L238" i="18"/>
  <c r="F238" i="18"/>
  <c r="H180" i="18"/>
  <c r="J180" i="18"/>
  <c r="L180" i="18"/>
  <c r="I180" i="18"/>
  <c r="K180" i="18"/>
  <c r="M180" i="18"/>
  <c r="F180" i="18"/>
  <c r="G227" i="18"/>
  <c r="G286" i="18"/>
  <c r="M10" i="7"/>
  <c r="L10" i="7"/>
  <c r="K10" i="7"/>
  <c r="J10" i="7"/>
  <c r="I10" i="7"/>
  <c r="H10" i="7"/>
  <c r="G10" i="7"/>
  <c r="F10" i="7"/>
  <c r="K13" i="10" l="1"/>
  <c r="G297" i="18"/>
  <c r="G238" i="18"/>
  <c r="G180" i="18"/>
  <c r="E13" i="7"/>
  <c r="F17" i="7" s="1"/>
  <c r="E15" i="7"/>
  <c r="G15" i="7"/>
  <c r="E83" i="3"/>
  <c r="G83" i="3"/>
  <c r="H83" i="3"/>
  <c r="I83" i="3"/>
  <c r="J83" i="3"/>
  <c r="K83" i="3"/>
  <c r="L83" i="3"/>
  <c r="M83" i="3"/>
  <c r="F83" i="3"/>
  <c r="F52" i="18"/>
  <c r="G52" i="18"/>
  <c r="H52" i="18"/>
  <c r="I52" i="18"/>
  <c r="J52" i="18"/>
  <c r="K52" i="18"/>
  <c r="L52" i="18"/>
  <c r="M52" i="18"/>
  <c r="F51" i="18"/>
  <c r="F53" i="18" s="1"/>
  <c r="G53" i="18"/>
  <c r="H51" i="18"/>
  <c r="H53" i="18" s="1"/>
  <c r="H64" i="18" s="1"/>
  <c r="I51" i="18"/>
  <c r="I53" i="18" s="1"/>
  <c r="J51" i="18"/>
  <c r="J53" i="18" s="1"/>
  <c r="J64" i="18" s="1"/>
  <c r="K51" i="18"/>
  <c r="K53" i="18" s="1"/>
  <c r="L51" i="18"/>
  <c r="L53" i="18" s="1"/>
  <c r="L64" i="18" s="1"/>
  <c r="M51" i="18"/>
  <c r="M53" i="18" s="1"/>
  <c r="F63" i="18"/>
  <c r="G63" i="18"/>
  <c r="H63" i="18"/>
  <c r="I63" i="18"/>
  <c r="J63" i="18"/>
  <c r="K63" i="18"/>
  <c r="L63" i="18"/>
  <c r="M63" i="18"/>
  <c r="D6" i="10"/>
  <c r="F49" i="18"/>
  <c r="G49" i="18"/>
  <c r="H49" i="18"/>
  <c r="I49" i="18"/>
  <c r="J49" i="18"/>
  <c r="K49" i="18"/>
  <c r="L49" i="18"/>
  <c r="M49" i="18"/>
  <c r="F21" i="5" l="1"/>
  <c r="F32" i="5" s="1"/>
  <c r="F64" i="18"/>
  <c r="E85" i="3"/>
  <c r="E40" i="3" s="1"/>
  <c r="E14" i="7"/>
  <c r="F18" i="7" s="1"/>
  <c r="M64" i="18"/>
  <c r="K64" i="18"/>
  <c r="I64" i="18"/>
  <c r="G64" i="18"/>
  <c r="F9" i="5" l="1"/>
  <c r="F75" i="3"/>
  <c r="M48" i="18"/>
  <c r="L48" i="18"/>
  <c r="K48" i="18"/>
  <c r="J48" i="18"/>
  <c r="I48" i="18"/>
  <c r="H48" i="18"/>
  <c r="G48" i="18"/>
  <c r="F48" i="18"/>
  <c r="F31" i="18"/>
  <c r="G31" i="18"/>
  <c r="H31" i="18"/>
  <c r="I31" i="18"/>
  <c r="J31" i="18"/>
  <c r="K31" i="18"/>
  <c r="L31" i="18"/>
  <c r="M31" i="18"/>
  <c r="G16" i="6"/>
  <c r="H16" i="6"/>
  <c r="I16" i="6"/>
  <c r="J16" i="6"/>
  <c r="K16" i="6"/>
  <c r="L16" i="6"/>
  <c r="M16" i="6"/>
  <c r="F16" i="6"/>
  <c r="G24" i="6" l="1"/>
  <c r="H24" i="6"/>
  <c r="I24" i="6"/>
  <c r="J24" i="6"/>
  <c r="K24" i="6"/>
  <c r="L24" i="6"/>
  <c r="M24" i="6"/>
  <c r="F24" i="6"/>
  <c r="G23" i="6"/>
  <c r="H23" i="6"/>
  <c r="I23" i="6"/>
  <c r="J23" i="6"/>
  <c r="K23" i="6"/>
  <c r="L23" i="6"/>
  <c r="M23" i="6"/>
  <c r="F23" i="6"/>
  <c r="G25" i="6"/>
  <c r="H25" i="6"/>
  <c r="I25" i="6"/>
  <c r="J25" i="6"/>
  <c r="K25" i="6"/>
  <c r="L25" i="6"/>
  <c r="M25" i="6"/>
  <c r="F25" i="6"/>
  <c r="F135" i="5" l="1"/>
  <c r="G135" i="5"/>
  <c r="H135" i="5"/>
  <c r="I135" i="5"/>
  <c r="J135" i="5"/>
  <c r="K135" i="5"/>
  <c r="L135" i="5"/>
  <c r="M135" i="5"/>
  <c r="G12" i="5"/>
  <c r="F12" i="5"/>
  <c r="G136" i="5"/>
  <c r="H136" i="5"/>
  <c r="I136" i="5"/>
  <c r="J136" i="5"/>
  <c r="K136" i="5"/>
  <c r="L136" i="5"/>
  <c r="M136" i="5"/>
  <c r="F136" i="5"/>
  <c r="H137" i="5" l="1"/>
  <c r="H12" i="5" s="1"/>
  <c r="L137" i="5"/>
  <c r="L12" i="5" s="1"/>
  <c r="J137" i="5"/>
  <c r="J12" i="5" s="1"/>
  <c r="M137" i="5"/>
  <c r="M12" i="5" s="1"/>
  <c r="K137" i="5"/>
  <c r="K12" i="5" s="1"/>
  <c r="I137" i="5"/>
  <c r="I12" i="5" s="1"/>
  <c r="F22" i="5" l="1"/>
  <c r="G22" i="5"/>
  <c r="F23" i="5"/>
  <c r="G23" i="5"/>
  <c r="F24" i="5"/>
  <c r="G24" i="5"/>
  <c r="F129" i="5"/>
  <c r="G129" i="5"/>
  <c r="H129" i="5"/>
  <c r="I129" i="5"/>
  <c r="J129" i="5"/>
  <c r="K129" i="5"/>
  <c r="L129" i="5"/>
  <c r="M129" i="5"/>
  <c r="F128" i="5"/>
  <c r="G128" i="5"/>
  <c r="H128" i="5"/>
  <c r="I128" i="5"/>
  <c r="J128" i="5"/>
  <c r="K128" i="5"/>
  <c r="L128" i="5"/>
  <c r="L130" i="5" s="1"/>
  <c r="L118" i="5" s="1"/>
  <c r="M128" i="5"/>
  <c r="F63" i="5"/>
  <c r="G63" i="5"/>
  <c r="I63" i="5"/>
  <c r="J63" i="5"/>
  <c r="K63" i="5"/>
  <c r="L63" i="5"/>
  <c r="M63" i="5"/>
  <c r="H63" i="5"/>
  <c r="I24" i="5"/>
  <c r="J24" i="5"/>
  <c r="K24" i="5"/>
  <c r="L24" i="5"/>
  <c r="M24" i="5"/>
  <c r="H24" i="5"/>
  <c r="I23" i="5"/>
  <c r="J23" i="5"/>
  <c r="K23" i="5"/>
  <c r="L23" i="5"/>
  <c r="M23" i="5"/>
  <c r="I26" i="5"/>
  <c r="J26" i="5"/>
  <c r="K26" i="5"/>
  <c r="L26" i="5"/>
  <c r="M26" i="5"/>
  <c r="H26" i="5"/>
  <c r="H23" i="5"/>
  <c r="I22" i="5"/>
  <c r="J22" i="5"/>
  <c r="K22" i="5"/>
  <c r="L22" i="5"/>
  <c r="M22" i="5"/>
  <c r="H22" i="5"/>
  <c r="M130" i="5" l="1"/>
  <c r="M118" i="5" s="1"/>
  <c r="J130" i="5"/>
  <c r="J118" i="5" s="1"/>
  <c r="K130" i="5"/>
  <c r="K118" i="5" s="1"/>
  <c r="I130" i="5"/>
  <c r="I118" i="5" s="1"/>
  <c r="G130" i="5"/>
  <c r="G118" i="5" s="1"/>
  <c r="F130" i="5"/>
  <c r="F118" i="5" s="1"/>
  <c r="H130" i="5"/>
  <c r="H118" i="5" s="1"/>
  <c r="E21" i="3"/>
  <c r="G30" i="3" s="1"/>
  <c r="M25" i="5"/>
  <c r="L25" i="5"/>
  <c r="F76" i="5"/>
  <c r="H15" i="7"/>
  <c r="I15" i="7"/>
  <c r="J15" i="7"/>
  <c r="K15" i="7"/>
  <c r="L15" i="7"/>
  <c r="M15" i="7"/>
  <c r="F15" i="7"/>
  <c r="F85" i="3"/>
  <c r="F40" i="3" s="1"/>
  <c r="G85" i="3"/>
  <c r="G40" i="3" s="1"/>
  <c r="H85" i="3"/>
  <c r="H40" i="3" s="1"/>
  <c r="I85" i="3"/>
  <c r="I40" i="3" s="1"/>
  <c r="J85" i="3"/>
  <c r="J40" i="3" s="1"/>
  <c r="K85" i="3"/>
  <c r="K40" i="3" s="1"/>
  <c r="L85" i="3"/>
  <c r="L40" i="3" s="1"/>
  <c r="M85" i="3"/>
  <c r="M40" i="3" s="1"/>
  <c r="F25" i="5" l="1"/>
  <c r="G25" i="5"/>
  <c r="H25" i="5"/>
  <c r="I25" i="5"/>
  <c r="J25" i="5"/>
  <c r="K25" i="5"/>
  <c r="B2" i="13"/>
  <c r="E57" i="3" l="1"/>
  <c r="E59" i="3" s="1"/>
  <c r="E78" i="3" s="1"/>
  <c r="F21" i="3"/>
  <c r="H30" i="3" s="1"/>
  <c r="F29" i="5"/>
  <c r="A3" i="18"/>
  <c r="A2" i="18"/>
  <c r="H77" i="3" l="1"/>
  <c r="G77" i="3"/>
  <c r="H31" i="5"/>
  <c r="G21" i="3"/>
  <c r="G29" i="5"/>
  <c r="H288" i="18"/>
  <c r="H290" i="18" s="1"/>
  <c r="H255" i="18"/>
  <c r="H257" i="18" s="1"/>
  <c r="H229" i="18"/>
  <c r="H231" i="18" s="1"/>
  <c r="H196" i="18"/>
  <c r="H198" i="18" s="1"/>
  <c r="H171" i="18"/>
  <c r="H173" i="18" s="1"/>
  <c r="H138" i="18"/>
  <c r="H140" i="18" s="1"/>
  <c r="H112" i="18"/>
  <c r="H114" i="18" s="1"/>
  <c r="H79" i="18"/>
  <c r="H81" i="18" s="1"/>
  <c r="H271" i="18"/>
  <c r="H272" i="18" s="1"/>
  <c r="H154" i="18"/>
  <c r="H155" i="18" s="1"/>
  <c r="H34" i="18"/>
  <c r="H35" i="18" s="1"/>
  <c r="H55" i="18"/>
  <c r="H57" i="18" s="1"/>
  <c r="H120" i="5"/>
  <c r="I30" i="3" l="1"/>
  <c r="I212" i="18" s="1"/>
  <c r="I213" i="18" s="1"/>
  <c r="H65" i="18"/>
  <c r="H66" i="18" s="1"/>
  <c r="H68" i="18" s="1"/>
  <c r="H39" i="18"/>
  <c r="H40" i="18" s="1"/>
  <c r="H42" i="18" s="1"/>
  <c r="H23" i="18"/>
  <c r="H25" i="18" s="1"/>
  <c r="H9" i="18" s="1"/>
  <c r="H212" i="18"/>
  <c r="H213" i="18" s="1"/>
  <c r="H95" i="18"/>
  <c r="H96" i="18" s="1"/>
  <c r="H90" i="18"/>
  <c r="H91" i="18" s="1"/>
  <c r="H122" i="18"/>
  <c r="H123" i="18" s="1"/>
  <c r="H125" i="18" s="1"/>
  <c r="H149" i="18"/>
  <c r="H150" i="18" s="1"/>
  <c r="H157" i="18" s="1"/>
  <c r="H181" i="18"/>
  <c r="H182" i="18" s="1"/>
  <c r="H184" i="18" s="1"/>
  <c r="H207" i="18"/>
  <c r="H208" i="18" s="1"/>
  <c r="H239" i="18"/>
  <c r="H240" i="18" s="1"/>
  <c r="H242" i="18" s="1"/>
  <c r="H266" i="18"/>
  <c r="H267" i="18" s="1"/>
  <c r="H274" i="18" s="1"/>
  <c r="H298" i="18"/>
  <c r="H299" i="18" s="1"/>
  <c r="H301" i="18" s="1"/>
  <c r="H21" i="3"/>
  <c r="J30" i="3" s="1"/>
  <c r="H29" i="5"/>
  <c r="A3" i="11"/>
  <c r="A3" i="6"/>
  <c r="A3" i="7"/>
  <c r="A3" i="2"/>
  <c r="A3" i="5"/>
  <c r="A3" i="4"/>
  <c r="A3" i="3"/>
  <c r="I120" i="5" l="1"/>
  <c r="I121" i="5" s="1"/>
  <c r="I196" i="18"/>
  <c r="I198" i="18" s="1"/>
  <c r="I23" i="18"/>
  <c r="I25" i="18" s="1"/>
  <c r="I95" i="18"/>
  <c r="I96" i="18" s="1"/>
  <c r="I31" i="5"/>
  <c r="I207" i="18"/>
  <c r="I208" i="18" s="1"/>
  <c r="I154" i="18"/>
  <c r="I155" i="18" s="1"/>
  <c r="I157" i="18" s="1"/>
  <c r="I266" i="18"/>
  <c r="I267" i="18" s="1"/>
  <c r="I149" i="18"/>
  <c r="I150" i="18" s="1"/>
  <c r="I79" i="18"/>
  <c r="I81" i="18" s="1"/>
  <c r="I55" i="18"/>
  <c r="I57" i="18" s="1"/>
  <c r="I271" i="18"/>
  <c r="I272" i="18" s="1"/>
  <c r="I90" i="18"/>
  <c r="I91" i="18" s="1"/>
  <c r="I298" i="18"/>
  <c r="I299" i="18" s="1"/>
  <c r="I239" i="18"/>
  <c r="I240" i="18" s="1"/>
  <c r="I181" i="18"/>
  <c r="I182" i="18" s="1"/>
  <c r="I122" i="18"/>
  <c r="I123" i="18" s="1"/>
  <c r="I39" i="18"/>
  <c r="I40" i="18" s="1"/>
  <c r="I255" i="18"/>
  <c r="I257" i="18" s="1"/>
  <c r="I138" i="18"/>
  <c r="I140" i="18" s="1"/>
  <c r="I77" i="3"/>
  <c r="I288" i="18"/>
  <c r="I290" i="18" s="1"/>
  <c r="I301" i="18" s="1"/>
  <c r="I112" i="18"/>
  <c r="I114" i="18" s="1"/>
  <c r="I125" i="18" s="1"/>
  <c r="I229" i="18"/>
  <c r="I231" i="18" s="1"/>
  <c r="I34" i="18"/>
  <c r="I35" i="18" s="1"/>
  <c r="I171" i="18"/>
  <c r="I173" i="18" s="1"/>
  <c r="I65" i="18"/>
  <c r="I66" i="18" s="1"/>
  <c r="I215" i="18"/>
  <c r="H98" i="18"/>
  <c r="H215" i="18"/>
  <c r="I74" i="3"/>
  <c r="I11" i="5"/>
  <c r="J31" i="5"/>
  <c r="J77" i="3"/>
  <c r="H11" i="18"/>
  <c r="J298" i="18"/>
  <c r="J299" i="18" s="1"/>
  <c r="I21" i="3"/>
  <c r="I29" i="5"/>
  <c r="J288" i="18"/>
  <c r="J266" i="18"/>
  <c r="J267" i="18" s="1"/>
  <c r="J255" i="18"/>
  <c r="J257" i="18" s="1"/>
  <c r="J239" i="18"/>
  <c r="J240" i="18" s="1"/>
  <c r="J229" i="18"/>
  <c r="J231" i="18" s="1"/>
  <c r="J207" i="18"/>
  <c r="J208" i="18" s="1"/>
  <c r="J196" i="18"/>
  <c r="J198" i="18" s="1"/>
  <c r="J181" i="18"/>
  <c r="J182" i="18" s="1"/>
  <c r="J171" i="18"/>
  <c r="J173" i="18" s="1"/>
  <c r="J149" i="18"/>
  <c r="J150" i="18" s="1"/>
  <c r="J138" i="18"/>
  <c r="J140" i="18" s="1"/>
  <c r="J122" i="18"/>
  <c r="J123" i="18" s="1"/>
  <c r="J112" i="18"/>
  <c r="J114" i="18" s="1"/>
  <c r="J90" i="18"/>
  <c r="J91" i="18" s="1"/>
  <c r="J79" i="18"/>
  <c r="J81" i="18" s="1"/>
  <c r="J271" i="18"/>
  <c r="J272" i="18" s="1"/>
  <c r="J212" i="18"/>
  <c r="J213" i="18" s="1"/>
  <c r="J154" i="18"/>
  <c r="J155" i="18" s="1"/>
  <c r="J95" i="18"/>
  <c r="J96" i="18" s="1"/>
  <c r="J23" i="18"/>
  <c r="J25" i="18" s="1"/>
  <c r="J34" i="18"/>
  <c r="J35" i="18" s="1"/>
  <c r="J39" i="18"/>
  <c r="J40" i="18" s="1"/>
  <c r="J55" i="18"/>
  <c r="J57" i="18" s="1"/>
  <c r="J65" i="18"/>
  <c r="J66" i="18" s="1"/>
  <c r="J120" i="5"/>
  <c r="J121" i="5" s="1"/>
  <c r="J40" i="4"/>
  <c r="J42" i="4"/>
  <c r="I42" i="4"/>
  <c r="H42" i="4"/>
  <c r="G42" i="4"/>
  <c r="M41" i="4"/>
  <c r="L41" i="4"/>
  <c r="K41" i="4"/>
  <c r="J41" i="4"/>
  <c r="I41" i="4"/>
  <c r="H41" i="4"/>
  <c r="G41" i="4"/>
  <c r="F41" i="4"/>
  <c r="G43" i="4" s="1"/>
  <c r="I40" i="4"/>
  <c r="H40" i="4"/>
  <c r="G40" i="4"/>
  <c r="F40" i="4"/>
  <c r="M21" i="4"/>
  <c r="L21" i="4"/>
  <c r="K21" i="4"/>
  <c r="J21" i="4"/>
  <c r="I21" i="4"/>
  <c r="H21" i="4"/>
  <c r="G21" i="4"/>
  <c r="F21" i="4"/>
  <c r="I19" i="4"/>
  <c r="H19" i="4"/>
  <c r="G19" i="4"/>
  <c r="F19" i="4"/>
  <c r="D21" i="3"/>
  <c r="F30" i="3" s="1"/>
  <c r="G18" i="4"/>
  <c r="H18" i="4"/>
  <c r="I18" i="4"/>
  <c r="J18" i="4"/>
  <c r="K18" i="4"/>
  <c r="L18" i="4"/>
  <c r="M18" i="4"/>
  <c r="G20" i="4"/>
  <c r="H20" i="4"/>
  <c r="I20" i="4"/>
  <c r="J20" i="4"/>
  <c r="K20" i="4"/>
  <c r="L20" i="4"/>
  <c r="M20" i="4"/>
  <c r="F20" i="4"/>
  <c r="F18" i="4"/>
  <c r="G22" i="4"/>
  <c r="H22" i="4"/>
  <c r="I22" i="4"/>
  <c r="J22" i="4"/>
  <c r="G13" i="3"/>
  <c r="H13" i="3"/>
  <c r="I13" i="3"/>
  <c r="J13" i="3"/>
  <c r="H11" i="3"/>
  <c r="I11" i="3"/>
  <c r="J11" i="3"/>
  <c r="K11" i="3"/>
  <c r="L11" i="3"/>
  <c r="M11" i="3"/>
  <c r="G10" i="3"/>
  <c r="H10" i="3"/>
  <c r="I10" i="3"/>
  <c r="J10" i="3"/>
  <c r="K10" i="3"/>
  <c r="L10" i="3"/>
  <c r="M10" i="3"/>
  <c r="F10" i="3"/>
  <c r="I98" i="18" l="1"/>
  <c r="I274" i="18"/>
  <c r="I242" i="18"/>
  <c r="I184" i="18"/>
  <c r="I68" i="18"/>
  <c r="I9" i="18"/>
  <c r="I42" i="18"/>
  <c r="I10" i="18" s="1"/>
  <c r="H10" i="18"/>
  <c r="H12" i="18" s="1"/>
  <c r="K30" i="3"/>
  <c r="K149" i="18" s="1"/>
  <c r="K150" i="18" s="1"/>
  <c r="F77" i="3"/>
  <c r="I43" i="4"/>
  <c r="J74" i="3"/>
  <c r="J11" i="5"/>
  <c r="H43" i="4"/>
  <c r="H23" i="4"/>
  <c r="H10" i="4" s="1"/>
  <c r="H70" i="3" s="1"/>
  <c r="F31" i="5"/>
  <c r="G31" i="5"/>
  <c r="G271" i="18"/>
  <c r="G272" i="18" s="1"/>
  <c r="G154" i="18"/>
  <c r="G155" i="18" s="1"/>
  <c r="G298" i="18"/>
  <c r="G299" i="18" s="1"/>
  <c r="G266" i="18"/>
  <c r="G267" i="18" s="1"/>
  <c r="G239" i="18"/>
  <c r="G240" i="18" s="1"/>
  <c r="G207" i="18"/>
  <c r="G208" i="18" s="1"/>
  <c r="G181" i="18"/>
  <c r="G182" i="18" s="1"/>
  <c r="G149" i="18"/>
  <c r="G150" i="18" s="1"/>
  <c r="G122" i="18"/>
  <c r="G123" i="18" s="1"/>
  <c r="G90" i="18"/>
  <c r="G91" i="18" s="1"/>
  <c r="G34" i="18"/>
  <c r="G35" i="18" s="1"/>
  <c r="G120" i="5"/>
  <c r="G11" i="5" s="1"/>
  <c r="G212" i="18"/>
  <c r="G213" i="18" s="1"/>
  <c r="G95" i="18"/>
  <c r="G96" i="18" s="1"/>
  <c r="G288" i="18"/>
  <c r="G290" i="18" s="1"/>
  <c r="G255" i="18"/>
  <c r="G257" i="18" s="1"/>
  <c r="G229" i="18"/>
  <c r="G231" i="18" s="1"/>
  <c r="G196" i="18"/>
  <c r="G198" i="18" s="1"/>
  <c r="G171" i="18"/>
  <c r="G173" i="18" s="1"/>
  <c r="G138" i="18"/>
  <c r="G140" i="18" s="1"/>
  <c r="G112" i="18"/>
  <c r="G114" i="18" s="1"/>
  <c r="G79" i="18"/>
  <c r="G81" i="18" s="1"/>
  <c r="G65" i="18"/>
  <c r="G66" i="18" s="1"/>
  <c r="G55" i="18"/>
  <c r="G57" i="18" s="1"/>
  <c r="G23" i="18"/>
  <c r="G25" i="18" s="1"/>
  <c r="G39" i="18"/>
  <c r="G40" i="18" s="1"/>
  <c r="J19" i="4"/>
  <c r="F13" i="3"/>
  <c r="F22" i="4"/>
  <c r="F10" i="4" s="1"/>
  <c r="J290" i="18"/>
  <c r="J301" i="18" s="1"/>
  <c r="J125" i="18"/>
  <c r="J184" i="18"/>
  <c r="J242" i="18"/>
  <c r="J9" i="18"/>
  <c r="J21" i="3"/>
  <c r="L30" i="3" s="1"/>
  <c r="J29" i="5"/>
  <c r="J68" i="18"/>
  <c r="J42" i="18"/>
  <c r="J98" i="18"/>
  <c r="J157" i="18"/>
  <c r="J215" i="18"/>
  <c r="J274" i="18"/>
  <c r="F298" i="18"/>
  <c r="F299" i="18" s="1"/>
  <c r="F266" i="18"/>
  <c r="F267" i="18" s="1"/>
  <c r="F239" i="18"/>
  <c r="F240" i="18" s="1"/>
  <c r="F207" i="18"/>
  <c r="F208" i="18" s="1"/>
  <c r="F181" i="18"/>
  <c r="F182" i="18" s="1"/>
  <c r="F149" i="18"/>
  <c r="F150" i="18" s="1"/>
  <c r="F122" i="18"/>
  <c r="F123" i="18" s="1"/>
  <c r="F90" i="18"/>
  <c r="F91" i="18" s="1"/>
  <c r="F271" i="18"/>
  <c r="F272" i="18" s="1"/>
  <c r="F154" i="18"/>
  <c r="F155" i="18" s="1"/>
  <c r="F23" i="18"/>
  <c r="F25" i="18" s="1"/>
  <c r="F34" i="18"/>
  <c r="F35" i="18" s="1"/>
  <c r="F39" i="18"/>
  <c r="F40" i="18" s="1"/>
  <c r="F65" i="18"/>
  <c r="F66" i="18" s="1"/>
  <c r="F288" i="18"/>
  <c r="F290" i="18" s="1"/>
  <c r="F255" i="18"/>
  <c r="F257" i="18" s="1"/>
  <c r="F229" i="18"/>
  <c r="F196" i="18"/>
  <c r="F198" i="18" s="1"/>
  <c r="F171" i="18"/>
  <c r="F138" i="18"/>
  <c r="F140" i="18" s="1"/>
  <c r="F112" i="18"/>
  <c r="F79" i="18"/>
  <c r="F81" i="18" s="1"/>
  <c r="F212" i="18"/>
  <c r="F213" i="18" s="1"/>
  <c r="F95" i="18"/>
  <c r="F96" i="18" s="1"/>
  <c r="F120" i="5"/>
  <c r="F55" i="18"/>
  <c r="F57" i="18" s="1"/>
  <c r="K29" i="5"/>
  <c r="F42" i="4"/>
  <c r="F11" i="4" s="1"/>
  <c r="J43" i="4"/>
  <c r="J11" i="4" s="1"/>
  <c r="J72" i="3" s="1"/>
  <c r="J23" i="4"/>
  <c r="J10" i="4" s="1"/>
  <c r="J70" i="3" s="1"/>
  <c r="I23" i="4"/>
  <c r="I10" i="4" s="1"/>
  <c r="I70" i="3" s="1"/>
  <c r="G10" i="4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G242" i="18" l="1"/>
  <c r="G125" i="18"/>
  <c r="G184" i="18"/>
  <c r="F68" i="18"/>
  <c r="F301" i="18"/>
  <c r="I11" i="18"/>
  <c r="I12" i="18" s="1"/>
  <c r="I16" i="18" s="1"/>
  <c r="K23" i="18"/>
  <c r="K25" i="18" s="1"/>
  <c r="K154" i="18"/>
  <c r="K155" i="18" s="1"/>
  <c r="K157" i="18" s="1"/>
  <c r="F42" i="18"/>
  <c r="K239" i="18"/>
  <c r="K240" i="18" s="1"/>
  <c r="K138" i="18"/>
  <c r="K140" i="18" s="1"/>
  <c r="K288" i="18"/>
  <c r="K290" i="18" s="1"/>
  <c r="F12" i="4"/>
  <c r="F10" i="2" s="1"/>
  <c r="F14" i="3"/>
  <c r="F69" i="3" s="1"/>
  <c r="H16" i="18"/>
  <c r="H148" i="5" s="1"/>
  <c r="H76" i="3"/>
  <c r="K271" i="18"/>
  <c r="K272" i="18" s="1"/>
  <c r="K122" i="18"/>
  <c r="K123" i="18" s="1"/>
  <c r="K255" i="18"/>
  <c r="K257" i="18" s="1"/>
  <c r="K39" i="18"/>
  <c r="K40" i="18" s="1"/>
  <c r="K90" i="18"/>
  <c r="K91" i="18" s="1"/>
  <c r="K120" i="5"/>
  <c r="K121" i="5" s="1"/>
  <c r="K77" i="3"/>
  <c r="K212" i="18"/>
  <c r="K213" i="18" s="1"/>
  <c r="K298" i="18"/>
  <c r="K299" i="18" s="1"/>
  <c r="K181" i="18"/>
  <c r="K182" i="18" s="1"/>
  <c r="K65" i="18"/>
  <c r="K66" i="18" s="1"/>
  <c r="K95" i="18"/>
  <c r="K96" i="18" s="1"/>
  <c r="K196" i="18"/>
  <c r="K198" i="18" s="1"/>
  <c r="K79" i="18"/>
  <c r="K81" i="18" s="1"/>
  <c r="K13" i="3"/>
  <c r="K207" i="18"/>
  <c r="K208" i="18" s="1"/>
  <c r="K215" i="18" s="1"/>
  <c r="K55" i="18"/>
  <c r="K57" i="18" s="1"/>
  <c r="K171" i="18"/>
  <c r="K173" i="18" s="1"/>
  <c r="K184" i="18" s="1"/>
  <c r="K31" i="5"/>
  <c r="K112" i="18"/>
  <c r="K114" i="18" s="1"/>
  <c r="G301" i="18"/>
  <c r="K266" i="18"/>
  <c r="K267" i="18" s="1"/>
  <c r="K229" i="18"/>
  <c r="K231" i="18" s="1"/>
  <c r="K34" i="18"/>
  <c r="K35" i="18" s="1"/>
  <c r="G157" i="18"/>
  <c r="F9" i="18"/>
  <c r="J11" i="18"/>
  <c r="L95" i="18"/>
  <c r="L96" i="18" s="1"/>
  <c r="L77" i="3"/>
  <c r="F274" i="18"/>
  <c r="F11" i="5"/>
  <c r="G9" i="18"/>
  <c r="G42" i="18"/>
  <c r="L266" i="18"/>
  <c r="L267" i="18" s="1"/>
  <c r="K42" i="4"/>
  <c r="K43" i="4" s="1"/>
  <c r="K11" i="4" s="1"/>
  <c r="K72" i="3" s="1"/>
  <c r="K22" i="4"/>
  <c r="K23" i="4" s="1"/>
  <c r="K10" i="4" s="1"/>
  <c r="K70" i="3" s="1"/>
  <c r="L229" i="18"/>
  <c r="L231" i="18" s="1"/>
  <c r="L298" i="18"/>
  <c r="L299" i="18" s="1"/>
  <c r="G68" i="18"/>
  <c r="G98" i="18"/>
  <c r="G215" i="18"/>
  <c r="G274" i="18"/>
  <c r="L112" i="18"/>
  <c r="L114" i="18" s="1"/>
  <c r="L120" i="5"/>
  <c r="L121" i="5" s="1"/>
  <c r="L181" i="18"/>
  <c r="L182" i="18" s="1"/>
  <c r="I11" i="4"/>
  <c r="I72" i="3" s="1"/>
  <c r="J12" i="4"/>
  <c r="J10" i="2" s="1"/>
  <c r="G11" i="4"/>
  <c r="G72" i="3" s="1"/>
  <c r="H11" i="4"/>
  <c r="H72" i="3" s="1"/>
  <c r="L65" i="18"/>
  <c r="L66" i="18" s="1"/>
  <c r="L271" i="18"/>
  <c r="L272" i="18" s="1"/>
  <c r="L171" i="18"/>
  <c r="L173" i="18" s="1"/>
  <c r="L288" i="18"/>
  <c r="L290" i="18" s="1"/>
  <c r="L34" i="18"/>
  <c r="L35" i="18" s="1"/>
  <c r="L122" i="18"/>
  <c r="L123" i="18" s="1"/>
  <c r="L239" i="18"/>
  <c r="L240" i="18" s="1"/>
  <c r="F114" i="18"/>
  <c r="F125" i="18" s="1"/>
  <c r="F173" i="18"/>
  <c r="F184" i="18" s="1"/>
  <c r="F231" i="18"/>
  <c r="F242" i="18" s="1"/>
  <c r="L39" i="18"/>
  <c r="L40" i="18" s="1"/>
  <c r="L154" i="18"/>
  <c r="L155" i="18" s="1"/>
  <c r="L79" i="18"/>
  <c r="L81" i="18" s="1"/>
  <c r="L138" i="18"/>
  <c r="L140" i="18" s="1"/>
  <c r="L196" i="18"/>
  <c r="L198" i="18" s="1"/>
  <c r="L255" i="18"/>
  <c r="L257" i="18" s="1"/>
  <c r="L55" i="18"/>
  <c r="L57" i="18" s="1"/>
  <c r="L23" i="18"/>
  <c r="L25" i="18" s="1"/>
  <c r="L212" i="18"/>
  <c r="L213" i="18" s="1"/>
  <c r="L90" i="18"/>
  <c r="L91" i="18" s="1"/>
  <c r="L149" i="18"/>
  <c r="L150" i="18" s="1"/>
  <c r="L207" i="18"/>
  <c r="L208" i="18" s="1"/>
  <c r="L31" i="5"/>
  <c r="L22" i="4"/>
  <c r="L23" i="4" s="1"/>
  <c r="L10" i="4" s="1"/>
  <c r="L70" i="3" s="1"/>
  <c r="L13" i="3"/>
  <c r="J10" i="18"/>
  <c r="K21" i="3"/>
  <c r="M30" i="3" s="1"/>
  <c r="K40" i="4"/>
  <c r="K19" i="4"/>
  <c r="M29" i="5"/>
  <c r="L29" i="5"/>
  <c r="F98" i="18"/>
  <c r="F157" i="18"/>
  <c r="F215" i="18"/>
  <c r="H28" i="5" l="1"/>
  <c r="H13" i="2"/>
  <c r="K301" i="18"/>
  <c r="K125" i="18"/>
  <c r="K68" i="18"/>
  <c r="K242" i="18"/>
  <c r="F37" i="5"/>
  <c r="K274" i="18"/>
  <c r="K9" i="18"/>
  <c r="K98" i="18"/>
  <c r="H72" i="5"/>
  <c r="F10" i="18"/>
  <c r="I76" i="3"/>
  <c r="G11" i="18"/>
  <c r="K42" i="18"/>
  <c r="J12" i="18"/>
  <c r="J76" i="3" s="1"/>
  <c r="L98" i="18"/>
  <c r="M31" i="5"/>
  <c r="M77" i="3"/>
  <c r="F11" i="18"/>
  <c r="L125" i="18"/>
  <c r="L184" i="18"/>
  <c r="F147" i="5"/>
  <c r="F27" i="5"/>
  <c r="L42" i="4"/>
  <c r="L43" i="4" s="1"/>
  <c r="L11" i="4" s="1"/>
  <c r="L72" i="3" s="1"/>
  <c r="L68" i="18"/>
  <c r="L42" i="18"/>
  <c r="L301" i="18"/>
  <c r="L274" i="18"/>
  <c r="G10" i="18"/>
  <c r="L242" i="18"/>
  <c r="L157" i="18"/>
  <c r="L215" i="18"/>
  <c r="L9" i="18"/>
  <c r="M21" i="3"/>
  <c r="M40" i="4"/>
  <c r="M19" i="4"/>
  <c r="M34" i="18"/>
  <c r="M35" i="18" s="1"/>
  <c r="M23" i="18"/>
  <c r="M25" i="18" s="1"/>
  <c r="M271" i="18"/>
  <c r="M272" i="18" s="1"/>
  <c r="M154" i="18"/>
  <c r="M155" i="18" s="1"/>
  <c r="M90" i="18"/>
  <c r="M91" i="18" s="1"/>
  <c r="M298" i="18"/>
  <c r="M299" i="18" s="1"/>
  <c r="M266" i="18"/>
  <c r="M267" i="18" s="1"/>
  <c r="M239" i="18"/>
  <c r="M240" i="18" s="1"/>
  <c r="M207" i="18"/>
  <c r="M208" i="18" s="1"/>
  <c r="M181" i="18"/>
  <c r="M182" i="18" s="1"/>
  <c r="M149" i="18"/>
  <c r="M150" i="18" s="1"/>
  <c r="M122" i="18"/>
  <c r="M123" i="18" s="1"/>
  <c r="M120" i="5"/>
  <c r="M121" i="5" s="1"/>
  <c r="M39" i="18"/>
  <c r="M40" i="18" s="1"/>
  <c r="M212" i="18"/>
  <c r="M213" i="18" s="1"/>
  <c r="M95" i="18"/>
  <c r="M96" i="18" s="1"/>
  <c r="M79" i="18"/>
  <c r="M81" i="18" s="1"/>
  <c r="M288" i="18"/>
  <c r="M255" i="18"/>
  <c r="M257" i="18" s="1"/>
  <c r="M229" i="18"/>
  <c r="M196" i="18"/>
  <c r="M198" i="18" s="1"/>
  <c r="M171" i="18"/>
  <c r="M138" i="18"/>
  <c r="M140" i="18" s="1"/>
  <c r="M112" i="18"/>
  <c r="M65" i="18"/>
  <c r="M66" i="18" s="1"/>
  <c r="M55" i="18"/>
  <c r="M57" i="18" s="1"/>
  <c r="M22" i="4"/>
  <c r="M23" i="4" s="1"/>
  <c r="M10" i="4" s="1"/>
  <c r="M70" i="3" s="1"/>
  <c r="M13" i="3"/>
  <c r="M42" i="4"/>
  <c r="M43" i="4" s="1"/>
  <c r="L21" i="3"/>
  <c r="L40" i="4"/>
  <c r="L19" i="4"/>
  <c r="F26" i="6"/>
  <c r="F27" i="6" s="1"/>
  <c r="F71" i="5"/>
  <c r="G53" i="11"/>
  <c r="G29" i="11"/>
  <c r="I18" i="10" s="1"/>
  <c r="A2" i="10"/>
  <c r="K11" i="18" l="1"/>
  <c r="K10" i="18"/>
  <c r="F12" i="18"/>
  <c r="F16" i="18" s="1"/>
  <c r="G12" i="18"/>
  <c r="G76" i="3" s="1"/>
  <c r="I20" i="10"/>
  <c r="J16" i="18"/>
  <c r="J28" i="5" s="1"/>
  <c r="L11" i="18"/>
  <c r="I72" i="5"/>
  <c r="I28" i="5"/>
  <c r="I13" i="2"/>
  <c r="I148" i="5"/>
  <c r="M11" i="4"/>
  <c r="M72" i="3" s="1"/>
  <c r="L10" i="18"/>
  <c r="M274" i="18"/>
  <c r="M114" i="18"/>
  <c r="M125" i="18" s="1"/>
  <c r="M173" i="18"/>
  <c r="M184" i="18" s="1"/>
  <c r="M231" i="18"/>
  <c r="M242" i="18" s="1"/>
  <c r="M290" i="18"/>
  <c r="M301" i="18" s="1"/>
  <c r="M157" i="18"/>
  <c r="M68" i="18"/>
  <c r="M9" i="18"/>
  <c r="M215" i="18"/>
  <c r="M98" i="18"/>
  <c r="M42" i="18"/>
  <c r="K12" i="18" l="1"/>
  <c r="K16" i="18" s="1"/>
  <c r="K21" i="10"/>
  <c r="K36" i="10"/>
  <c r="K76" i="3"/>
  <c r="G16" i="18"/>
  <c r="G148" i="5" s="1"/>
  <c r="E39" i="3"/>
  <c r="G41" i="3" s="1"/>
  <c r="J13" i="2"/>
  <c r="J148" i="5"/>
  <c r="L12" i="18"/>
  <c r="L76" i="3" s="1"/>
  <c r="J72" i="5"/>
  <c r="F76" i="3"/>
  <c r="F78" i="3" s="1"/>
  <c r="F148" i="5"/>
  <c r="H151" i="5" s="1"/>
  <c r="M11" i="18"/>
  <c r="M10" i="18"/>
  <c r="K38" i="10" l="1"/>
  <c r="G72" i="5"/>
  <c r="G13" i="2"/>
  <c r="G28" i="5"/>
  <c r="G12" i="3"/>
  <c r="L16" i="18"/>
  <c r="L72" i="5" s="1"/>
  <c r="H13" i="5"/>
  <c r="F39" i="3"/>
  <c r="H41" i="3" s="1"/>
  <c r="M12" i="18"/>
  <c r="M76" i="3" s="1"/>
  <c r="F72" i="5"/>
  <c r="F13" i="2"/>
  <c r="F28" i="5"/>
  <c r="K72" i="5"/>
  <c r="K148" i="5"/>
  <c r="K13" i="2"/>
  <c r="K28" i="5"/>
  <c r="L148" i="5" l="1"/>
  <c r="M16" i="18"/>
  <c r="M148" i="5" s="1"/>
  <c r="F73" i="5"/>
  <c r="F61" i="5" s="1"/>
  <c r="F83" i="5"/>
  <c r="H32" i="5"/>
  <c r="H75" i="3" s="1"/>
  <c r="L28" i="5"/>
  <c r="L13" i="2"/>
  <c r="M13" i="2" l="1"/>
  <c r="M72" i="5"/>
  <c r="M28" i="5"/>
  <c r="H9" i="5"/>
  <c r="H12" i="3"/>
  <c r="H14" i="3" s="1"/>
  <c r="H69" i="3" s="1"/>
  <c r="F14" i="5"/>
  <c r="F15" i="6"/>
  <c r="F17" i="6" s="1"/>
  <c r="G14" i="5"/>
  <c r="H147" i="5" l="1"/>
  <c r="J151" i="5" s="1"/>
  <c r="J13" i="5" s="1"/>
  <c r="H27" i="5"/>
  <c r="J32" i="5" s="1"/>
  <c r="H71" i="5"/>
  <c r="H73" i="5" s="1"/>
  <c r="H61" i="5" s="1"/>
  <c r="H26" i="6"/>
  <c r="H27" i="6" s="1"/>
  <c r="F9" i="6"/>
  <c r="F12" i="2"/>
  <c r="G11" i="2"/>
  <c r="M12" i="4"/>
  <c r="M10" i="2" s="1"/>
  <c r="L12" i="4"/>
  <c r="L10" i="2" s="1"/>
  <c r="K12" i="4"/>
  <c r="K10" i="2" s="1"/>
  <c r="I12" i="4"/>
  <c r="I10" i="2" s="1"/>
  <c r="H12" i="4"/>
  <c r="H10" i="2" s="1"/>
  <c r="G12" i="4"/>
  <c r="G10" i="2" s="1"/>
  <c r="K74" i="3" l="1"/>
  <c r="K11" i="5"/>
  <c r="J75" i="3"/>
  <c r="J9" i="5"/>
  <c r="H83" i="5"/>
  <c r="H15" i="6"/>
  <c r="H17" i="6" s="1"/>
  <c r="F11" i="2"/>
  <c r="G14" i="2"/>
  <c r="H9" i="2"/>
  <c r="F9" i="2"/>
  <c r="L74" i="3" l="1"/>
  <c r="L11" i="5"/>
  <c r="H62" i="5"/>
  <c r="H9" i="6"/>
  <c r="J64" i="5" l="1"/>
  <c r="J10" i="5" s="1"/>
  <c r="J14" i="5" s="1"/>
  <c r="J11" i="2" s="1"/>
  <c r="M74" i="3"/>
  <c r="M11" i="5"/>
  <c r="F14" i="2" l="1"/>
  <c r="F16" i="2" s="1"/>
  <c r="F11" i="7" l="1"/>
  <c r="H16" i="7" s="1"/>
  <c r="F14" i="7" l="1"/>
  <c r="H18" i="7" s="1"/>
  <c r="F117" i="5" l="1"/>
  <c r="H121" i="5" s="1"/>
  <c r="H74" i="3" l="1"/>
  <c r="H11" i="5"/>
  <c r="H78" i="3" l="1"/>
  <c r="H39" i="3" s="1"/>
  <c r="J41" i="3" l="1"/>
  <c r="J12" i="3" s="1"/>
  <c r="J14" i="3" s="1"/>
  <c r="J9" i="2" s="1"/>
  <c r="J26" i="6" l="1"/>
  <c r="J71" i="5"/>
  <c r="J73" i="5" s="1"/>
  <c r="J61" i="5" s="1"/>
  <c r="J69" i="3"/>
  <c r="J78" i="3" s="1"/>
  <c r="J39" i="3" s="1"/>
  <c r="L41" i="3" s="1"/>
  <c r="J147" i="5"/>
  <c r="J27" i="5"/>
  <c r="H12" i="2"/>
  <c r="G11" i="3"/>
  <c r="G14" i="3" s="1"/>
  <c r="G69" i="3" s="1"/>
  <c r="J83" i="5" l="1"/>
  <c r="J62" i="5" s="1"/>
  <c r="L64" i="5" s="1"/>
  <c r="L10" i="5" s="1"/>
  <c r="G78" i="3"/>
  <c r="G39" i="3" s="1"/>
  <c r="I41" i="3" s="1"/>
  <c r="I12" i="3" s="1"/>
  <c r="I14" i="3" s="1"/>
  <c r="I69" i="3" s="1"/>
  <c r="J27" i="6"/>
  <c r="J15" i="6" s="1"/>
  <c r="J17" i="6" s="1"/>
  <c r="L32" i="5"/>
  <c r="L75" i="3" s="1"/>
  <c r="G147" i="5"/>
  <c r="L12" i="3"/>
  <c r="L14" i="3" s="1"/>
  <c r="G9" i="2"/>
  <c r="G27" i="5"/>
  <c r="I32" i="5" s="1"/>
  <c r="G26" i="6"/>
  <c r="G27" i="6" s="1"/>
  <c r="G71" i="5"/>
  <c r="G83" i="5" s="1"/>
  <c r="J9" i="6" l="1"/>
  <c r="J12" i="2"/>
  <c r="L9" i="5"/>
  <c r="L14" i="5" s="1"/>
  <c r="L11" i="2" s="1"/>
  <c r="I151" i="5"/>
  <c r="I13" i="5" s="1"/>
  <c r="G15" i="6"/>
  <c r="G17" i="6" s="1"/>
  <c r="G9" i="6" s="1"/>
  <c r="I75" i="3"/>
  <c r="I78" i="3" s="1"/>
  <c r="I39" i="3" s="1"/>
  <c r="I9" i="5"/>
  <c r="L69" i="3"/>
  <c r="L78" i="3" s="1"/>
  <c r="L39" i="3" s="1"/>
  <c r="L27" i="5"/>
  <c r="L71" i="5"/>
  <c r="L73" i="5" s="1"/>
  <c r="L61" i="5" s="1"/>
  <c r="L9" i="2"/>
  <c r="L26" i="6"/>
  <c r="L27" i="6" s="1"/>
  <c r="L147" i="5"/>
  <c r="I147" i="5"/>
  <c r="K151" i="5" s="1"/>
  <c r="K13" i="5" s="1"/>
  <c r="I9" i="2"/>
  <c r="I27" i="5"/>
  <c r="K32" i="5" s="1"/>
  <c r="I26" i="6"/>
  <c r="I27" i="6" s="1"/>
  <c r="I71" i="5"/>
  <c r="I83" i="5" s="1"/>
  <c r="I62" i="5" s="1"/>
  <c r="G62" i="5"/>
  <c r="G73" i="5"/>
  <c r="G61" i="5" s="1"/>
  <c r="K41" i="3" l="1"/>
  <c r="K12" i="3" s="1"/>
  <c r="K14" i="3" s="1"/>
  <c r="I64" i="5"/>
  <c r="I73" i="5"/>
  <c r="I61" i="5" s="1"/>
  <c r="K64" i="5" s="1"/>
  <c r="L83" i="5"/>
  <c r="L62" i="5" s="1"/>
  <c r="G12" i="2"/>
  <c r="G16" i="2" s="1"/>
  <c r="I15" i="6"/>
  <c r="I17" i="6" s="1"/>
  <c r="L15" i="6"/>
  <c r="L17" i="6" s="1"/>
  <c r="K75" i="3"/>
  <c r="K9" i="5"/>
  <c r="G11" i="7" l="1"/>
  <c r="I16" i="7" s="1"/>
  <c r="K69" i="3"/>
  <c r="K78" i="3" s="1"/>
  <c r="K39" i="3" s="1"/>
  <c r="K71" i="5"/>
  <c r="K83" i="5" s="1"/>
  <c r="K62" i="5" s="1"/>
  <c r="K27" i="5"/>
  <c r="K147" i="5"/>
  <c r="K26" i="6"/>
  <c r="K27" i="6" s="1"/>
  <c r="K15" i="6" s="1"/>
  <c r="K17" i="6" s="1"/>
  <c r="K9" i="2"/>
  <c r="G14" i="7"/>
  <c r="L12" i="2"/>
  <c r="L9" i="6"/>
  <c r="I12" i="2"/>
  <c r="I9" i="6"/>
  <c r="K10" i="5"/>
  <c r="K14" i="5" s="1"/>
  <c r="K11" i="2" s="1"/>
  <c r="I10" i="5"/>
  <c r="I14" i="5" s="1"/>
  <c r="I11" i="2" s="1"/>
  <c r="I18" i="7" l="1"/>
  <c r="K73" i="5"/>
  <c r="K61" i="5" s="1"/>
  <c r="M64" i="5" s="1"/>
  <c r="M32" i="5"/>
  <c r="M9" i="5" s="1"/>
  <c r="M41" i="3"/>
  <c r="M12" i="3" s="1"/>
  <c r="M14" i="3" s="1"/>
  <c r="K12" i="2"/>
  <c r="K9" i="6"/>
  <c r="M75" i="3" l="1"/>
  <c r="M69" i="3"/>
  <c r="M27" i="5"/>
  <c r="M147" i="5"/>
  <c r="M26" i="6"/>
  <c r="M9" i="2"/>
  <c r="M71" i="5"/>
  <c r="M73" i="5" s="1"/>
  <c r="M61" i="5" s="1"/>
  <c r="M10" i="5"/>
  <c r="M14" i="5" s="1"/>
  <c r="M11" i="2" s="1"/>
  <c r="H14" i="2"/>
  <c r="I14" i="2"/>
  <c r="I16" i="2" l="1"/>
  <c r="M27" i="6"/>
  <c r="M15" i="6" s="1"/>
  <c r="M17" i="6" s="1"/>
  <c r="M9" i="6" s="1"/>
  <c r="M78" i="3"/>
  <c r="M39" i="3" s="1"/>
  <c r="M83" i="5"/>
  <c r="M62" i="5" s="1"/>
  <c r="I11" i="7" l="1"/>
  <c r="M12" i="2"/>
  <c r="I14" i="7" l="1"/>
  <c r="K16" i="7"/>
  <c r="K18" i="7" l="1"/>
  <c r="K14" i="2" s="1"/>
  <c r="K16" i="2" s="1"/>
  <c r="K11" i="7" s="1"/>
  <c r="K14" i="7" s="1"/>
  <c r="M16" i="7" l="1"/>
  <c r="M18" i="7" s="1"/>
  <c r="M14" i="2" s="1"/>
  <c r="M16" i="2" s="1"/>
  <c r="M11" i="7" s="1"/>
  <c r="M14" i="7" s="1"/>
  <c r="F62" i="5" l="1"/>
  <c r="H64" i="5" s="1"/>
  <c r="H10" i="5" l="1"/>
  <c r="H14" i="5" l="1"/>
  <c r="H11" i="2" s="1"/>
  <c r="H16" i="2" s="1"/>
  <c r="H11" i="7" l="1"/>
  <c r="H14" i="7" s="1"/>
  <c r="J16" i="7" l="1"/>
  <c r="J18" i="7" s="1"/>
  <c r="J14" i="2" s="1"/>
  <c r="J16" i="2" s="1"/>
  <c r="J11" i="7" s="1"/>
  <c r="L16" i="7" s="1"/>
  <c r="J14" i="7" l="1"/>
  <c r="L18" i="7" s="1"/>
  <c r="L14" i="2" s="1"/>
  <c r="L16" i="2" s="1"/>
  <c r="L11" i="7" s="1"/>
  <c r="L14" i="7" s="1"/>
</calcChain>
</file>

<file path=xl/comments1.xml><?xml version="1.0" encoding="utf-8"?>
<comments xmlns="http://schemas.openxmlformats.org/spreadsheetml/2006/main">
  <authors>
    <author>Amrita Bhatt</author>
    <author>bhatta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Source: TODs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</commentList>
</comments>
</file>

<file path=xl/comments2.xml><?xml version="1.0" encoding="utf-8"?>
<comments xmlns="http://schemas.openxmlformats.org/spreadsheetml/2006/main">
  <authors>
    <author>bhatta</author>
    <author>Amrita Bhatt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</t>
        </r>
      </text>
    </comment>
    <comment ref="F7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[SC3B.11].
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SC3C.3: For the Relevant Year beginning on 1 April 2014, this term will have the value zero.</t>
        </r>
      </text>
    </comment>
  </commentList>
</comments>
</file>

<file path=xl/comments3.xml><?xml version="1.0" encoding="utf-8"?>
<comments xmlns="http://schemas.openxmlformats.org/spreadsheetml/2006/main">
  <authors>
    <author>bhatta</author>
  </authors>
  <commentList>
    <comment ref="F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3B.11: In the Relevant Year 2013/14 TPDt will have the value zero. </t>
        </r>
      </text>
    </comment>
  </commentList>
</comments>
</file>

<file path=xl/comments4.xml><?xml version="1.0" encoding="utf-8"?>
<comments xmlns="http://schemas.openxmlformats.org/spreadsheetml/2006/main">
  <authors>
    <author>daveyb</author>
    <author>bhatta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G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F95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07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F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
equal zero.</t>
        </r>
      </text>
    </comment>
    <comment ref="G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equal zero.</t>
        </r>
      </text>
    </comment>
  </commentList>
</comments>
</file>

<file path=xl/comments5.xml><?xml version="1.0" encoding="utf-8"?>
<comments xmlns="http://schemas.openxmlformats.org/spreadsheetml/2006/main">
  <authors>
    <author>Bob</author>
    <author>bhatta</author>
  </authors>
  <commentList>
    <comment ref="F17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sharedStrings.xml><?xml version="1.0" encoding="utf-8"?>
<sst xmlns="http://schemas.openxmlformats.org/spreadsheetml/2006/main" count="1823" uniqueCount="610">
  <si>
    <t>Units</t>
  </si>
  <si>
    <t>£m</t>
  </si>
  <si>
    <t>Year</t>
  </si>
  <si>
    <t>TIRG t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</si>
  <si>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</si>
  <si>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</si>
  <si>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</si>
  <si>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</si>
  <si>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</si>
  <si>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</si>
  <si>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PCFM Variable Values</t>
  </si>
  <si>
    <t>Base Revenue Allowance</t>
  </si>
  <si>
    <t>Pass Through Items Revenue</t>
  </si>
  <si>
    <t>Business Rates Adjustment</t>
  </si>
  <si>
    <t>License Fee Adjustment</t>
  </si>
  <si>
    <t>Temp Physical Disconnection Term</t>
  </si>
  <si>
    <t>OIPt Output Incentive Calculation and Components</t>
  </si>
  <si>
    <t>PTt Pass Through Calculation and Components</t>
  </si>
  <si>
    <t>SFIt</t>
  </si>
  <si>
    <t>Network Reliability Incentive</t>
  </si>
  <si>
    <t>Stakeholder Satisfaction Output</t>
  </si>
  <si>
    <t>SF6 Emissions</t>
  </si>
  <si>
    <t>Environmental Discretionary Reward</t>
  </si>
  <si>
    <t>It</t>
  </si>
  <si>
    <t>Kt Calculation and Components</t>
  </si>
  <si>
    <t>Transmission Network Revenue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</si>
  <si>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</si>
  <si>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</si>
  <si>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</si>
  <si>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</si>
  <si>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</si>
  <si>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</si>
  <si>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</si>
  <si>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</si>
  <si>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</si>
  <si>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</si>
  <si>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</si>
  <si>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</si>
  <si>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</si>
  <si>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</si>
  <si>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</si>
  <si>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</si>
  <si>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</si>
  <si>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</si>
  <si>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</si>
  <si>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</si>
  <si>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</si>
  <si>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</si>
  <si>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</si>
  <si>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</si>
  <si>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</si>
  <si>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</si>
  <si>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</si>
  <si>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</si>
  <si>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</si>
  <si>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</si>
  <si>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</si>
  <si>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</si>
  <si>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</si>
  <si>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</si>
  <si>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</si>
  <si>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</si>
  <si>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</si>
  <si>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</si>
  <si>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</si>
  <si>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</si>
  <si>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</si>
  <si>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</si>
  <si>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</si>
  <si>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</si>
  <si>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</si>
  <si>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</si>
  <si>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</si>
  <si>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</si>
  <si>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</si>
  <si>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</si>
  <si>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</si>
  <si>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</si>
  <si>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</si>
  <si>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</si>
  <si>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</si>
  <si>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</si>
  <si>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</si>
  <si>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</si>
  <si>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</si>
  <si>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</si>
  <si>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</si>
  <si>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fixed value or check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</si>
  <si>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</si>
  <si>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</si>
  <si>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</si>
  <si>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</si>
  <si>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</si>
  <si>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</si>
  <si>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</si>
  <si>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</si>
  <si>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</si>
  <si>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</si>
  <si>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</si>
  <si>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</si>
  <si>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</si>
  <si>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</si>
  <si>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</si>
  <si>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</si>
  <si>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</si>
  <si>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</si>
  <si>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</si>
  <si>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</si>
  <si>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</si>
  <si>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</si>
  <si>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</si>
  <si>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Modification to Revenue from Annual Iteration Process - TO</t>
  </si>
  <si>
    <t>Present value factors</t>
  </si>
  <si>
    <t>Weighted average cost of capital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</si>
  <si>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</si>
  <si>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</si>
  <si>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</si>
  <si>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</si>
  <si>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</si>
  <si>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</si>
  <si>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</si>
  <si>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</si>
  <si>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</si>
  <si>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</si>
  <si>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</si>
  <si>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</si>
  <si>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</si>
  <si>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</si>
  <si>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</si>
  <si>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</si>
  <si>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</si>
  <si>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</si>
  <si>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</si>
  <si>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</si>
  <si>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</si>
  <si>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</si>
  <si>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</si>
  <si>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</si>
  <si>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</si>
  <si>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</si>
  <si>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</si>
  <si>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</si>
  <si>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</si>
  <si>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</si>
  <si>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</si>
  <si>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</si>
  <si>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</si>
  <si>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</si>
  <si>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</si>
  <si>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</si>
  <si>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</si>
  <si>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</si>
  <si>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</si>
  <si>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</si>
  <si>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</si>
  <si>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</si>
  <si>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</si>
  <si>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Pre-construction funding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</si>
  <si>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</si>
  <si>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</si>
  <si>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</si>
  <si>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</si>
  <si>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</si>
  <si>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</si>
  <si>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</si>
  <si>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</si>
  <si>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</si>
  <si>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</si>
  <si>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</si>
  <si>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</si>
  <si>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</si>
  <si>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</si>
  <si>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</si>
  <si>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</si>
  <si>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</si>
  <si>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</si>
  <si>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</si>
  <si>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</si>
  <si>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</si>
  <si>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</si>
  <si>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</si>
  <si>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 xml:space="preserve">For 2013/14: </t>
  </si>
  <si>
    <t>Average Specified Rate</t>
  </si>
  <si>
    <t>Reliability incentive legacy term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</si>
  <si>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</si>
  <si>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</si>
  <si>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</si>
  <si>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</si>
  <si>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</si>
  <si>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</si>
  <si>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</si>
  <si>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</si>
  <si>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</si>
  <si>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</si>
  <si>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</si>
  <si>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</si>
  <si>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</si>
  <si>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</si>
  <si>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</si>
  <si>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</si>
  <si>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</si>
  <si>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</si>
  <si>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</si>
  <si>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</si>
  <si>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</si>
  <si>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</si>
  <si>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</si>
  <si>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</si>
  <si>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</si>
  <si>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</si>
  <si>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</si>
  <si>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</si>
  <si>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</si>
  <si>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</si>
  <si>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</si>
  <si>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</si>
  <si>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</si>
  <si>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</si>
  <si>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</si>
  <si>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</si>
  <si>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</si>
  <si>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</si>
  <si>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</si>
  <si>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</si>
  <si>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</si>
  <si>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</si>
  <si>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</si>
  <si>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</si>
  <si>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</si>
  <si>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</si>
  <si>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</si>
  <si>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</si>
  <si>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</si>
  <si>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</si>
  <si>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</si>
  <si>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</si>
  <si>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</si>
  <si>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</si>
  <si>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</si>
  <si>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</si>
  <si>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</si>
  <si>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</si>
  <si>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</si>
  <si>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</si>
  <si>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</si>
  <si>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</si>
  <si>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</si>
  <si>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t>Revenue total for 2013</t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</si>
  <si>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</si>
  <si>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</si>
  <si>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</si>
  <si>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</si>
  <si>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</si>
  <si>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</si>
  <si>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</si>
  <si>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</si>
  <si>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</si>
  <si>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2</t>
  </si>
  <si>
    <t>TIRG - Project 3</t>
  </si>
  <si>
    <t>TIRG - Project 4</t>
  </si>
  <si>
    <t>SAFTIRG2</t>
  </si>
  <si>
    <t>SAFTIRG3</t>
  </si>
  <si>
    <t>SAFTIRG4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</si>
  <si>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</si>
  <si>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</si>
  <si>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</si>
  <si>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</si>
  <si>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</si>
  <si>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</si>
  <si>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</si>
  <si>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</si>
  <si>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 xml:space="preserve">Determination of TIRG Project 3 - </t>
  </si>
  <si>
    <t>Determination of IPTIRG 3</t>
  </si>
  <si>
    <t>Determination of FTIRG 3</t>
  </si>
  <si>
    <t>Determination of ETIRG 3</t>
  </si>
  <si>
    <t xml:space="preserve">Determination of TIRG Project 4 - </t>
  </si>
  <si>
    <t>Determination of IPTIRG 4</t>
  </si>
  <si>
    <t>Determination of FTIRG 4</t>
  </si>
  <si>
    <t>Determination of ETIRG 4</t>
  </si>
  <si>
    <t xml:space="preserve">Determination of TIRG Project 5 - </t>
  </si>
  <si>
    <t>Determination of IPTIRG 5</t>
  </si>
  <si>
    <t>Determination of FTIRG 5</t>
  </si>
  <si>
    <t>Determination of ETIRG 5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</si>
  <si>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</si>
  <si>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</si>
  <si>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</si>
  <si>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</si>
  <si>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</si>
  <si>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</si>
  <si>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Revenue for rollover year - per definition in Special Condition 3A 11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</si>
  <si>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</si>
  <si>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</si>
  <si>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</si>
  <si>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</si>
  <si>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</si>
  <si>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</si>
  <si>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</si>
  <si>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</si>
  <si>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</si>
  <si>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</si>
  <si>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</si>
  <si>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</si>
  <si>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</si>
  <si>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</si>
  <si>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</si>
  <si>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</si>
  <si>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CONADJ</t>
    </r>
    <r>
      <rPr>
        <vertAlign val="subscript"/>
        <sz val="12"/>
        <color theme="1"/>
        <rFont val="Times New Roman"/>
        <family val="1"/>
      </rPr>
      <t>t</t>
    </r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</si>
  <si>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</si>
  <si>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</si>
  <si>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</si>
  <si>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</si>
  <si>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</si>
  <si>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</si>
  <si>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</si>
  <si>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SSC</t>
  </si>
  <si>
    <t>SER</t>
  </si>
  <si>
    <t>I</t>
  </si>
  <si>
    <t xml:space="preserve">BR </t>
  </si>
  <si>
    <t xml:space="preserve">PT </t>
  </si>
  <si>
    <t xml:space="preserve">OIP </t>
  </si>
  <si>
    <t xml:space="preserve">TIRG </t>
  </si>
  <si>
    <t xml:space="preserve">K </t>
  </si>
  <si>
    <t>PR</t>
  </si>
  <si>
    <t>K</t>
  </si>
  <si>
    <t>ANIA</t>
  </si>
  <si>
    <t>RB</t>
  </si>
  <si>
    <t>PT</t>
  </si>
  <si>
    <t>TRU</t>
  </si>
  <si>
    <t xml:space="preserve">RPIA </t>
  </si>
  <si>
    <t xml:space="preserve">GRPIF </t>
  </si>
  <si>
    <t xml:space="preserve">RPIF </t>
  </si>
  <si>
    <t>REV</t>
  </si>
  <si>
    <t>AFFTIRG2</t>
  </si>
  <si>
    <t>AFFTIRGDepn2</t>
  </si>
  <si>
    <t>TIRGIncAdj2</t>
  </si>
  <si>
    <t>ATIRG2</t>
  </si>
  <si>
    <t>AFFTIRG3</t>
  </si>
  <si>
    <t>AFFTIRGDepn3</t>
  </si>
  <si>
    <t>TIRGIncAdj3</t>
  </si>
  <si>
    <t>ATIRG3</t>
  </si>
  <si>
    <t>AFFTIRG4</t>
  </si>
  <si>
    <t>AFFTIRGDepn4</t>
  </si>
  <si>
    <t>TIRGIncAdj4</t>
  </si>
  <si>
    <t>ATIRG4</t>
  </si>
  <si>
    <t>Beauly-Denny</t>
  </si>
  <si>
    <t>B5 Boundary</t>
  </si>
  <si>
    <t>SW Scotland reinforcement</t>
  </si>
  <si>
    <t xml:space="preserve">England-Scotland interconnection </t>
  </si>
  <si>
    <t>Sloy</t>
  </si>
  <si>
    <t>TIRG - Project 5</t>
  </si>
  <si>
    <t>AFFTIRG5</t>
  </si>
  <si>
    <t>AFFTIRGDepn5</t>
  </si>
  <si>
    <t>SAFTIRG5</t>
  </si>
  <si>
    <t>TIRGIncAdj5</t>
  </si>
  <si>
    <t>ATIRG5</t>
  </si>
  <si>
    <t>South West Scotland reinforcement</t>
  </si>
  <si>
    <t>Project 1</t>
  </si>
  <si>
    <t>Project 2</t>
  </si>
  <si>
    <t>Project 3</t>
  </si>
  <si>
    <t>Project 4</t>
  </si>
  <si>
    <t>Project 5</t>
  </si>
  <si>
    <t>Dep2</t>
  </si>
  <si>
    <t>ETIRGC2</t>
  </si>
  <si>
    <t>ETIRGC4</t>
  </si>
  <si>
    <t>ETIRGC5</t>
  </si>
  <si>
    <t>FTIRGDepn2</t>
  </si>
  <si>
    <t>FTIRGC2</t>
  </si>
  <si>
    <t>FTIRGCDepn2</t>
  </si>
  <si>
    <t>ETIRGORAV2</t>
  </si>
  <si>
    <t>SAFRTIRG2</t>
  </si>
  <si>
    <t>ETIRG2</t>
  </si>
  <si>
    <t>FTIRGC3</t>
  </si>
  <si>
    <t>FTIRGDepn3</t>
  </si>
  <si>
    <t>ETIRGC3</t>
  </si>
  <si>
    <t>ETIRGORAV3</t>
  </si>
  <si>
    <t>SAFRTIRG3</t>
  </si>
  <si>
    <t>ETIRG3</t>
  </si>
  <si>
    <t>FTIRGCDepn3</t>
  </si>
  <si>
    <t>Dep_3</t>
  </si>
  <si>
    <t>Dep_4</t>
  </si>
  <si>
    <t>Dep_5</t>
  </si>
  <si>
    <t>FTIRGC4</t>
  </si>
  <si>
    <t>FTIRGCDepn4</t>
  </si>
  <si>
    <t>ETIRGORAV4</t>
  </si>
  <si>
    <t>ETIRGORAV5</t>
  </si>
  <si>
    <t>SAFRTIRG5</t>
  </si>
  <si>
    <t>Stakeholder Engagement Reward Limit (3D.5)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</si>
  <si>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</si>
  <si>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</si>
  <si>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</si>
  <si>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</si>
  <si>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</si>
  <si>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Excluded Services and De minimis Activities</t>
  </si>
  <si>
    <t>Turnover as per Profit and Loss (Regulatory Accounts)</t>
  </si>
  <si>
    <t xml:space="preserve">Forecast pre-construction and contingency costs </t>
  </si>
  <si>
    <t xml:space="preserve">This workbook incoporates the detailed and forecast returns referred to in Standard Condition 15 of the Electricity Transmission Licence.  
</t>
  </si>
  <si>
    <t>CFTIRG3</t>
  </si>
  <si>
    <t>Dep4</t>
  </si>
  <si>
    <t>SAFRTIRG4</t>
  </si>
  <si>
    <t>ETIRG4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</si>
  <si>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/>
    </r>
  </si>
  <si>
    <t xml:space="preserve">Base leakage 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</si>
  <si>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</si>
  <si>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</si>
  <si>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</si>
  <si>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</si>
  <si>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</si>
  <si>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>RIUPA</t>
  </si>
  <si>
    <t>RIUT</t>
  </si>
  <si>
    <t>RICOL</t>
  </si>
  <si>
    <t>RIP</t>
  </si>
  <si>
    <t>RILT</t>
  </si>
  <si>
    <t>Revenue Adjustment Factor in incentive period y</t>
  </si>
  <si>
    <t>RAF</t>
  </si>
  <si>
    <t>Transmission Network Reliability Incentive</t>
  </si>
  <si>
    <t>Transmission Network Reliability Incentive (from 12/13 revenue model)</t>
  </si>
  <si>
    <t>Incentivised Loss Supply - Lower Limit</t>
  </si>
  <si>
    <t>MW</t>
  </si>
  <si>
    <t>Incentivised Loss Supply - Upper Limit</t>
  </si>
  <si>
    <t>Percentage Adjust - Lower Limit</t>
  </si>
  <si>
    <t>Percentage Adjust - UpperLimit</t>
  </si>
  <si>
    <t>Supply Collar</t>
  </si>
  <si>
    <t xml:space="preserve">Number of Incentivised loss of supply events </t>
  </si>
  <si>
    <t>Unsupplied Energy Volumes - events</t>
  </si>
  <si>
    <t xml:space="preserve">Maximum Upside % </t>
  </si>
  <si>
    <t>Maximum Downside %</t>
  </si>
  <si>
    <t>Incentivised Upper Target</t>
  </si>
  <si>
    <t>Incentivised loss of supply collar</t>
  </si>
  <si>
    <t xml:space="preserve">Lower Limit target </t>
  </si>
  <si>
    <t>Events</t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</si>
  <si>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</si>
  <si>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</si>
  <si>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</si>
  <si>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v1</t>
  </si>
  <si>
    <t>SC 3A.7</t>
  </si>
  <si>
    <t>SC 3A.8</t>
  </si>
  <si>
    <t>SC 3A.10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</si>
  <si>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</si>
  <si>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</si>
  <si>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</si>
  <si>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</si>
  <si>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</si>
  <si>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</si>
  <si>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</si>
  <si>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</si>
  <si>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</si>
  <si>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</si>
  <si>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</si>
  <si>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</si>
  <si>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</si>
  <si>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BR t</t>
  </si>
  <si>
    <t>RBt</t>
  </si>
  <si>
    <t>TPDt</t>
  </si>
  <si>
    <t>RIt</t>
  </si>
  <si>
    <t>TIRGt</t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</si>
  <si>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</si>
  <si>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t>REVt</t>
  </si>
  <si>
    <t>In 13/14 and from 15/16 onwards:</t>
  </si>
  <si>
    <t>SC3B.3</t>
  </si>
  <si>
    <t>SC3B.5</t>
  </si>
  <si>
    <t>For relevant year beginning on 1 April 2016 onwards:</t>
  </si>
  <si>
    <t>SC 3H.4</t>
  </si>
  <si>
    <t>SC 3H.6</t>
  </si>
  <si>
    <t>PRO</t>
  </si>
  <si>
    <t xml:space="preserve">Determination of TIRG TOTAL - </t>
  </si>
  <si>
    <t>score/10</t>
  </si>
  <si>
    <t>score/100</t>
  </si>
  <si>
    <t>KG</t>
  </si>
  <si>
    <t>£tonne</t>
  </si>
  <si>
    <t>Ofgem £m</t>
  </si>
  <si>
    <t>SC 3A.11</t>
  </si>
  <si>
    <t>SC 3B.9</t>
  </si>
  <si>
    <t>SC 3H.7</t>
  </si>
  <si>
    <t>SC 3A.14</t>
  </si>
  <si>
    <t>SC 3A.15</t>
  </si>
  <si>
    <t>TOt = BRt + PTt + OIPt + NIAt + TIRGt - Kt</t>
  </si>
  <si>
    <t>SC 3A.3</t>
  </si>
  <si>
    <t>SC 3C.3; SC 3C.4</t>
  </si>
  <si>
    <r>
      <t>RI</t>
    </r>
    <r>
      <rPr>
        <vertAlign val="subscript"/>
        <sz val="11"/>
        <rFont val="Verdana"/>
        <family val="2"/>
      </rPr>
      <t>t</t>
    </r>
    <r>
      <rPr>
        <sz val="11"/>
        <rFont val="Verdana"/>
        <family val="2"/>
      </rPr>
      <t xml:space="preserve"> = RILEG</t>
    </r>
    <r>
      <rPr>
        <vertAlign val="subscript"/>
        <sz val="11"/>
        <rFont val="Verdana"/>
        <family val="2"/>
      </rPr>
      <t>t              ;</t>
    </r>
  </si>
  <si>
    <t>SC 3D.3</t>
  </si>
  <si>
    <t>SC 3D.11</t>
  </si>
  <si>
    <t>SC 3E.3</t>
  </si>
  <si>
    <t>SC 3E.6</t>
  </si>
  <si>
    <t>SC 3A.12</t>
  </si>
  <si>
    <t>SC 3F.7</t>
  </si>
  <si>
    <t>SC 3G.12</t>
  </si>
  <si>
    <t>SC 3E.4</t>
  </si>
  <si>
    <t>SC 3J.2</t>
  </si>
  <si>
    <t>SC 3J.3</t>
  </si>
  <si>
    <t>SC 3J.5</t>
  </si>
  <si>
    <t>SC 3J.7</t>
  </si>
  <si>
    <t>#</t>
  </si>
  <si>
    <t>Volume</t>
  </si>
  <si>
    <t>Present value factor (SC 3A.9)</t>
  </si>
  <si>
    <t>Network Reliability Incentive (SC 3C)</t>
  </si>
  <si>
    <t>Stakeholder Incentive (SC 3D)</t>
  </si>
  <si>
    <t>Sulphur Hexafluoride Incentive (SC 3E)</t>
  </si>
  <si>
    <t>Output Incentives CONADJ calculation (SC 3G)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</si>
  <si>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</si>
  <si>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</si>
  <si>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SC 3A.5</t>
  </si>
  <si>
    <t>Index</t>
  </si>
  <si>
    <t>Check</t>
  </si>
  <si>
    <t>Scottish Power Transmission plc</t>
  </si>
  <si>
    <t xml:space="preserve">Stakeholder satisfaction score </t>
  </si>
  <si>
    <t xml:space="preserve">Stakeholder Engagement Reward </t>
  </si>
  <si>
    <t>Actual emissions</t>
  </si>
  <si>
    <t>Environmental discretionary reward scheme - 3F</t>
  </si>
  <si>
    <t xml:space="preserve">Total offers </t>
  </si>
  <si>
    <t>Business rates payments (SC 3B.6)</t>
  </si>
  <si>
    <t>Opening Base Revenue Allowance - TO (SC 3A Appendix 1)</t>
  </si>
  <si>
    <t>Business Rates Allowance (SC 3B Appendix 1)</t>
  </si>
  <si>
    <t>Value of lost load per MWh (SC 3C.4)</t>
  </si>
  <si>
    <t>Loss of Supply Volume Target (SC 3C.4)</t>
  </si>
  <si>
    <t>Max Downside Adjustment (SC 3C.4)</t>
  </si>
  <si>
    <t>Totex Incentive Strength (SC 6C Appendix 1)</t>
  </si>
  <si>
    <t>Licensee's NIA Percentage (SC 3H Appendix 1)</t>
  </si>
  <si>
    <t>Conversion Factor (SC 3E.3)</t>
  </si>
  <si>
    <t>Non traded price of carbon (SC 3E.3)</t>
  </si>
  <si>
    <t>Pass Through Factor (SC 3H.6)</t>
  </si>
  <si>
    <t>Temporary physical disconnection (SC 3B.10)</t>
  </si>
  <si>
    <t xml:space="preserve">TIRG - Project 1 (SC 3J) </t>
  </si>
  <si>
    <t>Innovation Incentive Calculation and Components</t>
  </si>
  <si>
    <t>Excluded Services (SC 8B)</t>
  </si>
  <si>
    <t>£m 09/10 prices</t>
  </si>
  <si>
    <t xml:space="preserve">Subtotal TIRG 12/13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</si>
  <si>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</si>
  <si>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</si>
  <si>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</si>
  <si>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</si>
  <si>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</si>
  <si>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</si>
  <si>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</si>
  <si>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</si>
  <si>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SSPRO</t>
  </si>
  <si>
    <t>Proportion</t>
  </si>
  <si>
    <t>SKPIPRO</t>
  </si>
  <si>
    <t>SEAPRO</t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</si>
  <si>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</si>
  <si>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</si>
  <si>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t>(SC 3D.11)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</si>
  <si>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</si>
  <si>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Stakeholder Satisfaction Target</t>
  </si>
  <si>
    <t>Score</t>
  </si>
  <si>
    <t>Stakeholder Satisfaction Survey cap</t>
  </si>
  <si>
    <t>Stakeholder Satisfaction Survey upside adj</t>
  </si>
  <si>
    <t>Stakeholder Satisfaction Survey collar</t>
  </si>
  <si>
    <t xml:space="preserve">Stakeholder Satisfaction Survey downside </t>
  </si>
  <si>
    <t>Stakeholder Satisfaction Survey score</t>
  </si>
  <si>
    <t>SST</t>
  </si>
  <si>
    <t>SSCAP</t>
  </si>
  <si>
    <t>SSUPA</t>
  </si>
  <si>
    <t>SSCOL</t>
  </si>
  <si>
    <t>SSDPA</t>
  </si>
  <si>
    <t>Stakeholder Satisfaction Survey Proportion</t>
  </si>
  <si>
    <t>SERLIMIT</t>
  </si>
  <si>
    <t>-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</si>
  <si>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</si>
  <si>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</si>
  <si>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</si>
  <si>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t>SKPIT</t>
  </si>
  <si>
    <t>Key Performance Indicator Target</t>
  </si>
  <si>
    <t>SKPICAP</t>
  </si>
  <si>
    <t>SKPIUPA</t>
  </si>
  <si>
    <t>SKPICOL</t>
  </si>
  <si>
    <t>SKPIDPA</t>
  </si>
  <si>
    <t>SKPIC</t>
  </si>
  <si>
    <t>Key Performance Indicator cap</t>
  </si>
  <si>
    <t>Key Performance Indicator upside adj</t>
  </si>
  <si>
    <t>Key Performance Indicator collar</t>
  </si>
  <si>
    <t xml:space="preserve">Key Performance Indicator downside </t>
  </si>
  <si>
    <t>Key Performance Indicator score</t>
  </si>
  <si>
    <t>Key Performance Indicator Proportion</t>
  </si>
  <si>
    <t>Revenue adjustment factor - External Assurance of Stakeholder Engagement</t>
  </si>
  <si>
    <t>External Assurance of Stakeholder Engagement Proportion</t>
  </si>
  <si>
    <t>Adjusment</t>
  </si>
  <si>
    <t>Adjustment</t>
  </si>
  <si>
    <t>- Template set up for 2016/17 RIGs Consultation
- Added MOD value from AIP 2016.
- 2012/13 RPIF input unrounded so that the correct TRU and SOTRU terms are calculated for inclusion in the 2013/14 revenue calculation</t>
  </si>
  <si>
    <t>4.0.1</t>
  </si>
  <si>
    <t>Added the following for 16/17 in R5 input page:
- RPI Indices: 264.992
- GRPIFc 2016 row
- Average specified rate: 0.34%
- Corporation Tax Rate: 20%</t>
  </si>
  <si>
    <t>Eligible Internal NIA Expenditure</t>
  </si>
  <si>
    <t>£m/MWh</t>
  </si>
  <si>
    <r>
      <t>SSI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= ((SSPRO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+ (SKPIPRO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+ (SEAPRO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</si>
  <si>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[(SSC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SST) / (SSCAP − SST)])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</si>
  <si>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[(SST - 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(SST - SSCOL)])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</si>
  <si>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[(SKPIT - SKPIC</t>
    </r>
    <r>
      <rPr>
        <vertAlign val="subscript"/>
        <sz val="12"/>
        <rFont val="Times New Roman"/>
        <family val="1"/>
      </rPr>
      <t xml:space="preserve">t−2 </t>
    </r>
    <r>
      <rPr>
        <sz val="12"/>
        <rFont val="Times New Roman"/>
        <family val="1"/>
      </rPr>
      <t>) / (SKPIT - SKPICOL)])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</si>
  <si>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(SKPIUPA, SKPIUPA × [(SKPIC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SKPIT) / (SKPICAP − SKPIT)])</t>
    </r>
  </si>
  <si>
    <t>CFTIRG1</t>
  </si>
  <si>
    <t>CFTIRG2</t>
  </si>
  <si>
    <t>CFTIRG4</t>
  </si>
  <si>
    <t>CFTIRG5</t>
  </si>
  <si>
    <t>FTIRGDepn4</t>
  </si>
  <si>
    <t>FTIRGC5</t>
  </si>
  <si>
    <t>FTIRGDepn5</t>
  </si>
  <si>
    <t>ETIRG5</t>
  </si>
  <si>
    <t>Source: RPIF Calculation</t>
  </si>
  <si>
    <t>Actual Annual Revenue Allowance</t>
  </si>
  <si>
    <t>Actual annual revenue allowance</t>
  </si>
  <si>
    <t>.</t>
  </si>
  <si>
    <t>Transmission Investment for Renewable Generation</t>
  </si>
  <si>
    <t>- 2017-18 template set up for RIGS Consultation.
- Added the following for 17/18 in R5 input page:
    - RPI Indices: 274.056 (provisionary)
    - GRPIFc 2017 row
    - WACC: 4.37% 
    - Average specified rate: 0.35%
    - Corporation Tax Rate: 19%
- Tab 5: amended 2019-2021 RPI indices in cells K11:M11 (assuming 2.8% inflation rate from final proposals).
- Tab 5: revised 2019-2021 WACC values in cells K41:M41 (source: 2017 AIP PCFM).
- Tab 5: amended 2016-2017 WACC (cells H41, I41) by rounding to 1 d.p. figures from 2017 AIP PCFM.
- Tab 5: label "Actual Annual Revenue" replaced with "Actual Annual Revenue Allowance" throughout sheet.
- Tab 8: revised unit of measure label in cell C22 ("£m/MWh" as opposed to "£/MWh").
- Tab 8: revised unit of measure label in cell C121 ("£m" as opposed to "KG").
- Tab 9: deleted content of cell C37 ("£m" not applicable as unit of measure).
- Tab 11: removed row 46 with comment "LICENCE INCORRECT - TO BE AMENDED AS SHOWN" (licence has been amended).
- Tab 11: label "Inflation" replaced with "RPI Forecast" throughout sheet.
- Tab 11: label "Authority directed adjustments" replaced with "Actual annual revenue allowance" throughout sheet.
- Corrected typos, inserted missing item labels, units of measures and named ranges.</t>
  </si>
  <si>
    <t>v2</t>
  </si>
  <si>
    <t>v3</t>
  </si>
  <si>
    <t>- Tab 5: updated GRPIF value for 2018 in cell J21, reflecting revised HMT November 2017 forecast publication.</t>
  </si>
  <si>
    <t>v4</t>
  </si>
  <si>
    <t>Regulatory Year ending 31 March 2019</t>
  </si>
  <si>
    <t>- 2018-19 template set up for RIGS Consultation.
- Added the following for 18/19 in R5 input page:
    - RPI Indices
    - GRPIFc 2018 row
    - WACC
    - Average specified rate
    - Corporation Tax Rate</t>
  </si>
  <si>
    <t xml:space="preserve">R12 Maximum allowed revenue summary </t>
  </si>
  <si>
    <t>R14 - At top of R14 tab added "[Reported in RFPR, not required for 2018-19 reporting]"</t>
  </si>
  <si>
    <t xml:space="preserve"> [Reported in RFPR, not required for 2018-19 reporting]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</si>
</sst>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;[Red]\-#,##0;\-"/>
    <numFmt numFmtId="175" formatCode="_-* #,##0.0_-;\-* #,##0.0_-;_-* &quot;-&quot;??_-;_-@_-"/>
    <numFmt numFmtId="176" formatCode="#,##0.0;[Red]\-#,##0.0;0.0"/>
    <numFmt numFmtId="177" formatCode="0.000_ ;[Red]\-0.000\ "/>
    <numFmt numFmtId="178" formatCode="_-* #,##0.000_-;\-* #,##0.000_-;_-* &quot;-&quot;???_-;_-@_-"/>
    <numFmt numFmtId="179" formatCode="#,##0_ ;[Red]\-#,##0\ "/>
    <numFmt numFmtId="180" formatCode="#,##0.00_ ;[Red]\-#,##0.00\ "/>
    <numFmt numFmtId="181" formatCode="_-* #,##0.000000_-;\-* #,##0.000000_-;_-* &quot;-&quot;??_-;_-@_-"/>
    <numFmt numFmtId="182" formatCode="#,##0.000_ ;[Red]\-#,##0.000\ "/>
    <numFmt numFmtId="183" formatCode="_-* #,##0.00_-;\-* #,##0.00_-;_-* &quot;-&quot;???_-;_-@_-"/>
    <numFmt numFmtId="184" formatCode="#,##0.000_ ;\-#,##0.000\ "/>
    <numFmt numFmtId="185" formatCode="0.0"/>
    <numFmt numFmtId="186" formatCode="0.0000"/>
    <numFmt numFmtId="187" formatCode="_(* #,##0.0_);_(* \(#,##0.0\);_(* &quot;-&quot;??_);_(@_)"/>
  </numFmts>
  <fonts count="82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u/>
      <sz val="11"/>
      <name val="Verdana"/>
      <family val="2"/>
    </font>
    <font>
      <sz val="10"/>
      <color theme="0"/>
      <name val="Verdana"/>
      <family val="2"/>
    </font>
    <font>
      <sz val="10"/>
      <color rgb="FF00B0F0"/>
      <name val="Verdana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i/>
      <sz val="9"/>
      <color indexed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1"/>
      <name val="Calibri"/>
      <family val="2"/>
      <scheme val="minor"/>
    </font>
    <font>
      <vertAlign val="subscript"/>
      <sz val="11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vertAlign val="subscript"/>
      <sz val="1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2"/>
      <color theme="1"/>
      <name val="Times New Roman"/>
      <family val="1"/>
    </font>
    <font>
      <b/>
      <sz val="11"/>
      <color theme="1"/>
      <name val="Verdana"/>
      <family val="2"/>
    </font>
    <font>
      <u/>
      <sz val="11"/>
      <color indexed="12"/>
      <name val="CG Omega"/>
      <family val="2"/>
    </font>
    <font>
      <sz val="10"/>
      <color rgb="FFFF3399"/>
      <name val="Verdan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vertAlign val="subscript"/>
      <sz val="11"/>
      <name val="Times New Roman"/>
      <family val="1"/>
    </font>
    <font>
      <sz val="11"/>
      <color theme="0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/>
    <xf numFmtId="0" fontId="25" fillId="0" borderId="0"/>
    <xf numFmtId="9" fontId="26" fillId="0" borderId="0" applyFont="0" applyFill="0" applyBorder="0" applyAlignment="0" applyProtection="0"/>
    <xf numFmtId="4" fontId="27" fillId="17" borderId="7" applyNumberFormat="0" applyProtection="0">
      <alignment vertical="center"/>
    </xf>
    <xf numFmtId="4" fontId="28" fillId="17" borderId="7" applyNumberFormat="0" applyProtection="0">
      <alignment vertical="center"/>
    </xf>
    <xf numFmtId="4" fontId="27" fillId="17" borderId="7" applyNumberFormat="0" applyProtection="0">
      <alignment horizontal="left" vertical="center" indent="1"/>
    </xf>
    <xf numFmtId="0" fontId="27" fillId="17" borderId="7" applyNumberFormat="0" applyProtection="0">
      <alignment horizontal="left" vertical="top" indent="1"/>
    </xf>
    <xf numFmtId="4" fontId="27" fillId="18" borderId="0" applyNumberFormat="0" applyProtection="0">
      <alignment horizontal="left" vertical="center" indent="1"/>
    </xf>
    <xf numFmtId="4" fontId="29" fillId="19" borderId="7" applyNumberFormat="0" applyProtection="0">
      <alignment horizontal="right" vertical="center"/>
    </xf>
    <xf numFmtId="4" fontId="29" fillId="20" borderId="7" applyNumberFormat="0" applyProtection="0">
      <alignment horizontal="right" vertical="center"/>
    </xf>
    <xf numFmtId="4" fontId="29" fillId="21" borderId="7" applyNumberFormat="0" applyProtection="0">
      <alignment horizontal="right" vertical="center"/>
    </xf>
    <xf numFmtId="4" fontId="29" fillId="22" borderId="7" applyNumberFormat="0" applyProtection="0">
      <alignment horizontal="right" vertical="center"/>
    </xf>
    <xf numFmtId="4" fontId="29" fillId="23" borderId="7" applyNumberFormat="0" applyProtection="0">
      <alignment horizontal="right" vertical="center"/>
    </xf>
    <xf numFmtId="4" fontId="29" fillId="24" borderId="7" applyNumberFormat="0" applyProtection="0">
      <alignment horizontal="right" vertical="center"/>
    </xf>
    <xf numFmtId="4" fontId="29" fillId="25" borderId="7" applyNumberFormat="0" applyProtection="0">
      <alignment horizontal="right" vertical="center"/>
    </xf>
    <xf numFmtId="4" fontId="29" fillId="26" borderId="7" applyNumberFormat="0" applyProtection="0">
      <alignment horizontal="right" vertical="center"/>
    </xf>
    <xf numFmtId="4" fontId="29" fillId="27" borderId="7" applyNumberFormat="0" applyProtection="0">
      <alignment horizontal="right" vertical="center"/>
    </xf>
    <xf numFmtId="4" fontId="27" fillId="28" borderId="8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29" fillId="18" borderId="7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18" borderId="0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top" indent="1"/>
    </xf>
    <xf numFmtId="0" fontId="2" fillId="18" borderId="7" applyNumberFormat="0" applyProtection="0">
      <alignment horizontal="left" vertical="center" indent="1"/>
    </xf>
    <xf numFmtId="0" fontId="2" fillId="18" borderId="7" applyNumberFormat="0" applyProtection="0">
      <alignment horizontal="left" vertical="top" indent="1"/>
    </xf>
    <xf numFmtId="0" fontId="2" fillId="31" borderId="7" applyNumberFormat="0" applyProtection="0">
      <alignment horizontal="left" vertical="center" indent="1"/>
    </xf>
    <xf numFmtId="0" fontId="2" fillId="31" borderId="7" applyNumberFormat="0" applyProtection="0">
      <alignment horizontal="left" vertical="top" indent="1"/>
    </xf>
    <xf numFmtId="0" fontId="2" fillId="29" borderId="7" applyNumberFormat="0" applyProtection="0">
      <alignment horizontal="left" vertical="center" indent="1"/>
    </xf>
    <xf numFmtId="0" fontId="2" fillId="29" borderId="7" applyNumberFormat="0" applyProtection="0">
      <alignment horizontal="left" vertical="top" indent="1"/>
    </xf>
    <xf numFmtId="0" fontId="2" fillId="32" borderId="1" applyNumberFormat="0">
      <protection locked="0"/>
    </xf>
    <xf numFmtId="4" fontId="29" fillId="33" borderId="7" applyNumberFormat="0" applyProtection="0">
      <alignment vertical="center"/>
    </xf>
    <xf numFmtId="4" fontId="31" fillId="33" borderId="7" applyNumberFormat="0" applyProtection="0">
      <alignment vertical="center"/>
    </xf>
    <xf numFmtId="4" fontId="29" fillId="33" borderId="7" applyNumberFormat="0" applyProtection="0">
      <alignment horizontal="left" vertical="center" indent="1"/>
    </xf>
    <xf numFmtId="0" fontId="29" fillId="33" borderId="7" applyNumberFormat="0" applyProtection="0">
      <alignment horizontal="left" vertical="top" indent="1"/>
    </xf>
    <xf numFmtId="4" fontId="29" fillId="29" borderId="7" applyNumberFormat="0" applyProtection="0">
      <alignment horizontal="right" vertical="center"/>
    </xf>
    <xf numFmtId="4" fontId="31" fillId="29" borderId="7" applyNumberFormat="0" applyProtection="0">
      <alignment horizontal="right" vertical="center"/>
    </xf>
    <xf numFmtId="4" fontId="29" fillId="18" borderId="7" applyNumberFormat="0" applyProtection="0">
      <alignment horizontal="left" vertical="center" indent="1"/>
    </xf>
    <xf numFmtId="0" fontId="29" fillId="18" borderId="7" applyNumberFormat="0" applyProtection="0">
      <alignment horizontal="left" vertical="top" indent="1"/>
    </xf>
    <xf numFmtId="4" fontId="32" fillId="34" borderId="0" applyNumberFormat="0" applyProtection="0">
      <alignment horizontal="left" vertical="center" indent="1"/>
    </xf>
    <xf numFmtId="4" fontId="33" fillId="29" borderId="7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11" fillId="0" borderId="0" xfId="0" applyFont="1"/>
    <xf numFmtId="0" fontId="17" fillId="0" borderId="0" xfId="0" applyFont="1"/>
    <xf numFmtId="0" fontId="9" fillId="0" borderId="0" xfId="31" applyFont="1" applyBorder="1" applyProtection="1">
      <protection locked="0"/>
    </xf>
    <xf numFmtId="0" fontId="38" fillId="36" borderId="0" xfId="0" applyFont="1" applyFill="1" applyProtection="1"/>
    <xf numFmtId="0" fontId="26" fillId="36" borderId="0" xfId="0" applyFont="1" applyFill="1" applyProtection="1"/>
    <xf numFmtId="0" fontId="39" fillId="36" borderId="0" xfId="0" applyFont="1" applyFill="1" applyProtection="1"/>
    <xf numFmtId="0" fontId="26" fillId="36" borderId="0" xfId="0" applyFont="1" applyFill="1" applyAlignment="1" applyProtection="1">
      <alignment horizontal="center"/>
    </xf>
    <xf numFmtId="0" fontId="40" fillId="36" borderId="0" xfId="0" applyFont="1" applyFill="1" applyProtection="1"/>
    <xf numFmtId="0" fontId="26" fillId="0" borderId="0" xfId="0" applyFont="1" applyProtection="1"/>
    <xf numFmtId="0" fontId="26" fillId="36" borderId="0" xfId="0" applyFont="1" applyFill="1" applyBorder="1" applyProtection="1"/>
    <xf numFmtId="0" fontId="41" fillId="36" borderId="0" xfId="0" applyFont="1" applyFill="1" applyBorder="1" applyProtection="1"/>
    <xf numFmtId="0" fontId="41" fillId="36" borderId="0" xfId="0" applyFont="1" applyFill="1" applyBorder="1" applyAlignment="1" applyProtection="1">
      <alignment horizontal="center"/>
    </xf>
    <xf numFmtId="17" fontId="41" fillId="36" borderId="0" xfId="0" quotePrefix="1" applyNumberFormat="1" applyFont="1" applyFill="1" applyBorder="1" applyProtection="1"/>
    <xf numFmtId="0" fontId="26" fillId="36" borderId="0" xfId="0" applyFont="1" applyFill="1" applyBorder="1" applyAlignment="1" applyProtection="1">
      <alignment vertical="center" wrapText="1"/>
    </xf>
    <xf numFmtId="0" fontId="26" fillId="36" borderId="0" xfId="0" applyFont="1" applyFill="1" applyBorder="1" applyAlignment="1" applyProtection="1">
      <alignment horizontal="center"/>
    </xf>
    <xf numFmtId="0" fontId="26" fillId="36" borderId="0" xfId="0" applyFont="1" applyFill="1" applyAlignment="1" applyProtection="1">
      <alignment wrapText="1"/>
    </xf>
    <xf numFmtId="170" fontId="26" fillId="35" borderId="1" xfId="73" applyNumberFormat="1" applyFont="1" applyFill="1" applyBorder="1" applyAlignment="1" applyProtection="1">
      <alignment horizontal="center" vertical="center"/>
    </xf>
    <xf numFmtId="170" fontId="26" fillId="37" borderId="1" xfId="74" applyNumberFormat="1" applyFont="1" applyFill="1" applyBorder="1" applyAlignment="1" applyProtection="1">
      <alignment horizontal="center" vertical="center"/>
    </xf>
    <xf numFmtId="170" fontId="26" fillId="38" borderId="1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38" fillId="36" borderId="0" xfId="0" applyFont="1" applyFill="1"/>
    <xf numFmtId="0" fontId="26" fillId="36" borderId="0" xfId="0" applyFont="1" applyFill="1"/>
    <xf numFmtId="0" fontId="39" fillId="36" borderId="0" xfId="0" applyFont="1" applyFill="1"/>
    <xf numFmtId="0" fontId="26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8" fillId="36" borderId="0" xfId="0" applyFont="1" applyFill="1" applyAlignment="1">
      <alignment horizontal="center"/>
    </xf>
    <xf numFmtId="170" fontId="26" fillId="36" borderId="0" xfId="0" applyNumberFormat="1" applyFont="1" applyFill="1" applyBorder="1" applyAlignment="1" applyProtection="1">
      <alignment horizontal="center"/>
    </xf>
    <xf numFmtId="170" fontId="26" fillId="38" borderId="1" xfId="0" applyNumberFormat="1" applyFont="1" applyFill="1" applyBorder="1" applyAlignment="1" applyProtection="1">
      <alignment horizontal="left"/>
    </xf>
    <xf numFmtId="0" fontId="26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horizontal="center" vertical="top"/>
    </xf>
    <xf numFmtId="0" fontId="40" fillId="36" borderId="0" xfId="0" applyFont="1" applyFill="1" applyAlignment="1" applyProtection="1">
      <alignment vertical="top"/>
    </xf>
    <xf numFmtId="0" fontId="1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top" wrapText="1"/>
    </xf>
    <xf numFmtId="0" fontId="26" fillId="40" borderId="0" xfId="0" applyFont="1" applyFill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171" fontId="26" fillId="39" borderId="1" xfId="0" applyNumberFormat="1" applyFont="1" applyFill="1" applyBorder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6" fillId="36" borderId="0" xfId="0" applyFont="1" applyFill="1" applyBorder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center" wrapText="1"/>
    </xf>
    <xf numFmtId="0" fontId="17" fillId="36" borderId="0" xfId="0" applyFont="1" applyFill="1" applyBorder="1" applyAlignment="1" applyProtection="1">
      <alignment horizontal="center" vertical="center" wrapText="1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47" fillId="36" borderId="0" xfId="0" applyFont="1" applyFill="1"/>
    <xf numFmtId="0" fontId="26" fillId="0" borderId="0" xfId="0" applyFont="1"/>
    <xf numFmtId="0" fontId="2" fillId="0" borderId="0" xfId="0" applyFont="1"/>
    <xf numFmtId="0" fontId="0" fillId="36" borderId="0" xfId="0" applyFill="1" applyAlignment="1" applyProtection="1">
      <alignment vertical="top"/>
    </xf>
    <xf numFmtId="170" fontId="52" fillId="41" borderId="1" xfId="0" applyNumberFormat="1" applyFont="1" applyFill="1" applyBorder="1" applyAlignment="1" applyProtection="1">
      <alignment horizontal="center"/>
    </xf>
    <xf numFmtId="0" fontId="41" fillId="0" borderId="0" xfId="0" applyFont="1"/>
    <xf numFmtId="171" fontId="26" fillId="0" borderId="0" xfId="74" applyNumberFormat="1" applyFont="1" applyFill="1" applyBorder="1" applyAlignment="1" applyProtection="1">
      <alignment horizontal="center" vertical="center"/>
      <protection locked="0"/>
    </xf>
    <xf numFmtId="170" fontId="26" fillId="35" borderId="1" xfId="73" applyNumberFormat="1" applyFont="1" applyFill="1" applyBorder="1" applyAlignment="1" applyProtection="1">
      <alignment horizontal="right" vertical="center"/>
    </xf>
    <xf numFmtId="169" fontId="9" fillId="2" borderId="1" xfId="31" applyNumberFormat="1" applyFont="1" applyFill="1" applyBorder="1" applyAlignment="1" applyProtection="1">
      <alignment horizontal="right" wrapText="1"/>
      <protection locked="0"/>
    </xf>
    <xf numFmtId="176" fontId="17" fillId="35" borderId="1" xfId="73" applyNumberFormat="1" applyFont="1" applyFill="1" applyBorder="1" applyAlignment="1" applyProtection="1">
      <alignment horizontal="center" vertical="center"/>
    </xf>
    <xf numFmtId="0" fontId="57" fillId="0" borderId="0" xfId="0" applyFont="1"/>
    <xf numFmtId="0" fontId="0" fillId="43" borderId="0" xfId="0" applyFont="1" applyFill="1" applyAlignment="1" applyProtection="1">
      <alignment horizontal="center" vertical="top"/>
    </xf>
    <xf numFmtId="169" fontId="56" fillId="43" borderId="0" xfId="76" applyNumberFormat="1" applyFont="1" applyFill="1" applyBorder="1" applyAlignment="1" applyProtection="1">
      <alignment horizontal="center" vertical="top"/>
    </xf>
    <xf numFmtId="171" fontId="26" fillId="43" borderId="0" xfId="74" applyNumberFormat="1" applyFont="1" applyFill="1" applyBorder="1" applyAlignment="1" applyProtection="1">
      <alignment horizontal="center" vertical="center"/>
      <protection locked="0"/>
    </xf>
    <xf numFmtId="173" fontId="26" fillId="43" borderId="0" xfId="76" applyNumberFormat="1" applyFont="1" applyFill="1" applyBorder="1" applyAlignment="1" applyProtection="1">
      <alignment horizontal="center" vertical="top"/>
    </xf>
    <xf numFmtId="171" fontId="57" fillId="37" borderId="1" xfId="74" applyNumberFormat="1" applyFont="1" applyFill="1" applyBorder="1" applyAlignment="1" applyProtection="1">
      <alignment horizontal="center" vertical="center"/>
      <protection locked="0"/>
    </xf>
    <xf numFmtId="0" fontId="57" fillId="36" borderId="0" xfId="0" applyFont="1" applyFill="1" applyAlignment="1" applyProtection="1">
      <alignment vertical="center" wrapText="1"/>
    </xf>
    <xf numFmtId="177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4" fontId="26" fillId="45" borderId="1" xfId="0" applyNumberFormat="1" applyFont="1" applyFill="1" applyBorder="1" applyAlignment="1" applyProtection="1">
      <alignment horizontal="center" vertical="top"/>
    </xf>
    <xf numFmtId="173" fontId="26" fillId="45" borderId="1" xfId="76" applyNumberFormat="1" applyFont="1" applyFill="1" applyBorder="1" applyAlignment="1" applyProtection="1">
      <alignment horizontal="center" vertical="top"/>
    </xf>
    <xf numFmtId="171" fontId="26" fillId="46" borderId="1" xfId="74" applyNumberFormat="1" applyFont="1" applyFill="1" applyBorder="1" applyAlignment="1" applyProtection="1">
      <alignment horizontal="center" vertical="center"/>
      <protection locked="0"/>
    </xf>
    <xf numFmtId="170" fontId="26" fillId="46" borderId="1" xfId="0" applyNumberFormat="1" applyFont="1" applyFill="1" applyBorder="1" applyAlignment="1" applyProtection="1">
      <alignment horizontal="center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80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</xf>
    <xf numFmtId="0" fontId="58" fillId="0" borderId="0" xfId="0" applyFont="1"/>
    <xf numFmtId="0" fontId="59" fillId="0" borderId="0" xfId="0" applyFont="1"/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46" fillId="36" borderId="0" xfId="0" applyFont="1" applyFill="1" applyAlignment="1">
      <alignment vertical="top"/>
    </xf>
    <xf numFmtId="0" fontId="17" fillId="36" borderId="0" xfId="0" applyFont="1" applyFill="1" applyAlignment="1" applyProtection="1">
      <alignment vertical="top"/>
    </xf>
    <xf numFmtId="0" fontId="46" fillId="36" borderId="0" xfId="0" applyFont="1" applyFill="1" applyAlignment="1" applyProtection="1">
      <alignment vertical="top"/>
    </xf>
    <xf numFmtId="0" fontId="61" fillId="0" borderId="0" xfId="0" applyFont="1"/>
    <xf numFmtId="0" fontId="2" fillId="0" borderId="0" xfId="0" applyFont="1" applyAlignment="1">
      <alignment horizontal="left"/>
    </xf>
    <xf numFmtId="0" fontId="62" fillId="0" borderId="0" xfId="0" applyFont="1"/>
    <xf numFmtId="0" fontId="2" fillId="0" borderId="0" xfId="0" applyFont="1" applyAlignment="1">
      <alignment horizontal="center"/>
    </xf>
    <xf numFmtId="0" fontId="2" fillId="45" borderId="1" xfId="0" applyFont="1" applyFill="1" applyBorder="1"/>
    <xf numFmtId="169" fontId="26" fillId="45" borderId="1" xfId="76" applyNumberFormat="1" applyFont="1" applyFill="1" applyBorder="1" applyAlignment="1" applyProtection="1">
      <alignment horizontal="center" vertical="top"/>
    </xf>
    <xf numFmtId="171" fontId="26" fillId="45" borderId="1" xfId="74" applyNumberFormat="1" applyFont="1" applyFill="1" applyBorder="1" applyAlignment="1" applyProtection="1">
      <alignment horizontal="center" vertical="center"/>
      <protection locked="0"/>
    </xf>
    <xf numFmtId="169" fontId="26" fillId="43" borderId="0" xfId="76" applyNumberFormat="1" applyFont="1" applyFill="1" applyBorder="1" applyAlignment="1" applyProtection="1">
      <alignment horizontal="center" vertical="top"/>
    </xf>
    <xf numFmtId="164" fontId="26" fillId="45" borderId="1" xfId="0" applyNumberFormat="1" applyFont="1" applyFill="1" applyBorder="1"/>
    <xf numFmtId="10" fontId="2" fillId="45" borderId="1" xfId="32" applyNumberFormat="1" applyFont="1" applyFill="1" applyBorder="1"/>
    <xf numFmtId="0" fontId="38" fillId="43" borderId="0" xfId="0" applyFont="1" applyFill="1" applyAlignment="1" applyProtection="1">
      <alignment vertical="center"/>
      <protection locked="0"/>
    </xf>
    <xf numFmtId="0" fontId="46" fillId="36" borderId="0" xfId="0" applyFont="1" applyFill="1" applyBorder="1" applyAlignment="1" applyProtection="1">
      <alignment horizontal="left" vertic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7" fillId="43" borderId="0" xfId="0" applyFont="1" applyFill="1" applyAlignment="1" applyProtection="1">
      <alignment vertical="center" wrapText="1"/>
      <protection locked="0"/>
    </xf>
    <xf numFmtId="0" fontId="40" fillId="43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vertical="center" wrapText="1"/>
      <protection locked="0"/>
    </xf>
    <xf numFmtId="0" fontId="26" fillId="43" borderId="0" xfId="0" applyFont="1" applyFill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17" fillId="36" borderId="0" xfId="0" applyFont="1" applyFill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1" fillId="4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3" borderId="0" xfId="0" applyFill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43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0" fillId="43" borderId="0" xfId="0" applyFont="1" applyFill="1" applyAlignment="1" applyProtection="1">
      <alignment vertical="top"/>
      <protection locked="0"/>
    </xf>
    <xf numFmtId="0" fontId="57" fillId="36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0" fillId="43" borderId="0" xfId="0" applyFont="1" applyFill="1" applyAlignment="1" applyProtection="1">
      <alignment vertical="top"/>
      <protection locked="0"/>
    </xf>
    <xf numFmtId="0" fontId="1" fillId="43" borderId="0" xfId="0" applyFont="1" applyFill="1" applyAlignment="1" applyProtection="1">
      <alignment vertical="top"/>
      <protection locked="0"/>
    </xf>
    <xf numFmtId="10" fontId="26" fillId="42" borderId="1" xfId="76" applyNumberFormat="1" applyFont="1" applyFill="1" applyBorder="1" applyAlignment="1" applyProtection="1">
      <alignment horizontal="center" vertical="center"/>
    </xf>
    <xf numFmtId="0" fontId="38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horizontal="center" vertical="top"/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175" fontId="0" fillId="41" borderId="1" xfId="0" applyNumberFormat="1" applyFill="1" applyBorder="1" applyProtection="1">
      <protection locked="0"/>
    </xf>
    <xf numFmtId="164" fontId="0" fillId="41" borderId="1" xfId="0" applyNumberFormat="1" applyFill="1" applyBorder="1" applyProtection="1">
      <protection locked="0"/>
    </xf>
    <xf numFmtId="0" fontId="16" fillId="0" borderId="0" xfId="0" applyFont="1" applyProtection="1">
      <protection locked="0"/>
    </xf>
    <xf numFmtId="0" fontId="0" fillId="0" borderId="0" xfId="0" applyFont="1" applyProtection="1">
      <protection locked="0"/>
    </xf>
    <xf numFmtId="10" fontId="26" fillId="41" borderId="1" xfId="75" applyNumberFormat="1" applyFont="1" applyFill="1" applyBorder="1" applyAlignment="1" applyProtection="1">
      <alignment horizontal="center"/>
      <protection locked="0"/>
    </xf>
    <xf numFmtId="175" fontId="1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5" fontId="0" fillId="42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164" fontId="26" fillId="41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46" fillId="36" borderId="0" xfId="0" applyFont="1" applyFill="1" applyAlignment="1" applyProtection="1">
      <alignment vertical="top"/>
      <protection locked="0"/>
    </xf>
    <xf numFmtId="0" fontId="17" fillId="36" borderId="0" xfId="0" applyFont="1" applyFill="1" applyAlignment="1" applyProtection="1">
      <alignment vertical="top"/>
      <protection locked="0"/>
    </xf>
    <xf numFmtId="0" fontId="26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1" xfId="0" applyFont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178" fontId="26" fillId="41" borderId="1" xfId="0" applyNumberFormat="1" applyFont="1" applyFill="1" applyBorder="1" applyProtection="1">
      <protection locked="0"/>
    </xf>
    <xf numFmtId="178" fontId="0" fillId="41" borderId="1" xfId="0" applyNumberFormat="1" applyFill="1" applyBorder="1" applyProtection="1">
      <protection locked="0"/>
    </xf>
    <xf numFmtId="167" fontId="26" fillId="41" borderId="1" xfId="0" applyNumberFormat="1" applyFont="1" applyFill="1" applyBorder="1" applyProtection="1">
      <protection locked="0"/>
    </xf>
    <xf numFmtId="167" fontId="0" fillId="41" borderId="1" xfId="0" applyNumberFormat="1" applyFill="1" applyBorder="1" applyProtection="1">
      <protection locked="0"/>
    </xf>
    <xf numFmtId="175" fontId="26" fillId="41" borderId="1" xfId="0" applyNumberFormat="1" applyFont="1" applyFill="1" applyBorder="1" applyProtection="1">
      <protection locked="0"/>
    </xf>
    <xf numFmtId="167" fontId="2" fillId="41" borderId="1" xfId="4" applyNumberFormat="1" applyFont="1" applyFill="1" applyBorder="1" applyProtection="1">
      <protection locked="0"/>
    </xf>
    <xf numFmtId="0" fontId="66" fillId="0" borderId="0" xfId="0" applyFont="1" applyProtection="1">
      <protection locked="0"/>
    </xf>
    <xf numFmtId="10" fontId="2" fillId="41" borderId="1" xfId="0" applyNumberFormat="1" applyFont="1" applyFill="1" applyBorder="1" applyProtection="1">
      <protection locked="0"/>
    </xf>
    <xf numFmtId="0" fontId="2" fillId="41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 applyProtection="1">
      <alignment horizontal="left" indent="4"/>
      <protection locked="0"/>
    </xf>
    <xf numFmtId="0" fontId="26" fillId="0" borderId="0" xfId="0" applyFont="1" applyAlignment="1" applyProtection="1">
      <alignment horizontal="left" indent="4"/>
      <protection locked="0"/>
    </xf>
    <xf numFmtId="173" fontId="26" fillId="41" borderId="1" xfId="76" applyNumberFormat="1" applyFont="1" applyFill="1" applyBorder="1" applyProtection="1">
      <protection locked="0"/>
    </xf>
    <xf numFmtId="173" fontId="0" fillId="41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6" fillId="46" borderId="1" xfId="0" applyFont="1" applyFill="1" applyBorder="1" applyProtection="1">
      <protection locked="0"/>
    </xf>
    <xf numFmtId="0" fontId="0" fillId="46" borderId="1" xfId="0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7" fillId="0" borderId="0" xfId="0" applyFont="1" applyProtection="1">
      <protection locked="0"/>
    </xf>
    <xf numFmtId="164" fontId="17" fillId="42" borderId="1" xfId="0" applyNumberFormat="1" applyFont="1" applyFill="1" applyBorder="1" applyProtection="1"/>
    <xf numFmtId="181" fontId="62" fillId="44" borderId="1" xfId="4" applyNumberFormat="1" applyFont="1" applyFill="1" applyBorder="1" applyProtection="1"/>
    <xf numFmtId="166" fontId="62" fillId="44" borderId="1" xfId="4" applyFont="1" applyFill="1" applyBorder="1" applyProtection="1"/>
    <xf numFmtId="175" fontId="17" fillId="42" borderId="1" xfId="0" applyNumberFormat="1" applyFont="1" applyFill="1" applyBorder="1" applyProtection="1"/>
    <xf numFmtId="0" fontId="50" fillId="0" borderId="0" xfId="0" applyFont="1" applyProtection="1">
      <protection locked="0"/>
    </xf>
    <xf numFmtId="164" fontId="17" fillId="41" borderId="1" xfId="0" applyNumberFormat="1" applyFont="1" applyFill="1" applyBorder="1" applyProtection="1">
      <protection locked="0"/>
    </xf>
    <xf numFmtId="0" fontId="26" fillId="43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169" fontId="0" fillId="41" borderId="1" xfId="0" applyNumberFormat="1" applyFill="1" applyBorder="1" applyProtection="1">
      <protection locked="0"/>
    </xf>
    <xf numFmtId="170" fontId="0" fillId="0" borderId="0" xfId="0" applyNumberFormat="1" applyProtection="1">
      <protection locked="0"/>
    </xf>
    <xf numFmtId="0" fontId="0" fillId="41" borderId="1" xfId="0" applyFill="1" applyBorder="1" applyProtection="1">
      <protection locked="0"/>
    </xf>
    <xf numFmtId="0" fontId="26" fillId="43" borderId="0" xfId="0" applyFont="1" applyFill="1" applyProtection="1">
      <protection locked="0"/>
    </xf>
    <xf numFmtId="170" fontId="26" fillId="43" borderId="0" xfId="73" applyNumberFormat="1" applyFont="1" applyFill="1" applyBorder="1" applyAlignment="1" applyProtection="1">
      <alignment horizontal="right" vertical="center"/>
      <protection locked="0"/>
    </xf>
    <xf numFmtId="0" fontId="7" fillId="43" borderId="0" xfId="0" applyFont="1" applyFill="1" applyProtection="1">
      <protection locked="0"/>
    </xf>
    <xf numFmtId="0" fontId="0" fillId="0" borderId="0" xfId="0" applyProtection="1"/>
    <xf numFmtId="0" fontId="4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55" fillId="0" borderId="0" xfId="3" applyFont="1" applyProtection="1">
      <protection locked="0"/>
    </xf>
    <xf numFmtId="0" fontId="36" fillId="0" borderId="0" xfId="3" applyFont="1" applyProtection="1">
      <protection locked="0"/>
    </xf>
    <xf numFmtId="0" fontId="43" fillId="0" borderId="0" xfId="3" applyFont="1" applyProtection="1">
      <protection locked="0"/>
    </xf>
    <xf numFmtId="0" fontId="20" fillId="0" borderId="0" xfId="3" applyFont="1" applyProtection="1">
      <protection locked="0"/>
    </xf>
    <xf numFmtId="0" fontId="26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17" fillId="0" borderId="0" xfId="3" applyFont="1" applyAlignment="1" applyProtection="1">
      <alignment horizontal="center"/>
      <protection locked="0"/>
    </xf>
    <xf numFmtId="169" fontId="26" fillId="2" borderId="1" xfId="3" applyNumberFormat="1" applyFont="1" applyFill="1" applyBorder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9" fontId="9" fillId="35" borderId="1" xfId="3" applyNumberFormat="1" applyFont="1" applyFill="1" applyBorder="1" applyProtection="1">
      <protection locked="0"/>
    </xf>
    <xf numFmtId="169" fontId="9" fillId="0" borderId="12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69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" applyNumberFormat="1" applyFont="1" applyProtection="1">
      <protection locked="0"/>
    </xf>
    <xf numFmtId="169" fontId="9" fillId="0" borderId="0" xfId="31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0" fontId="20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1" applyNumberFormat="1" applyFont="1" applyBorder="1" applyProtection="1">
      <protection locked="0"/>
    </xf>
    <xf numFmtId="0" fontId="35" fillId="0" borderId="0" xfId="31" applyFont="1" applyBorder="1" applyProtection="1">
      <protection locked="0"/>
    </xf>
    <xf numFmtId="10" fontId="0" fillId="0" borderId="0" xfId="0" applyNumberFormat="1" applyProtection="1">
      <protection locked="0"/>
    </xf>
    <xf numFmtId="169" fontId="1" fillId="42" borderId="1" xfId="0" applyNumberFormat="1" applyFont="1" applyFill="1" applyBorder="1" applyProtection="1"/>
    <xf numFmtId="178" fontId="0" fillId="0" borderId="0" xfId="0" applyNumberFormat="1" applyProtection="1">
      <protection locked="0"/>
    </xf>
    <xf numFmtId="178" fontId="1" fillId="42" borderId="1" xfId="0" applyNumberFormat="1" applyFont="1" applyFill="1" applyBorder="1" applyProtection="1"/>
    <xf numFmtId="178" fontId="26" fillId="41" borderId="1" xfId="0" applyNumberFormat="1" applyFont="1" applyFill="1" applyBorder="1" applyAlignment="1" applyProtection="1">
      <alignment horizontal="center"/>
      <protection locked="0"/>
    </xf>
    <xf numFmtId="178" fontId="1" fillId="42" borderId="1" xfId="0" applyNumberFormat="1" applyFont="1" applyFill="1" applyBorder="1" applyAlignment="1" applyProtection="1">
      <alignment horizontal="center" vertical="center"/>
    </xf>
    <xf numFmtId="0" fontId="7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69" fontId="1" fillId="47" borderId="1" xfId="0" applyNumberFormat="1" applyFont="1" applyFill="1" applyBorder="1" applyProtection="1">
      <protection locked="0"/>
    </xf>
    <xf numFmtId="2" fontId="1" fillId="43" borderId="0" xfId="0" applyNumberFormat="1" applyFont="1" applyFill="1" applyBorder="1" applyProtection="1"/>
    <xf numFmtId="169" fontId="0" fillId="0" borderId="0" xfId="0" applyNumberFormat="1" applyProtection="1">
      <protection locked="0"/>
    </xf>
    <xf numFmtId="169" fontId="26" fillId="0" borderId="0" xfId="0" applyNumberFormat="1" applyFont="1" applyProtection="1">
      <protection locked="0"/>
    </xf>
    <xf numFmtId="169" fontId="1" fillId="44" borderId="1" xfId="0" applyNumberFormat="1" applyFont="1" applyFill="1" applyBorder="1" applyProtection="1"/>
    <xf numFmtId="2" fontId="7" fillId="43" borderId="0" xfId="0" applyNumberFormat="1" applyFont="1" applyFill="1" applyBorder="1" applyProtection="1"/>
    <xf numFmtId="0" fontId="72" fillId="0" borderId="0" xfId="0" applyFont="1" applyAlignment="1" applyProtection="1">
      <protection locked="0"/>
    </xf>
    <xf numFmtId="169" fontId="26" fillId="41" borderId="1" xfId="0" applyNumberFormat="1" applyFont="1" applyFill="1" applyBorder="1" applyProtection="1">
      <protection locked="0"/>
    </xf>
    <xf numFmtId="169" fontId="17" fillId="42" borderId="1" xfId="0" applyNumberFormat="1" applyFont="1" applyFill="1" applyBorder="1" applyProtection="1"/>
    <xf numFmtId="169" fontId="0" fillId="46" borderId="1" xfId="0" applyNumberFormat="1" applyFill="1" applyBorder="1" applyProtection="1">
      <protection locked="0"/>
    </xf>
    <xf numFmtId="169" fontId="1" fillId="43" borderId="0" xfId="0" applyNumberFormat="1" applyFont="1" applyFill="1" applyBorder="1" applyProtection="1"/>
    <xf numFmtId="0" fontId="26" fillId="36" borderId="0" xfId="0" applyFont="1" applyFill="1" applyAlignment="1" applyProtection="1">
      <alignment vertical="center" wrapText="1"/>
      <protection locked="0"/>
    </xf>
    <xf numFmtId="178" fontId="1" fillId="44" borderId="1" xfId="0" applyNumberFormat="1" applyFont="1" applyFill="1" applyBorder="1" applyProtection="1"/>
    <xf numFmtId="170" fontId="26" fillId="43" borderId="0" xfId="73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3" fillId="0" borderId="0" xfId="0" applyFont="1" applyProtection="1">
      <protection locked="0"/>
    </xf>
    <xf numFmtId="0" fontId="74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75" fillId="36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50" fillId="36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169" fontId="0" fillId="43" borderId="0" xfId="0" applyNumberFormat="1" applyFill="1" applyProtection="1">
      <protection locked="0"/>
    </xf>
    <xf numFmtId="169" fontId="26" fillId="43" borderId="0" xfId="0" applyNumberFormat="1" applyFont="1" applyFill="1" applyProtection="1">
      <protection locked="0"/>
    </xf>
    <xf numFmtId="170" fontId="26" fillId="46" borderId="1" xfId="74" applyNumberFormat="1" applyFont="1" applyFill="1" applyBorder="1" applyAlignment="1" applyProtection="1">
      <alignment horizontal="right" vertical="center"/>
      <protection locked="0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72" fontId="26" fillId="46" borderId="1" xfId="74" applyNumberFormat="1" applyFont="1" applyFill="1" applyBorder="1" applyAlignment="1" applyProtection="1">
      <alignment horizontal="center" vertical="center"/>
      <protection locked="0"/>
    </xf>
    <xf numFmtId="14" fontId="26" fillId="38" borderId="1" xfId="0" applyNumberFormat="1" applyFont="1" applyFill="1" applyBorder="1" applyAlignment="1" applyProtection="1">
      <alignment horizontal="center"/>
    </xf>
    <xf numFmtId="0" fontId="43" fillId="36" borderId="0" xfId="0" applyFont="1" applyFill="1" applyAlignment="1" applyProtection="1">
      <alignment vertical="center"/>
      <protection locked="0"/>
    </xf>
    <xf numFmtId="172" fontId="26" fillId="42" borderId="1" xfId="74" applyNumberFormat="1" applyFont="1" applyFill="1" applyBorder="1" applyAlignment="1" applyProtection="1">
      <alignment horizontal="center" vertical="center"/>
    </xf>
    <xf numFmtId="171" fontId="26" fillId="2" borderId="1" xfId="74" applyNumberFormat="1" applyFont="1" applyFill="1" applyBorder="1" applyAlignment="1" applyProtection="1">
      <alignment horizontal="center" vertical="center"/>
      <protection locked="0"/>
    </xf>
    <xf numFmtId="174" fontId="26" fillId="2" borderId="1" xfId="74" applyNumberFormat="1" applyFont="1" applyFill="1" applyBorder="1" applyAlignment="1" applyProtection="1">
      <alignment horizontal="center" vertical="center"/>
      <protection locked="0"/>
    </xf>
    <xf numFmtId="170" fontId="17" fillId="35" borderId="1" xfId="73" applyNumberFormat="1" applyFont="1" applyFill="1" applyBorder="1" applyAlignment="1" applyProtection="1">
      <alignment horizontal="center" vertical="center"/>
    </xf>
    <xf numFmtId="183" fontId="1" fillId="42" borderId="1" xfId="0" applyNumberFormat="1" applyFont="1" applyFill="1" applyBorder="1" applyProtection="1"/>
    <xf numFmtId="10" fontId="0" fillId="42" borderId="1" xfId="0" applyNumberFormat="1" applyFont="1" applyFill="1" applyBorder="1" applyProtection="1"/>
    <xf numFmtId="10" fontId="0" fillId="0" borderId="0" xfId="0" applyNumberFormat="1" applyFont="1" applyProtection="1">
      <protection locked="0"/>
    </xf>
    <xf numFmtId="9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75" fillId="43" borderId="0" xfId="0" applyFont="1" applyFill="1" applyAlignment="1" applyProtection="1">
      <alignment vertical="top"/>
      <protection locked="0"/>
    </xf>
    <xf numFmtId="0" fontId="26" fillId="36" borderId="0" xfId="0" applyFont="1" applyFill="1" applyBorder="1" applyAlignment="1" applyProtection="1">
      <alignment horizontal="left" vertical="top"/>
    </xf>
    <xf numFmtId="0" fontId="50" fillId="43" borderId="0" xfId="0" applyFont="1" applyFill="1" applyAlignment="1" applyProtection="1">
      <alignment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69" fontId="26" fillId="45" borderId="1" xfId="0" applyNumberFormat="1" applyFont="1" applyFill="1" applyBorder="1" applyAlignment="1" applyProtection="1">
      <alignment horizontal="center" vertical="top"/>
    </xf>
    <xf numFmtId="182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84" fontId="1" fillId="42" borderId="1" xfId="0" applyNumberFormat="1" applyFont="1" applyFill="1" applyBorder="1" applyAlignment="1" applyProtection="1">
      <alignment horizontal="center" vertical="center"/>
    </xf>
    <xf numFmtId="172" fontId="26" fillId="45" borderId="1" xfId="0" applyNumberFormat="1" applyFont="1" applyFill="1" applyBorder="1" applyAlignment="1" applyProtection="1">
      <alignment horizontal="right" vertical="top"/>
    </xf>
    <xf numFmtId="0" fontId="26" fillId="36" borderId="0" xfId="0" applyFont="1" applyFill="1" applyAlignment="1" applyProtection="1">
      <alignment vertical="center" wrapText="1"/>
      <protection locked="0"/>
    </xf>
    <xf numFmtId="170" fontId="26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ill="1" applyAlignment="1" applyProtection="1">
      <alignment vertical="top"/>
      <protection locked="0"/>
    </xf>
    <xf numFmtId="0" fontId="6" fillId="43" borderId="0" xfId="0" applyFont="1" applyFill="1" applyBorder="1" applyAlignment="1" applyProtection="1">
      <alignment horizontal="center"/>
      <protection locked="0"/>
    </xf>
    <xf numFmtId="164" fontId="0" fillId="44" borderId="1" xfId="0" applyNumberFormat="1" applyFont="1" applyFill="1" applyBorder="1" applyProtection="1"/>
    <xf numFmtId="164" fontId="26" fillId="41" borderId="1" xfId="0" applyNumberFormat="1" applyFont="1" applyFill="1" applyBorder="1" applyProtection="1">
      <protection locked="0"/>
    </xf>
    <xf numFmtId="164" fontId="26" fillId="41" borderId="4" xfId="0" applyNumberFormat="1" applyFont="1" applyFill="1" applyBorder="1" applyProtection="1">
      <protection locked="0"/>
    </xf>
    <xf numFmtId="172" fontId="26" fillId="37" borderId="1" xfId="74" applyNumberFormat="1" applyFont="1" applyFill="1" applyBorder="1" applyAlignment="1" applyProtection="1">
      <alignment horizontal="center" vertical="center"/>
      <protection locked="0"/>
    </xf>
    <xf numFmtId="172" fontId="26" fillId="2" borderId="1" xfId="74" applyNumberFormat="1" applyFont="1" applyFill="1" applyBorder="1" applyAlignment="1" applyProtection="1">
      <alignment horizontal="center" vertical="center"/>
      <protection locked="0"/>
    </xf>
    <xf numFmtId="165" fontId="1" fillId="42" borderId="1" xfId="0" applyNumberFormat="1" applyFont="1" applyFill="1" applyBorder="1" applyProtection="1"/>
    <xf numFmtId="165" fontId="26" fillId="2" borderId="1" xfId="3" applyNumberFormat="1" applyFont="1" applyFill="1" applyBorder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protection locked="0"/>
    </xf>
    <xf numFmtId="0" fontId="77" fillId="0" borderId="0" xfId="0" applyFont="1" applyProtection="1">
      <protection locked="0"/>
    </xf>
    <xf numFmtId="168" fontId="17" fillId="44" borderId="1" xfId="0" applyNumberFormat="1" applyFont="1" applyFill="1" applyBorder="1" applyProtection="1"/>
    <xf numFmtId="0" fontId="26" fillId="36" borderId="0" xfId="0" quotePrefix="1" applyFont="1" applyFill="1" applyAlignment="1" applyProtection="1">
      <alignment vertical="top"/>
    </xf>
    <xf numFmtId="170" fontId="26" fillId="38" borderId="1" xfId="0" applyNumberFormat="1" applyFont="1" applyFill="1" applyBorder="1" applyAlignment="1" applyProtection="1">
      <alignment horizontal="center" wrapText="1"/>
    </xf>
    <xf numFmtId="185" fontId="26" fillId="45" borderId="1" xfId="76" applyNumberFormat="1" applyFont="1" applyFill="1" applyBorder="1" applyAlignment="1" applyProtection="1">
      <alignment horizontal="center" vertical="top"/>
    </xf>
    <xf numFmtId="2" fontId="26" fillId="41" borderId="1" xfId="76" applyNumberFormat="1" applyFont="1" applyFill="1" applyBorder="1" applyProtection="1">
      <protection locked="0"/>
    </xf>
    <xf numFmtId="2" fontId="26" fillId="41" borderId="1" xfId="0" applyNumberFormat="1" applyFont="1" applyFill="1" applyBorder="1" applyProtection="1">
      <protection locked="0"/>
    </xf>
    <xf numFmtId="170" fontId="26" fillId="38" borderId="1" xfId="0" applyNumberFormat="1" applyFont="1" applyFill="1" applyBorder="1" applyAlignment="1" applyProtection="1">
      <alignment horizontal="left" wrapText="1"/>
    </xf>
    <xf numFmtId="0" fontId="2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6" fillId="0" borderId="0" xfId="0" applyFont="1" applyFill="1"/>
    <xf numFmtId="0" fontId="17" fillId="0" borderId="0" xfId="0" applyFont="1" applyFill="1"/>
    <xf numFmtId="0" fontId="0" fillId="0" borderId="0" xfId="0" applyFont="1" applyFill="1" applyAlignment="1" applyProtection="1">
      <alignment vertical="top"/>
    </xf>
    <xf numFmtId="0" fontId="41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186" fontId="26" fillId="41" borderId="1" xfId="0" applyNumberFormat="1" applyFont="1" applyFill="1" applyBorder="1" applyAlignment="1" applyProtection="1">
      <alignment horizont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41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87" fontId="0" fillId="41" borderId="1" xfId="0" applyNumberFormat="1" applyFill="1" applyBorder="1" applyProtection="1">
      <protection locked="0"/>
    </xf>
    <xf numFmtId="187" fontId="9" fillId="2" borderId="1" xfId="3" applyNumberFormat="1" applyFont="1" applyFill="1" applyBorder="1" applyProtection="1">
      <protection locked="0"/>
    </xf>
    <xf numFmtId="187" fontId="26" fillId="37" borderId="1" xfId="74" applyNumberFormat="1" applyFont="1" applyFill="1" applyBorder="1" applyAlignment="1" applyProtection="1">
      <alignment horizontal="center" vertical="center"/>
      <protection locked="0"/>
    </xf>
    <xf numFmtId="174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43" fillId="48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43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vertical="top"/>
    </xf>
    <xf numFmtId="0" fontId="43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 wrapText="1"/>
    </xf>
    <xf numFmtId="0" fontId="0" fillId="0" borderId="0" xfId="0" applyFont="1" applyFill="1" applyAlignment="1" applyProtection="1">
      <alignment horizontal="center" vertical="top"/>
    </xf>
    <xf numFmtId="173" fontId="0" fillId="41" borderId="1" xfId="0" applyNumberFormat="1" applyFill="1" applyBorder="1" applyProtection="1">
      <protection locked="0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/>
    <xf numFmtId="0" fontId="7" fillId="0" borderId="0" xfId="0" applyFont="1" applyFill="1" applyAlignment="1" applyProtection="1">
      <alignment vertical="center" wrapText="1"/>
      <protection locked="0"/>
    </xf>
    <xf numFmtId="169" fontId="37" fillId="0" borderId="0" xfId="3" applyNumberFormat="1" applyFont="1" applyFill="1" applyProtection="1">
      <protection locked="0"/>
    </xf>
    <xf numFmtId="0" fontId="9" fillId="0" borderId="0" xfId="3" applyFont="1" applyFill="1" applyProtection="1">
      <protection locked="0"/>
    </xf>
    <xf numFmtId="187" fontId="9" fillId="0" borderId="0" xfId="31" applyNumberFormat="1" applyFont="1" applyFill="1" applyBorder="1" applyAlignment="1" applyProtection="1">
      <alignment horizontal="right"/>
      <protection locked="0"/>
    </xf>
    <xf numFmtId="187" fontId="9" fillId="0" borderId="0" xfId="31" applyNumberFormat="1" applyFont="1" applyFill="1" applyBorder="1" applyProtection="1">
      <protection locked="0"/>
    </xf>
    <xf numFmtId="168" fontId="9" fillId="0" borderId="0" xfId="31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82" fontId="26" fillId="49" borderId="1" xfId="74" applyNumberFormat="1" applyFont="1" applyFill="1" applyBorder="1" applyAlignment="1" applyProtection="1">
      <alignment horizontal="center" vertical="center"/>
      <protection locked="0"/>
    </xf>
    <xf numFmtId="180" fontId="26" fillId="36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10" fontId="26" fillId="36" borderId="0" xfId="0" applyNumberFormat="1" applyFont="1" applyFill="1" applyBorder="1" applyAlignment="1" applyProtection="1">
      <alignment vertical="center" wrapText="1"/>
      <protection locked="0"/>
    </xf>
    <xf numFmtId="10" fontId="26" fillId="36" borderId="0" xfId="0" applyNumberFormat="1" applyFont="1" applyFill="1" applyAlignment="1" applyProtection="1">
      <alignment vertical="center" wrapText="1"/>
      <protection locked="0"/>
    </xf>
    <xf numFmtId="0" fontId="37" fillId="0" borderId="0" xfId="3" quotePrefix="1" applyFont="1" applyFill="1" applyAlignment="1" applyProtection="1">
      <alignment horizontal="right"/>
      <protection locked="0"/>
    </xf>
    <xf numFmtId="0" fontId="81" fillId="0" borderId="0" xfId="3" applyFont="1" applyFill="1" applyProtection="1">
      <protection locked="0"/>
    </xf>
    <xf numFmtId="0" fontId="8" fillId="0" borderId="0" xfId="31" applyFont="1" applyFill="1" applyBorder="1" applyAlignment="1" applyProtection="1">
      <alignment horizontal="center"/>
      <protection locked="0"/>
    </xf>
    <xf numFmtId="169" fontId="9" fillId="0" borderId="0" xfId="3" applyNumberFormat="1" applyFont="1" applyFill="1" applyAlignment="1" applyProtection="1">
      <alignment horizontal="right"/>
      <protection locked="0"/>
    </xf>
    <xf numFmtId="187" fontId="9" fillId="0" borderId="10" xfId="4" applyNumberFormat="1" applyFont="1" applyFill="1" applyBorder="1" applyAlignment="1" applyProtection="1">
      <alignment horizontal="right"/>
    </xf>
    <xf numFmtId="187" fontId="8" fillId="0" borderId="9" xfId="31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0" fillId="43" borderId="0" xfId="0" applyFont="1" applyFill="1"/>
    <xf numFmtId="0" fontId="56" fillId="43" borderId="0" xfId="0" applyFont="1" applyFill="1"/>
    <xf numFmtId="14" fontId="26" fillId="38" borderId="1" xfId="0" quotePrefix="1" applyNumberFormat="1" applyFont="1" applyFill="1" applyBorder="1" applyAlignment="1" applyProtection="1">
      <alignment horizontal="center"/>
    </xf>
    <xf numFmtId="0" fontId="26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37" borderId="2" xfId="75" applyNumberFormat="1" applyFont="1" applyFill="1" applyBorder="1" applyAlignment="1" applyProtection="1">
      <alignment horizontal="center" vertical="center"/>
      <protection locked="0"/>
    </xf>
    <xf numFmtId="0" fontId="26" fillId="37" borderId="6" xfId="75" applyNumberFormat="1" applyFont="1" applyFill="1" applyBorder="1" applyAlignment="1" applyProtection="1">
      <alignment horizontal="center" vertical="center"/>
      <protection locked="0"/>
    </xf>
    <xf numFmtId="0" fontId="26" fillId="37" borderId="3" xfId="75" applyNumberFormat="1" applyFont="1" applyFill="1" applyBorder="1" applyAlignment="1" applyProtection="1">
      <alignment horizontal="center" vertical="center"/>
      <protection locked="0"/>
    </xf>
    <xf numFmtId="0" fontId="38" fillId="36" borderId="4" xfId="0" applyFont="1" applyFill="1" applyBorder="1" applyAlignment="1" applyProtection="1">
      <alignment horizontal="center" vertical="center"/>
      <protection locked="0"/>
    </xf>
    <xf numFmtId="0" fontId="38" fillId="36" borderId="11" xfId="0" applyFont="1" applyFill="1" applyBorder="1" applyAlignment="1" applyProtection="1">
      <alignment horizontal="center" vertical="center"/>
      <protection locked="0"/>
    </xf>
    <xf numFmtId="0" fontId="38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6" fillId="2" borderId="11" xfId="3" applyFont="1" applyFill="1" applyBorder="1" applyAlignment="1" applyProtection="1">
      <alignment wrapText="1"/>
      <protection locked="0"/>
    </xf>
    <xf numFmtId="0" fontId="9" fillId="2" borderId="11" xfId="31" applyFont="1" applyFill="1" applyBorder="1" applyAlignment="1" applyProtection="1">
      <alignment wrapText="1"/>
      <protection locked="0"/>
    </xf>
    <xf numFmtId="0" fontId="9" fillId="2" borderId="5" xfId="31" applyFont="1" applyFill="1" applyBorder="1" applyAlignment="1" applyProtection="1">
      <alignment wrapText="1"/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26" fillId="2" borderId="5" xfId="3" applyFont="1" applyFill="1" applyBorder="1" applyAlignment="1" applyProtection="1">
      <alignment wrapText="1"/>
      <protection locked="0"/>
    </xf>
    <xf numFmtId="0" fontId="26" fillId="2" borderId="1" xfId="3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</cellXfs>
  <cellStyles count="78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Comma 2" xfId="4"/>
    <cellStyle name="Emphasis 1" xfId="27"/>
    <cellStyle name="Emphasis 2" xfId="28"/>
    <cellStyle name="Emphasis 3" xfId="29"/>
    <cellStyle name="Hyperlink_RRP published income queries with Ofgem" xfId="77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FF3399"/>
      <color rgb="FFCC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57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6" y="249"/>
            <a:ext cx="1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3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3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51" y="361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33</xdr:row>
      <xdr:rowOff>66675</xdr:rowOff>
    </xdr:from>
    <xdr:to>
      <xdr:col>11</xdr:col>
      <xdr:colOff>485775</xdr:colOff>
      <xdr:row>35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438150</xdr:colOff>
      <xdr:row>62</xdr:row>
      <xdr:rowOff>28575</xdr:rowOff>
    </xdr:from>
    <xdr:to>
      <xdr:col>12</xdr:col>
      <xdr:colOff>200025</xdr:colOff>
      <xdr:row>65</xdr:row>
      <xdr:rowOff>85725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1325225"/>
          <a:ext cx="36290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177800</xdr:colOff>
      <xdr:row>47</xdr:row>
      <xdr:rowOff>31750</xdr:rowOff>
    </xdr:from>
    <xdr:to>
      <xdr:col>13</xdr:col>
      <xdr:colOff>25400</xdr:colOff>
      <xdr:row>50</xdr:row>
      <xdr:rowOff>101600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84900" y="8210550"/>
          <a:ext cx="6159500" cy="565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</xdr:rowOff>
    </xdr:from>
    <xdr:to>
      <xdr:col>10</xdr:col>
      <xdr:colOff>247650</xdr:colOff>
      <xdr:row>15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33</xdr:row>
      <xdr:rowOff>142875</xdr:rowOff>
    </xdr:from>
    <xdr:to>
      <xdr:col>9</xdr:col>
      <xdr:colOff>390525</xdr:colOff>
      <xdr:row>35</xdr:row>
      <xdr:rowOff>152400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43550" y="4648200"/>
          <a:ext cx="3114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140</xdr:row>
      <xdr:rowOff>104775</xdr:rowOff>
    </xdr:from>
    <xdr:to>
      <xdr:col>8</xdr:col>
      <xdr:colOff>542925</xdr:colOff>
      <xdr:row>142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10</xdr:col>
      <xdr:colOff>371475</xdr:colOff>
      <xdr:row>57</xdr:row>
      <xdr:rowOff>19050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0" y="5457825"/>
          <a:ext cx="3343275" cy="3429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247650</xdr:colOff>
      <xdr:row>15</xdr:row>
      <xdr:rowOff>171450</xdr:rowOff>
    </xdr:from>
    <xdr:to>
      <xdr:col>14</xdr:col>
      <xdr:colOff>295275</xdr:colOff>
      <xdr:row>18</xdr:row>
      <xdr:rowOff>28575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19850" y="2867025"/>
          <a:ext cx="5934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454479</xdr:colOff>
      <xdr:row>125</xdr:row>
      <xdr:rowOff>57150</xdr:rowOff>
    </xdr:to>
    <xdr:pic>
      <xdr:nvPicPr>
        <xdr:cNvPr id="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1625" y="19878675"/>
          <a:ext cx="1476375" cy="2190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66753</xdr:colOff>
      <xdr:row>155</xdr:row>
      <xdr:rowOff>161684</xdr:rowOff>
    </xdr:from>
    <xdr:to>
      <xdr:col>10</xdr:col>
      <xdr:colOff>422660</xdr:colOff>
      <xdr:row>156</xdr:row>
      <xdr:rowOff>174010</xdr:rowOff>
    </xdr:to>
    <xdr:pic>
      <xdr:nvPicPr>
        <xdr:cNvPr id="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39896" y="28491755"/>
          <a:ext cx="2342550" cy="1756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81450" y="5314950"/>
          <a:ext cx="149542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57675" y="5219700"/>
          <a:ext cx="1495425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18</xdr:row>
      <xdr:rowOff>133350</xdr:rowOff>
    </xdr:from>
    <xdr:to>
      <xdr:col>8</xdr:col>
      <xdr:colOff>409575</xdr:colOff>
      <xdr:row>19</xdr:row>
      <xdr:rowOff>142875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670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133350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62425" y="4267200"/>
          <a:ext cx="5734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57</xdr:row>
      <xdr:rowOff>66675</xdr:rowOff>
    </xdr:from>
    <xdr:to>
      <xdr:col>7</xdr:col>
      <xdr:colOff>542925</xdr:colOff>
      <xdr:row>60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75</xdr:row>
      <xdr:rowOff>38100</xdr:rowOff>
    </xdr:from>
    <xdr:to>
      <xdr:col>8</xdr:col>
      <xdr:colOff>400050</xdr:colOff>
      <xdr:row>76</xdr:row>
      <xdr:rowOff>38100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82</xdr:row>
      <xdr:rowOff>95250</xdr:rowOff>
    </xdr:from>
    <xdr:to>
      <xdr:col>12</xdr:col>
      <xdr:colOff>447675</xdr:colOff>
      <xdr:row>84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114</xdr:row>
      <xdr:rowOff>66675</xdr:rowOff>
    </xdr:from>
    <xdr:to>
      <xdr:col>7</xdr:col>
      <xdr:colOff>542925</xdr:colOff>
      <xdr:row>117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133</xdr:row>
      <xdr:rowOff>38100</xdr:rowOff>
    </xdr:from>
    <xdr:to>
      <xdr:col>8</xdr:col>
      <xdr:colOff>400050</xdr:colOff>
      <xdr:row>134</xdr:row>
      <xdr:rowOff>38100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141</xdr:row>
      <xdr:rowOff>95250</xdr:rowOff>
    </xdr:from>
    <xdr:to>
      <xdr:col>12</xdr:col>
      <xdr:colOff>447675</xdr:colOff>
      <xdr:row>143</xdr:row>
      <xdr:rowOff>133350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173</xdr:row>
      <xdr:rowOff>66675</xdr:rowOff>
    </xdr:from>
    <xdr:to>
      <xdr:col>7</xdr:col>
      <xdr:colOff>542925</xdr:colOff>
      <xdr:row>176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191</xdr:row>
      <xdr:rowOff>142875</xdr:rowOff>
    </xdr:from>
    <xdr:to>
      <xdr:col>8</xdr:col>
      <xdr:colOff>409575</xdr:colOff>
      <xdr:row>192</xdr:row>
      <xdr:rowOff>152400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7564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199</xdr:row>
      <xdr:rowOff>95250</xdr:rowOff>
    </xdr:from>
    <xdr:to>
      <xdr:col>12</xdr:col>
      <xdr:colOff>447675</xdr:colOff>
      <xdr:row>201</xdr:row>
      <xdr:rowOff>133350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231</xdr:row>
      <xdr:rowOff>66675</xdr:rowOff>
    </xdr:from>
    <xdr:to>
      <xdr:col>7</xdr:col>
      <xdr:colOff>542925</xdr:colOff>
      <xdr:row>234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250</xdr:row>
      <xdr:rowOff>38100</xdr:rowOff>
    </xdr:from>
    <xdr:to>
      <xdr:col>8</xdr:col>
      <xdr:colOff>400050</xdr:colOff>
      <xdr:row>251</xdr:row>
      <xdr:rowOff>38100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258</xdr:row>
      <xdr:rowOff>95250</xdr:rowOff>
    </xdr:from>
    <xdr:to>
      <xdr:col>12</xdr:col>
      <xdr:colOff>447675</xdr:colOff>
      <xdr:row>260</xdr:row>
      <xdr:rowOff>133350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290</xdr:row>
      <xdr:rowOff>66675</xdr:rowOff>
    </xdr:from>
    <xdr:to>
      <xdr:col>7</xdr:col>
      <xdr:colOff>542925</xdr:colOff>
      <xdr:row>293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257175</xdr:colOff>
      <xdr:row>43</xdr:row>
      <xdr:rowOff>66675</xdr:rowOff>
    </xdr:from>
    <xdr:to>
      <xdr:col>12</xdr:col>
      <xdr:colOff>219075</xdr:colOff>
      <xdr:row>45</xdr:row>
      <xdr:rowOff>28575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6599704" y="7255249"/>
          <a:ext cx="5329518" cy="292473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4</xdr:col>
      <xdr:colOff>627530</xdr:colOff>
      <xdr:row>100</xdr:row>
      <xdr:rowOff>56030</xdr:rowOff>
    </xdr:from>
    <xdr:to>
      <xdr:col>12</xdr:col>
      <xdr:colOff>589430</xdr:colOff>
      <xdr:row>102</xdr:row>
      <xdr:rowOff>17929</xdr:rowOff>
    </xdr:to>
    <xdr:grpSp>
      <xdr:nvGrpSpPr>
        <xdr:cNvPr id="155" name="Group 1"/>
        <xdr:cNvGrpSpPr>
          <a:grpSpLocks noChangeAspect="1"/>
        </xdr:cNvGrpSpPr>
      </xdr:nvGrpSpPr>
      <xdr:grpSpPr bwMode="auto">
        <a:xfrm>
          <a:off x="6970059" y="16506265"/>
          <a:ext cx="5329518" cy="292473"/>
          <a:chOff x="0" y="-122"/>
          <a:chExt cx="7375" cy="815"/>
        </a:xfrm>
      </xdr:grpSpPr>
      <xdr:sp macro="" textlink="">
        <xdr:nvSpPr>
          <xdr:cNvPr id="156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157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58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59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60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61" name="Rectangle 160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62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63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4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5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6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7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8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9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70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71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72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73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174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175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176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177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178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179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180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181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2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3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184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5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6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7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168088</xdr:colOff>
      <xdr:row>159</xdr:row>
      <xdr:rowOff>140074</xdr:rowOff>
    </xdr:from>
    <xdr:to>
      <xdr:col>13</xdr:col>
      <xdr:colOff>57151</xdr:colOff>
      <xdr:row>161</xdr:row>
      <xdr:rowOff>85164</xdr:rowOff>
    </xdr:to>
    <xdr:grpSp>
      <xdr:nvGrpSpPr>
        <xdr:cNvPr id="188" name="Group 1"/>
        <xdr:cNvGrpSpPr>
          <a:grpSpLocks noChangeAspect="1"/>
        </xdr:cNvGrpSpPr>
      </xdr:nvGrpSpPr>
      <xdr:grpSpPr bwMode="auto">
        <a:xfrm>
          <a:off x="7166162" y="26154530"/>
          <a:ext cx="5329518" cy="292473"/>
          <a:chOff x="0" y="-122"/>
          <a:chExt cx="7375" cy="815"/>
        </a:xfrm>
      </xdr:grpSpPr>
      <xdr:sp macro="" textlink="">
        <xdr:nvSpPr>
          <xdr:cNvPr id="189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190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1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2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3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4" name="Rectangle 193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5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6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97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98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99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0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1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2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3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4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5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6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07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08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09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10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11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12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13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14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5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6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17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8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9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20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33617</xdr:colOff>
      <xdr:row>217</xdr:row>
      <xdr:rowOff>162486</xdr:rowOff>
    </xdr:from>
    <xdr:to>
      <xdr:col>12</xdr:col>
      <xdr:colOff>651062</xdr:colOff>
      <xdr:row>219</xdr:row>
      <xdr:rowOff>107577</xdr:rowOff>
    </xdr:to>
    <xdr:grpSp>
      <xdr:nvGrpSpPr>
        <xdr:cNvPr id="221" name="Group 1"/>
        <xdr:cNvGrpSpPr>
          <a:grpSpLocks noChangeAspect="1"/>
        </xdr:cNvGrpSpPr>
      </xdr:nvGrpSpPr>
      <xdr:grpSpPr bwMode="auto">
        <a:xfrm>
          <a:off x="7031691" y="35584280"/>
          <a:ext cx="5329518" cy="292473"/>
          <a:chOff x="0" y="-122"/>
          <a:chExt cx="7375" cy="815"/>
        </a:xfrm>
      </xdr:grpSpPr>
      <xdr:sp macro="" textlink="">
        <xdr:nvSpPr>
          <xdr:cNvPr id="222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23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4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5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6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7" name="Rectangle 226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8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9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0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1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2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3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4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5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6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7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8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9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40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41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42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43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44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45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46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47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48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49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50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1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2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3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145677</xdr:colOff>
      <xdr:row>277</xdr:row>
      <xdr:rowOff>11206</xdr:rowOff>
    </xdr:from>
    <xdr:to>
      <xdr:col>13</xdr:col>
      <xdr:colOff>34740</xdr:colOff>
      <xdr:row>278</xdr:row>
      <xdr:rowOff>129987</xdr:rowOff>
    </xdr:to>
    <xdr:grpSp>
      <xdr:nvGrpSpPr>
        <xdr:cNvPr id="254" name="Group 1"/>
        <xdr:cNvGrpSpPr>
          <a:grpSpLocks noChangeAspect="1"/>
        </xdr:cNvGrpSpPr>
      </xdr:nvGrpSpPr>
      <xdr:grpSpPr bwMode="auto">
        <a:xfrm>
          <a:off x="7143751" y="45170912"/>
          <a:ext cx="5329518" cy="292473"/>
          <a:chOff x="0" y="-122"/>
          <a:chExt cx="7375" cy="815"/>
        </a:xfrm>
      </xdr:grpSpPr>
      <xdr:sp macro="" textlink="">
        <xdr:nvSpPr>
          <xdr:cNvPr id="255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6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57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58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59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60" name="Rectangle 259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1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62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3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4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5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6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7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8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9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70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71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72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73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74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75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76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77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78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79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80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1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2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83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4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5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6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2014_15_SHE_Revenue_Return_Model%20-%20TEMPLATE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CO/Cost_and_Outputs_Lib/Transmission/RIIO_Reporting/RIGs_Development/RIGs_2016_17/2_Notice/2015-16_NGET_Revenue_Return_Model%20_Updated_Oct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>
        <row r="81">
          <cell r="F81">
            <v>7.5330000000000004</v>
          </cell>
          <cell r="G81">
            <v>7.7370000000000001</v>
          </cell>
          <cell r="H81">
            <v>7.5250000000000004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view="pageBreakPreview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0" defaultRowHeight="12.75" customHeight="1" zeroHeight="1"/>
  <cols>
    <col min="1" max="1" width="2.64453125" style="9" customWidth="1"/>
    <col min="2" max="2" width="13.46875" style="9" bestFit="1" customWidth="1"/>
    <col min="3" max="3" width="65.17578125" style="9" customWidth="1"/>
    <col min="4" max="4" width="13.703125" style="9" customWidth="1"/>
    <col min="5" max="5" width="26.703125" style="9" bestFit="1" customWidth="1"/>
    <col min="6" max="6" width="9" style="20" hidden="1" customWidth="1"/>
    <col min="7" max="9" width="9" style="9" hidden="1" customWidth="1"/>
    <col min="10" max="16384" width="9" style="9" hidden="1"/>
  </cols>
  <sheetData>
    <row r="1" spans="1:9" s="5" customFormat="1" ht="17.649999999999999">
      <c r="B1" s="4" t="s">
        <v>82</v>
      </c>
      <c r="D1" s="6"/>
      <c r="F1" s="7"/>
    </row>
    <row r="2" spans="1:9" s="5" customFormat="1" ht="17.649999999999999">
      <c r="B2" s="4" t="str">
        <f>CompName</f>
        <v>Scottish Power Transmission plc</v>
      </c>
      <c r="D2" s="6"/>
      <c r="F2" s="7"/>
    </row>
    <row r="3" spans="1:9" s="5" customFormat="1" ht="12.4">
      <c r="B3" s="8" t="str">
        <f>'R5 Input page'!F7</f>
        <v>Regulatory Year ending 31 March 2019</v>
      </c>
      <c r="F3" s="7"/>
    </row>
    <row r="4" spans="1:9" ht="14.65">
      <c r="B4" s="4"/>
      <c r="C4" s="5"/>
      <c r="D4" s="5"/>
      <c r="E4" s="5"/>
      <c r="F4" s="7"/>
      <c r="G4" s="5"/>
      <c r="H4" s="5"/>
      <c r="I4" s="5"/>
    </row>
    <row r="5" spans="1:9" ht="14.65">
      <c r="B5" s="4" t="s">
        <v>83</v>
      </c>
      <c r="C5" s="10"/>
      <c r="D5" s="10"/>
      <c r="E5" s="11"/>
      <c r="F5" s="12"/>
      <c r="G5" s="13"/>
      <c r="H5" s="10"/>
      <c r="I5" s="10"/>
    </row>
    <row r="6" spans="1:9" ht="13.5">
      <c r="B6" s="11"/>
      <c r="C6" s="10"/>
      <c r="D6" s="10"/>
      <c r="E6" s="10"/>
      <c r="F6" s="12"/>
      <c r="G6" s="11"/>
      <c r="H6" s="11"/>
      <c r="I6" s="5"/>
    </row>
    <row r="7" spans="1:9" ht="49.5">
      <c r="B7" s="5"/>
      <c r="C7" s="14" t="s">
        <v>395</v>
      </c>
      <c r="D7" s="10"/>
      <c r="E7" s="10"/>
      <c r="F7" s="15"/>
      <c r="G7" s="10"/>
      <c r="H7" s="10"/>
      <c r="I7" s="5"/>
    </row>
    <row r="8" spans="1:9" ht="86.65">
      <c r="B8" s="5"/>
      <c r="C8" s="16" t="s">
        <v>84</v>
      </c>
      <c r="D8" s="10"/>
      <c r="E8" s="10"/>
      <c r="F8" s="15"/>
      <c r="G8" s="10"/>
      <c r="H8" s="10"/>
      <c r="I8" s="5"/>
    </row>
    <row r="9" spans="1:9" ht="13.5">
      <c r="B9" s="11"/>
      <c r="C9" s="10"/>
      <c r="D9" s="10"/>
      <c r="E9" s="10"/>
      <c r="F9" s="15"/>
      <c r="G9" s="10"/>
      <c r="H9" s="10"/>
      <c r="I9" s="10"/>
    </row>
    <row r="10" spans="1:9" ht="13.5">
      <c r="B10" s="11"/>
      <c r="C10" s="10"/>
      <c r="D10" s="10"/>
      <c r="E10" s="10"/>
      <c r="F10" s="15"/>
      <c r="G10" s="10"/>
      <c r="H10" s="10"/>
      <c r="I10" s="10"/>
    </row>
    <row r="11" spans="1:9" ht="13.5">
      <c r="B11" s="11"/>
      <c r="C11" s="10"/>
      <c r="D11" s="10"/>
      <c r="E11" s="10"/>
      <c r="F11" s="15"/>
      <c r="G11" s="10"/>
      <c r="H11" s="10"/>
      <c r="I11" s="10"/>
    </row>
    <row r="12" spans="1:9" ht="12.4">
      <c r="B12" s="17"/>
      <c r="C12" s="10" t="s">
        <v>85</v>
      </c>
      <c r="D12" s="18"/>
      <c r="E12" s="10" t="s">
        <v>86</v>
      </c>
      <c r="F12" s="7"/>
      <c r="G12" s="10"/>
      <c r="H12" s="10"/>
      <c r="I12" s="10"/>
    </row>
    <row r="13" spans="1:9" ht="12.4">
      <c r="B13" s="73"/>
      <c r="C13" s="10" t="s">
        <v>87</v>
      </c>
      <c r="D13" s="55"/>
      <c r="E13" s="10" t="s">
        <v>88</v>
      </c>
      <c r="F13" s="7"/>
      <c r="G13" s="10"/>
      <c r="H13" s="10"/>
      <c r="I13" s="10"/>
    </row>
    <row r="14" spans="1:9" ht="12.4">
      <c r="A14" s="10"/>
      <c r="B14" s="10"/>
      <c r="C14" s="10"/>
      <c r="D14" s="10"/>
      <c r="E14" s="10"/>
      <c r="F14" s="15"/>
      <c r="G14" s="10"/>
      <c r="H14" s="10"/>
      <c r="I14" s="10"/>
    </row>
    <row r="15" spans="1:9" ht="12.4" hidden="1">
      <c r="B15" s="5"/>
      <c r="C15" s="5"/>
      <c r="D15" s="5"/>
      <c r="E15" s="5"/>
      <c r="F15" s="7"/>
      <c r="G15" s="5"/>
      <c r="H15" s="5"/>
      <c r="I15" s="5"/>
    </row>
    <row r="16" spans="1:9" ht="12.4" hidden="1"/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>
      <c r="B27" s="10"/>
      <c r="C27" s="10"/>
      <c r="D27" s="10"/>
      <c r="E27" s="10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8"/>
  <sheetViews>
    <sheetView showGridLines="0" zoomScale="85" zoomScaleNormal="85" workbookViewId="0">
      <pane xSplit="4" ySplit="9" topLeftCell="E10" activePane="bottomRight" state="frozen"/>
      <selection activeCell="N44" sqref="N44"/>
      <selection pane="topRight" activeCell="N44" sqref="N44"/>
      <selection pane="bottomLeft" activeCell="N44" sqref="N44"/>
      <selection pane="bottomRight" activeCell="E10" sqref="E10"/>
    </sheetView>
  </sheetViews>
  <sheetFormatPr defaultColWidth="9" defaultRowHeight="12.4"/>
  <cols>
    <col min="1" max="1" width="28.87890625" style="114" customWidth="1"/>
    <col min="2" max="2" width="8.3515625" style="114" customWidth="1"/>
    <col min="3" max="3" width="6" style="114" customWidth="1"/>
    <col min="4" max="4" width="0" style="114" hidden="1" customWidth="1"/>
    <col min="5" max="5" width="8.703125" style="114" customWidth="1"/>
    <col min="6" max="6" width="11.703125" style="114" customWidth="1"/>
    <col min="7" max="7" width="9" style="114"/>
    <col min="8" max="13" width="10.17578125" style="114" bestFit="1" customWidth="1"/>
    <col min="14" max="14" width="5.17578125" style="114" customWidth="1"/>
    <col min="15" max="16384" width="9" style="114"/>
  </cols>
  <sheetData>
    <row r="1" spans="1:20" s="131" customFormat="1" ht="14.65">
      <c r="A1" s="130" t="s">
        <v>128</v>
      </c>
      <c r="D1" s="132"/>
    </row>
    <row r="2" spans="1:20" s="131" customFormat="1" ht="14.65">
      <c r="A2" s="130" t="str">
        <f>CompName</f>
        <v>Scottish Power Transmission plc</v>
      </c>
      <c r="D2" s="132"/>
    </row>
    <row r="3" spans="1:20" s="131" customFormat="1">
      <c r="A3" s="133" t="str">
        <f>RegYr</f>
        <v>Regulatory Year ending 31 March 2019</v>
      </c>
      <c r="D3" s="132"/>
    </row>
    <row r="4" spans="1:20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20.25" customHeight="1">
      <c r="A5" s="188" t="s">
        <v>24</v>
      </c>
    </row>
    <row r="6" spans="1:20" ht="13.5">
      <c r="B6" s="135"/>
      <c r="C6" s="135"/>
      <c r="D6" s="135"/>
      <c r="E6" s="135"/>
      <c r="G6" s="135"/>
      <c r="H6" s="135"/>
      <c r="I6" s="135"/>
      <c r="J6" s="135"/>
    </row>
    <row r="7" spans="1:20" ht="13.5">
      <c r="B7" s="120"/>
      <c r="J7" s="123"/>
    </row>
    <row r="8" spans="1:20" ht="13.5">
      <c r="B8" s="120"/>
      <c r="C8" s="120"/>
      <c r="E8" s="120"/>
      <c r="F8" s="120"/>
      <c r="G8" s="120"/>
      <c r="H8" s="120"/>
      <c r="I8" s="120"/>
      <c r="J8" s="120"/>
      <c r="N8" s="179"/>
    </row>
    <row r="9" spans="1:20" ht="14.25">
      <c r="B9" s="120"/>
      <c r="C9" s="120"/>
      <c r="E9" s="117">
        <v>2013</v>
      </c>
      <c r="F9" s="117">
        <v>2014</v>
      </c>
      <c r="G9" s="117">
        <v>2015</v>
      </c>
      <c r="H9" s="117">
        <v>2016</v>
      </c>
      <c r="I9" s="117">
        <v>2017</v>
      </c>
      <c r="J9" s="117">
        <v>2018</v>
      </c>
      <c r="K9" s="117">
        <v>2019</v>
      </c>
      <c r="L9" s="117">
        <v>2020</v>
      </c>
      <c r="M9" s="117">
        <v>2021</v>
      </c>
      <c r="N9" s="179"/>
    </row>
    <row r="10" spans="1:20">
      <c r="A10" s="136" t="s">
        <v>25</v>
      </c>
      <c r="B10" s="136" t="s">
        <v>251</v>
      </c>
      <c r="C10" s="114" t="s">
        <v>1</v>
      </c>
      <c r="E10" s="241"/>
      <c r="F10" s="190">
        <f t="shared" ref="F10:M10" si="0">TNR</f>
        <v>0</v>
      </c>
      <c r="G10" s="190">
        <f t="shared" si="0"/>
        <v>0</v>
      </c>
      <c r="H10" s="190">
        <f t="shared" si="0"/>
        <v>0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7">
        <f t="shared" si="0"/>
        <v>0</v>
      </c>
      <c r="N10" s="178" t="s">
        <v>251</v>
      </c>
    </row>
    <row r="11" spans="1:20">
      <c r="A11" s="136" t="s">
        <v>26</v>
      </c>
      <c r="B11" s="136" t="s">
        <v>7</v>
      </c>
      <c r="C11" s="114" t="s">
        <v>1</v>
      </c>
      <c r="E11" s="241"/>
      <c r="F11" s="190">
        <f t="shared" ref="F11:M11" si="1">TO</f>
        <v>277.85121608000003</v>
      </c>
      <c r="G11" s="190">
        <f t="shared" si="1"/>
        <v>314.11315771050067</v>
      </c>
      <c r="H11" s="190">
        <f t="shared" si="1"/>
        <v>570.42164086126365</v>
      </c>
      <c r="I11" s="137">
        <f t="shared" si="1"/>
        <v>571.16304047195786</v>
      </c>
      <c r="J11" s="137">
        <f t="shared" si="1"/>
        <v>882.59044412765911</v>
      </c>
      <c r="K11" s="137">
        <f t="shared" si="1"/>
        <v>912.29099606519651</v>
      </c>
      <c r="L11" s="137">
        <f t="shared" si="1"/>
        <v>1253.6505449644933</v>
      </c>
      <c r="M11" s="137">
        <f t="shared" si="1"/>
        <v>1258.9720698251276</v>
      </c>
      <c r="N11" s="178" t="s">
        <v>7</v>
      </c>
    </row>
    <row r="12" spans="1:20" ht="12.75">
      <c r="A12" s="119" t="s">
        <v>25</v>
      </c>
      <c r="B12" s="136" t="s">
        <v>251</v>
      </c>
      <c r="C12" s="114" t="s">
        <v>1</v>
      </c>
      <c r="E12" s="246">
        <f>'R5 Input page'!E33</f>
        <v>240.17</v>
      </c>
      <c r="F12" s="241"/>
      <c r="G12" s="241"/>
      <c r="H12" s="241"/>
      <c r="N12" s="179"/>
    </row>
    <row r="13" spans="1:20" ht="12.75">
      <c r="A13" s="119" t="s">
        <v>26</v>
      </c>
      <c r="B13" s="136" t="s">
        <v>7</v>
      </c>
      <c r="C13" s="114" t="s">
        <v>1</v>
      </c>
      <c r="E13" s="190">
        <f>'R5 Input page'!E34</f>
        <v>229.47</v>
      </c>
      <c r="F13" s="241"/>
      <c r="G13" s="241"/>
      <c r="H13" s="241"/>
      <c r="N13" s="179"/>
    </row>
    <row r="14" spans="1:20" ht="12.75">
      <c r="A14" s="119" t="s">
        <v>30</v>
      </c>
      <c r="B14" s="136"/>
      <c r="E14" s="142">
        <f>SUM(E12-E13)</f>
        <v>10.699999999999989</v>
      </c>
      <c r="F14" s="339">
        <f>F10-F11</f>
        <v>-277.85121608000003</v>
      </c>
      <c r="G14" s="142">
        <f t="shared" ref="G14:M14" si="2">G10-G11</f>
        <v>-314.11315771050067</v>
      </c>
      <c r="H14" s="142">
        <f t="shared" si="2"/>
        <v>-570.42164086126365</v>
      </c>
      <c r="I14" s="142">
        <f t="shared" si="2"/>
        <v>-571.16304047195786</v>
      </c>
      <c r="J14" s="142">
        <f t="shared" si="2"/>
        <v>-882.59044412765911</v>
      </c>
      <c r="K14" s="142">
        <f t="shared" si="2"/>
        <v>-912.29099606519651</v>
      </c>
      <c r="L14" s="142">
        <f t="shared" si="2"/>
        <v>-1253.6505449644933</v>
      </c>
      <c r="M14" s="142">
        <f t="shared" si="2"/>
        <v>-1258.9720698251276</v>
      </c>
      <c r="N14" s="179"/>
    </row>
    <row r="15" spans="1:20" ht="12.75">
      <c r="A15" s="119" t="s">
        <v>64</v>
      </c>
      <c r="B15" s="136" t="s">
        <v>316</v>
      </c>
      <c r="C15" s="265" t="s">
        <v>98</v>
      </c>
      <c r="E15" s="138">
        <f t="shared" ref="E15:M15" si="3">It</f>
        <v>0.5</v>
      </c>
      <c r="F15" s="138">
        <f t="shared" si="3"/>
        <v>0.5</v>
      </c>
      <c r="G15" s="138">
        <f t="shared" si="3"/>
        <v>0.5</v>
      </c>
      <c r="H15" s="138">
        <f t="shared" si="3"/>
        <v>0.5</v>
      </c>
      <c r="I15" s="138">
        <f t="shared" si="3"/>
        <v>0.34</v>
      </c>
      <c r="J15" s="138">
        <f t="shared" si="3"/>
        <v>0.35</v>
      </c>
      <c r="K15" s="138">
        <f t="shared" si="3"/>
        <v>0.67</v>
      </c>
      <c r="L15" s="138">
        <f t="shared" si="3"/>
        <v>0</v>
      </c>
      <c r="M15" s="138">
        <f t="shared" si="3"/>
        <v>0</v>
      </c>
      <c r="N15" s="178" t="s">
        <v>316</v>
      </c>
    </row>
    <row r="16" spans="1:20" ht="12.75">
      <c r="A16" s="119" t="s">
        <v>27</v>
      </c>
      <c r="B16" s="136" t="s">
        <v>322</v>
      </c>
      <c r="C16" s="287" t="s">
        <v>1</v>
      </c>
      <c r="H16" s="251">
        <f>IF(F$10&gt;(1.04*F$11),4,IF(F$10&lt;(0.96*F$11),0,2))</f>
        <v>0</v>
      </c>
      <c r="I16" s="251">
        <f t="shared" ref="I16:M16" si="4">IF(G$10&gt;(1.04*G$11),4,IF(G$10&lt;(0.96*G$11),0,2))</f>
        <v>0</v>
      </c>
      <c r="J16" s="251">
        <f t="shared" si="4"/>
        <v>0</v>
      </c>
      <c r="K16" s="251">
        <f t="shared" si="4"/>
        <v>0</v>
      </c>
      <c r="L16" s="251">
        <f t="shared" si="4"/>
        <v>0</v>
      </c>
      <c r="M16" s="251">
        <f t="shared" si="4"/>
        <v>0</v>
      </c>
      <c r="N16" s="178" t="s">
        <v>322</v>
      </c>
    </row>
    <row r="17" spans="1:14" ht="12.75">
      <c r="A17" s="119" t="s">
        <v>27</v>
      </c>
      <c r="B17" s="136" t="s">
        <v>463</v>
      </c>
      <c r="C17" s="287" t="s">
        <v>1</v>
      </c>
      <c r="E17" s="252"/>
      <c r="F17" s="58">
        <f>IF($E$12&gt;(1.02*$E$13),4,0)</f>
        <v>4</v>
      </c>
      <c r="G17" s="123"/>
      <c r="H17" s="123"/>
      <c r="I17" s="123"/>
      <c r="J17" s="123"/>
      <c r="K17" s="123"/>
      <c r="L17" s="123"/>
      <c r="M17" s="123"/>
      <c r="N17" s="178"/>
    </row>
    <row r="18" spans="1:14">
      <c r="A18" s="136" t="s">
        <v>5</v>
      </c>
      <c r="B18" s="136" t="s">
        <v>323</v>
      </c>
      <c r="C18" s="114" t="s">
        <v>110</v>
      </c>
      <c r="F18" s="339">
        <f>E14*(1+((E15+F17)/100))</f>
        <v>11.181499999999987</v>
      </c>
      <c r="G18" s="232"/>
      <c r="H18" s="233">
        <f>F14*((1+((F15+H16)/100))*(1+((G15+2)/100)))</f>
        <v>-286.22148396440997</v>
      </c>
      <c r="I18" s="233">
        <f t="shared" ref="I18:M18" si="5">G14*((1+((G15+I16)/100))*(1+((H15+2)/100)))</f>
        <v>-323.57581658652941</v>
      </c>
      <c r="J18" s="233">
        <f t="shared" si="5"/>
        <v>-586.68835479370421</v>
      </c>
      <c r="K18" s="233">
        <f t="shared" si="5"/>
        <v>-586.57296218758734</v>
      </c>
      <c r="L18" s="233">
        <f t="shared" si="5"/>
        <v>-909.32715361731823</v>
      </c>
      <c r="M18" s="233">
        <f t="shared" si="5"/>
        <v>-936.77141265361001</v>
      </c>
      <c r="N18" s="178" t="s">
        <v>323</v>
      </c>
    </row>
    <row r="19" spans="1:14">
      <c r="B19" s="136"/>
      <c r="H19" s="123"/>
      <c r="N19" s="179"/>
    </row>
    <row r="20" spans="1:14">
      <c r="N20" s="179"/>
    </row>
    <row r="21" spans="1:14">
      <c r="A21" s="116" t="s">
        <v>474</v>
      </c>
      <c r="F21" s="114" t="s">
        <v>181</v>
      </c>
      <c r="N21" s="178"/>
    </row>
    <row r="22" spans="1:14">
      <c r="N22" s="179"/>
    </row>
    <row r="23" spans="1:14" ht="12.75" customHeight="1">
      <c r="E23" s="189"/>
      <c r="N23" s="178"/>
    </row>
    <row r="24" spans="1:14">
      <c r="A24" s="116" t="s">
        <v>473</v>
      </c>
      <c r="F24" s="114" t="s">
        <v>250</v>
      </c>
      <c r="N24" s="179"/>
    </row>
    <row r="25" spans="1:14">
      <c r="N25" s="179"/>
    </row>
    <row r="26" spans="1:14">
      <c r="N26" s="179"/>
    </row>
    <row r="27" spans="1:14">
      <c r="N27" s="179"/>
    </row>
    <row r="28" spans="1:14">
      <c r="N28" s="179"/>
    </row>
  </sheetData>
  <pageMargins left="0.15748031496062992" right="0.15748031496062992" top="0.35433070866141736" bottom="0.55118110236220474" header="0.19685039370078741" footer="0.23622047244094491"/>
  <pageSetup paperSize="9" scale="9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8"/>
  <sheetViews>
    <sheetView showGridLines="0" zoomScale="85" zoomScaleNormal="85" workbookViewId="0">
      <pane xSplit="3" ySplit="5" topLeftCell="D6" activePane="bottomRight" state="frozen"/>
      <selection activeCell="N44" sqref="N44"/>
      <selection pane="topRight" activeCell="N44" sqref="N44"/>
      <selection pane="bottomLeft" activeCell="N44" sqref="N44"/>
      <selection pane="bottomRight" activeCell="D6" sqref="D6"/>
    </sheetView>
  </sheetViews>
  <sheetFormatPr defaultColWidth="9" defaultRowHeight="12.4"/>
  <cols>
    <col min="1" max="1" width="44.17578125" style="136" customWidth="1"/>
    <col min="2" max="2" width="16.46875" style="136" customWidth="1"/>
    <col min="3" max="3" width="11" style="114" customWidth="1"/>
    <col min="4" max="4" width="6.64453125" style="114" customWidth="1"/>
    <col min="5" max="5" width="8.1171875" style="114" customWidth="1"/>
    <col min="6" max="6" width="8" style="114" customWidth="1"/>
    <col min="7" max="9" width="8.17578125" style="114" customWidth="1"/>
    <col min="10" max="10" width="8.46875" style="114" customWidth="1"/>
    <col min="11" max="11" width="8.3515625" style="114" customWidth="1"/>
    <col min="12" max="12" width="8.64453125" style="114" customWidth="1"/>
    <col min="13" max="13" width="9" style="114"/>
    <col min="14" max="14" width="13.703125" style="123" bestFit="1" customWidth="1"/>
    <col min="15" max="15" width="1.64453125" style="114" customWidth="1"/>
    <col min="16" max="16384" width="9" style="114"/>
  </cols>
  <sheetData>
    <row r="1" spans="1:14" ht="14.65">
      <c r="A1" s="151" t="s">
        <v>229</v>
      </c>
      <c r="F1" s="123"/>
      <c r="N1" s="178"/>
    </row>
    <row r="2" spans="1:14" ht="14.65">
      <c r="A2" s="151" t="str">
        <f>CompName</f>
        <v>Scottish Power Transmission plc</v>
      </c>
      <c r="F2" s="123"/>
      <c r="N2" s="178"/>
    </row>
    <row r="3" spans="1:14">
      <c r="A3" s="152" t="str">
        <f>RegYr</f>
        <v>Regulatory Year ending 31 March 2019</v>
      </c>
      <c r="F3" s="123"/>
      <c r="N3" s="178"/>
    </row>
    <row r="4" spans="1:14">
      <c r="N4" s="178"/>
    </row>
    <row r="5" spans="1:14" ht="15.4">
      <c r="A5" s="197" t="s">
        <v>130</v>
      </c>
      <c r="C5" s="116"/>
      <c r="F5" s="117">
        <v>2014</v>
      </c>
      <c r="G5" s="117">
        <v>2015</v>
      </c>
      <c r="H5" s="117">
        <v>2016</v>
      </c>
      <c r="I5" s="117">
        <v>2017</v>
      </c>
      <c r="J5" s="117">
        <v>2018</v>
      </c>
      <c r="K5" s="117">
        <v>2019</v>
      </c>
      <c r="L5" s="117">
        <v>2020</v>
      </c>
      <c r="M5" s="117">
        <v>2021</v>
      </c>
      <c r="N5" s="178"/>
    </row>
    <row r="6" spans="1:14">
      <c r="N6" s="178"/>
    </row>
    <row r="7" spans="1:14" ht="13.9">
      <c r="A7" s="147" t="s">
        <v>464</v>
      </c>
      <c r="C7" s="255"/>
      <c r="N7" s="178"/>
    </row>
    <row r="8" spans="1:14" ht="14.25">
      <c r="A8" s="147" t="s">
        <v>487</v>
      </c>
      <c r="C8" s="255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8"/>
    </row>
    <row r="9" spans="1:14">
      <c r="A9" s="136" t="s">
        <v>231</v>
      </c>
      <c r="B9" s="136" t="s">
        <v>138</v>
      </c>
      <c r="C9" s="255" t="s">
        <v>1</v>
      </c>
      <c r="F9" s="138">
        <f t="shared" ref="F9:M9" si="0">F25+F81+F140+F198+F257</f>
        <v>0</v>
      </c>
      <c r="G9" s="138">
        <f t="shared" si="0"/>
        <v>0</v>
      </c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 t="shared" si="0"/>
        <v>0</v>
      </c>
      <c r="L9" s="138">
        <f t="shared" si="0"/>
        <v>0</v>
      </c>
      <c r="M9" s="138">
        <f t="shared" si="0"/>
        <v>0</v>
      </c>
      <c r="N9" s="178"/>
    </row>
    <row r="10" spans="1:14">
      <c r="A10" s="136" t="s">
        <v>241</v>
      </c>
      <c r="B10" s="136" t="s">
        <v>140</v>
      </c>
      <c r="C10" s="255" t="s">
        <v>1</v>
      </c>
      <c r="F10" s="138">
        <f t="shared" ref="F10:M10" si="1">F42+F98+F157+F215+F274</f>
        <v>10.184986456000001</v>
      </c>
      <c r="G10" s="138">
        <f t="shared" si="1"/>
        <v>5.1724866</v>
      </c>
      <c r="H10" s="138">
        <f t="shared" si="1"/>
        <v>0</v>
      </c>
      <c r="I10" s="138">
        <f t="shared" si="1"/>
        <v>0</v>
      </c>
      <c r="J10" s="138">
        <f t="shared" si="1"/>
        <v>0</v>
      </c>
      <c r="K10" s="138">
        <f t="shared" si="1"/>
        <v>0</v>
      </c>
      <c r="L10" s="138">
        <f t="shared" si="1"/>
        <v>0</v>
      </c>
      <c r="M10" s="138">
        <f t="shared" si="1"/>
        <v>0</v>
      </c>
      <c r="N10" s="178"/>
    </row>
    <row r="11" spans="1:14">
      <c r="A11" s="136" t="s">
        <v>240</v>
      </c>
      <c r="B11" s="136" t="s">
        <v>141</v>
      </c>
      <c r="C11" s="255" t="s">
        <v>1</v>
      </c>
      <c r="F11" s="138">
        <f>F68+F125+F184+F242+F301</f>
        <v>16.026893624</v>
      </c>
      <c r="G11" s="138">
        <f t="shared" ref="G11:M11" si="2">G68+G125+G184+G242+G301</f>
        <v>16.026702439999998</v>
      </c>
      <c r="H11" s="138">
        <f t="shared" si="2"/>
        <v>19.893881064000002</v>
      </c>
      <c r="I11" s="138">
        <f t="shared" si="2"/>
        <v>6.6779280000000005</v>
      </c>
      <c r="J11" s="138">
        <f t="shared" si="2"/>
        <v>33.040580456000001</v>
      </c>
      <c r="K11" s="138">
        <f t="shared" si="2"/>
        <v>33.036188543999998</v>
      </c>
      <c r="L11" s="138">
        <f t="shared" si="2"/>
        <v>32.982636848000006</v>
      </c>
      <c r="M11" s="138">
        <f t="shared" si="2"/>
        <v>24.553445280000002</v>
      </c>
      <c r="N11" s="178"/>
    </row>
    <row r="12" spans="1:14">
      <c r="A12" s="136" t="s">
        <v>254</v>
      </c>
      <c r="C12" s="255"/>
      <c r="F12" s="58">
        <f>SUM(F9:F11)</f>
        <v>26.21188008</v>
      </c>
      <c r="G12" s="58">
        <f t="shared" ref="G12:M12" si="3">SUM(G9:G11)</f>
        <v>21.199189039999997</v>
      </c>
      <c r="H12" s="58">
        <f t="shared" si="3"/>
        <v>19.893881064000002</v>
      </c>
      <c r="I12" s="58">
        <f t="shared" si="3"/>
        <v>6.6779280000000005</v>
      </c>
      <c r="J12" s="58">
        <f t="shared" si="3"/>
        <v>33.040580456000001</v>
      </c>
      <c r="K12" s="58">
        <f t="shared" si="3"/>
        <v>33.036188543999998</v>
      </c>
      <c r="L12" s="58">
        <f t="shared" si="3"/>
        <v>32.982636848000006</v>
      </c>
      <c r="M12" s="58">
        <f t="shared" si="3"/>
        <v>24.553445280000002</v>
      </c>
      <c r="N12" s="178" t="s">
        <v>255</v>
      </c>
    </row>
    <row r="13" spans="1:14">
      <c r="A13" s="136" t="s">
        <v>242</v>
      </c>
      <c r="B13" s="136" t="s">
        <v>139</v>
      </c>
      <c r="C13" s="255" t="s">
        <v>1</v>
      </c>
      <c r="F13" s="138">
        <f>F71+F128+F187+F244+F303</f>
        <v>0</v>
      </c>
      <c r="G13" s="138">
        <f t="shared" ref="G13:L13" si="4">G71+G128+G187+G244+G303</f>
        <v>0</v>
      </c>
      <c r="H13" s="138">
        <f t="shared" si="4"/>
        <v>0</v>
      </c>
      <c r="I13" s="138">
        <f t="shared" si="4"/>
        <v>0</v>
      </c>
      <c r="J13" s="138">
        <f t="shared" si="4"/>
        <v>0</v>
      </c>
      <c r="K13" s="138">
        <f t="shared" si="4"/>
        <v>0</v>
      </c>
      <c r="L13" s="138">
        <f t="shared" si="4"/>
        <v>0</v>
      </c>
      <c r="M13" s="138">
        <f>M71+M128+M187+M244+M303</f>
        <v>0</v>
      </c>
      <c r="N13" s="178"/>
    </row>
    <row r="14" spans="1:14">
      <c r="A14" s="351" t="s">
        <v>597</v>
      </c>
      <c r="B14" s="136" t="s">
        <v>142</v>
      </c>
      <c r="C14" s="255" t="s">
        <v>1</v>
      </c>
      <c r="F14" s="138">
        <f>F72+F129+F188+F245+F304</f>
        <v>0</v>
      </c>
      <c r="G14" s="138">
        <f t="shared" ref="G14:M14" si="5">G72+G129+G188+G245+G304</f>
        <v>0</v>
      </c>
      <c r="H14" s="138">
        <f t="shared" si="5"/>
        <v>0</v>
      </c>
      <c r="I14" s="138">
        <f t="shared" si="5"/>
        <v>0</v>
      </c>
      <c r="J14" s="138">
        <f t="shared" si="5"/>
        <v>0</v>
      </c>
      <c r="K14" s="138">
        <f t="shared" si="5"/>
        <v>0</v>
      </c>
      <c r="L14" s="138">
        <f t="shared" si="5"/>
        <v>0</v>
      </c>
      <c r="M14" s="138">
        <f t="shared" si="5"/>
        <v>0</v>
      </c>
      <c r="N14" s="178"/>
    </row>
    <row r="15" spans="1:14" ht="13.5">
      <c r="B15" s="120"/>
      <c r="C15" s="255"/>
      <c r="N15" s="178"/>
    </row>
    <row r="16" spans="1:14">
      <c r="A16" s="136" t="s">
        <v>599</v>
      </c>
      <c r="B16" s="136" t="s">
        <v>3</v>
      </c>
      <c r="C16" s="255" t="s">
        <v>1</v>
      </c>
      <c r="F16" s="58">
        <f>SUM(F12:F14)</f>
        <v>26.21188008</v>
      </c>
      <c r="G16" s="58">
        <f t="shared" ref="G16:M16" si="6">SUM(G12:G14)</f>
        <v>21.199189039999997</v>
      </c>
      <c r="H16" s="58">
        <f t="shared" si="6"/>
        <v>19.893881064000002</v>
      </c>
      <c r="I16" s="58">
        <f t="shared" si="6"/>
        <v>6.6779280000000005</v>
      </c>
      <c r="J16" s="58">
        <f t="shared" si="6"/>
        <v>33.040580456000001</v>
      </c>
      <c r="K16" s="58">
        <f t="shared" si="6"/>
        <v>33.036188543999998</v>
      </c>
      <c r="L16" s="58">
        <f>SUM(L12:L14)</f>
        <v>32.982636848000006</v>
      </c>
      <c r="M16" s="58">
        <f t="shared" si="6"/>
        <v>24.553445280000002</v>
      </c>
      <c r="N16" s="178" t="s">
        <v>130</v>
      </c>
    </row>
    <row r="17" spans="1:14" ht="13.5">
      <c r="A17" s="120"/>
      <c r="C17" s="255"/>
      <c r="H17" s="123"/>
      <c r="N17" s="178"/>
    </row>
    <row r="18" spans="1:14" ht="13.9">
      <c r="A18" s="147" t="s">
        <v>266</v>
      </c>
      <c r="C18" s="255"/>
      <c r="N18" s="178"/>
    </row>
    <row r="19" spans="1:14" ht="13.5">
      <c r="A19" s="198" t="s">
        <v>344</v>
      </c>
      <c r="C19" s="255"/>
      <c r="N19" s="178"/>
    </row>
    <row r="20" spans="1:14" ht="13.9">
      <c r="A20" s="147" t="s">
        <v>263</v>
      </c>
      <c r="C20" s="255"/>
      <c r="N20" s="178"/>
    </row>
    <row r="21" spans="1:14" ht="14.25">
      <c r="A21" s="147" t="s">
        <v>488</v>
      </c>
      <c r="C21" s="255"/>
      <c r="F21" s="117">
        <v>2014</v>
      </c>
      <c r="G21" s="117">
        <v>2015</v>
      </c>
      <c r="H21" s="117">
        <v>2016</v>
      </c>
      <c r="I21" s="117">
        <v>2017</v>
      </c>
      <c r="J21" s="117">
        <v>2018</v>
      </c>
      <c r="K21" s="117">
        <v>2019</v>
      </c>
      <c r="L21" s="117">
        <v>2020</v>
      </c>
      <c r="M21" s="117">
        <v>2021</v>
      </c>
      <c r="N21" s="178"/>
    </row>
    <row r="22" spans="1:14">
      <c r="A22" s="131" t="s">
        <v>394</v>
      </c>
      <c r="B22" s="136" t="s">
        <v>143</v>
      </c>
      <c r="C22" s="255" t="s">
        <v>1</v>
      </c>
      <c r="F22" s="138">
        <f t="shared" ref="F22:M22" si="7">CFTIRG1</f>
        <v>0</v>
      </c>
      <c r="G22" s="138">
        <f t="shared" si="7"/>
        <v>0</v>
      </c>
      <c r="H22" s="138">
        <f t="shared" si="7"/>
        <v>0</v>
      </c>
      <c r="I22" s="138">
        <f t="shared" si="7"/>
        <v>0</v>
      </c>
      <c r="J22" s="138">
        <f t="shared" si="7"/>
        <v>0</v>
      </c>
      <c r="K22" s="138">
        <f t="shared" si="7"/>
        <v>0</v>
      </c>
      <c r="L22" s="138">
        <f t="shared" si="7"/>
        <v>0</v>
      </c>
      <c r="M22" s="138">
        <f t="shared" si="7"/>
        <v>0</v>
      </c>
      <c r="N22" s="178" t="s">
        <v>587</v>
      </c>
    </row>
    <row r="23" spans="1:14">
      <c r="A23" s="325" t="s">
        <v>54</v>
      </c>
      <c r="B23" s="136" t="s">
        <v>109</v>
      </c>
      <c r="C23" s="255" t="s">
        <v>110</v>
      </c>
      <c r="F23" s="138">
        <f t="shared" ref="F23:M23" si="8">RPIF</f>
        <v>1.163</v>
      </c>
      <c r="G23" s="138">
        <f t="shared" si="8"/>
        <v>1.2050000000000001</v>
      </c>
      <c r="H23" s="138">
        <f t="shared" si="8"/>
        <v>1.2270000000000001</v>
      </c>
      <c r="I23" s="138">
        <f t="shared" si="8"/>
        <v>1.2330000000000001</v>
      </c>
      <c r="J23" s="138">
        <f t="shared" si="8"/>
        <v>1.2709999999999999</v>
      </c>
      <c r="K23" s="138">
        <f t="shared" si="8"/>
        <v>1.3140000000000001</v>
      </c>
      <c r="L23" s="138">
        <f t="shared" si="8"/>
        <v>1.3580000000000001</v>
      </c>
      <c r="M23" s="138">
        <f t="shared" si="8"/>
        <v>1.31</v>
      </c>
      <c r="N23" s="178" t="s">
        <v>109</v>
      </c>
    </row>
    <row r="24" spans="1:14">
      <c r="C24" s="255"/>
      <c r="N24" s="178"/>
    </row>
    <row r="25" spans="1:14" ht="13.5">
      <c r="A25" s="120" t="s">
        <v>157</v>
      </c>
      <c r="B25" s="136" t="s">
        <v>138</v>
      </c>
      <c r="C25" s="255" t="s">
        <v>1</v>
      </c>
      <c r="F25" s="58">
        <f>F22*F23</f>
        <v>0</v>
      </c>
      <c r="G25" s="58">
        <f t="shared" ref="G25:M25" si="9">G22*G23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178"/>
    </row>
    <row r="26" spans="1:14" ht="13.5">
      <c r="A26" s="120"/>
      <c r="C26" s="255"/>
      <c r="N26" s="178"/>
    </row>
    <row r="27" spans="1:14" ht="13.5">
      <c r="A27" s="120"/>
      <c r="C27" s="255"/>
      <c r="N27" s="178"/>
    </row>
    <row r="28" spans="1:14" ht="13.9">
      <c r="A28" s="147" t="s">
        <v>264</v>
      </c>
      <c r="C28" s="255"/>
      <c r="N28" s="178"/>
    </row>
    <row r="29" spans="1:14" ht="16.5" customHeight="1">
      <c r="A29" s="198" t="s">
        <v>344</v>
      </c>
      <c r="C29" s="255"/>
      <c r="N29" s="178"/>
    </row>
    <row r="30" spans="1:14" ht="16.5" customHeight="1">
      <c r="A30" s="147" t="s">
        <v>489</v>
      </c>
      <c r="C30" s="255"/>
      <c r="F30" s="117">
        <v>2014</v>
      </c>
      <c r="G30" s="117">
        <v>2015</v>
      </c>
      <c r="H30" s="117">
        <v>2016</v>
      </c>
      <c r="I30" s="117">
        <v>2017</v>
      </c>
      <c r="J30" s="117">
        <v>2018</v>
      </c>
      <c r="K30" s="117">
        <v>2019</v>
      </c>
      <c r="L30" s="117">
        <v>2020</v>
      </c>
      <c r="M30" s="117">
        <v>2021</v>
      </c>
      <c r="N30" s="178"/>
    </row>
    <row r="31" spans="1:14">
      <c r="A31" s="136" t="s">
        <v>226</v>
      </c>
      <c r="B31" s="136" t="s">
        <v>135</v>
      </c>
      <c r="C31" s="255" t="s">
        <v>98</v>
      </c>
      <c r="F31" s="173">
        <f t="shared" ref="F31:M31" si="10">CCTIRG</f>
        <v>8.7999999999999995E-2</v>
      </c>
      <c r="G31" s="173">
        <f t="shared" si="10"/>
        <v>8.7999999999999995E-2</v>
      </c>
      <c r="H31" s="173">
        <f t="shared" si="10"/>
        <v>8.7999999999999995E-2</v>
      </c>
      <c r="I31" s="173">
        <f t="shared" si="10"/>
        <v>8.7999999999999995E-2</v>
      </c>
      <c r="J31" s="173">
        <f t="shared" si="10"/>
        <v>8.7999999999999995E-2</v>
      </c>
      <c r="K31" s="173">
        <f t="shared" si="10"/>
        <v>8.7999999999999995E-2</v>
      </c>
      <c r="L31" s="173">
        <f t="shared" si="10"/>
        <v>8.7999999999999995E-2</v>
      </c>
      <c r="M31" s="173">
        <f t="shared" si="10"/>
        <v>8.7999999999999995E-2</v>
      </c>
      <c r="N31" s="178" t="s">
        <v>135</v>
      </c>
    </row>
    <row r="32" spans="1:14">
      <c r="A32" s="131" t="s">
        <v>235</v>
      </c>
      <c r="B32" s="136" t="s">
        <v>131</v>
      </c>
      <c r="C32" s="290" t="s">
        <v>1</v>
      </c>
      <c r="F32" s="138">
        <f>FTIRGC</f>
        <v>53.652000000000001</v>
      </c>
      <c r="G32" s="138">
        <f t="shared" ref="G32:M32" si="11">FTIRGC</f>
        <v>0</v>
      </c>
      <c r="H32" s="138">
        <f t="shared" si="11"/>
        <v>0</v>
      </c>
      <c r="I32" s="138">
        <f t="shared" si="11"/>
        <v>0</v>
      </c>
      <c r="J32" s="138">
        <f t="shared" si="11"/>
        <v>0</v>
      </c>
      <c r="K32" s="138">
        <f t="shared" si="11"/>
        <v>0</v>
      </c>
      <c r="L32" s="138">
        <f t="shared" si="11"/>
        <v>0</v>
      </c>
      <c r="M32" s="138">
        <f t="shared" si="11"/>
        <v>0</v>
      </c>
      <c r="N32" s="178" t="s">
        <v>131</v>
      </c>
    </row>
    <row r="33" spans="1:14">
      <c r="A33" s="136" t="s">
        <v>227</v>
      </c>
      <c r="B33" s="136" t="s">
        <v>144</v>
      </c>
      <c r="C33" s="290" t="s">
        <v>1</v>
      </c>
      <c r="F33" s="138">
        <f t="shared" ref="F33:M33" si="12">AFFTIRG</f>
        <v>0</v>
      </c>
      <c r="G33" s="138">
        <f t="shared" si="12"/>
        <v>0</v>
      </c>
      <c r="H33" s="138">
        <f t="shared" si="12"/>
        <v>0</v>
      </c>
      <c r="I33" s="138">
        <f t="shared" si="12"/>
        <v>0</v>
      </c>
      <c r="J33" s="138">
        <f t="shared" si="12"/>
        <v>0</v>
      </c>
      <c r="K33" s="138">
        <f t="shared" si="12"/>
        <v>0</v>
      </c>
      <c r="L33" s="138">
        <f t="shared" si="12"/>
        <v>0</v>
      </c>
      <c r="M33" s="138">
        <f t="shared" si="12"/>
        <v>0</v>
      </c>
      <c r="N33" s="178" t="s">
        <v>144</v>
      </c>
    </row>
    <row r="34" spans="1:14">
      <c r="A34" s="325" t="s">
        <v>54</v>
      </c>
      <c r="B34" s="136" t="s">
        <v>109</v>
      </c>
      <c r="C34" s="255" t="s">
        <v>110</v>
      </c>
      <c r="F34" s="138">
        <f t="shared" ref="F34:M34" si="13">RPIF</f>
        <v>1.163</v>
      </c>
      <c r="G34" s="138">
        <f t="shared" si="13"/>
        <v>1.2050000000000001</v>
      </c>
      <c r="H34" s="138">
        <f t="shared" si="13"/>
        <v>1.2270000000000001</v>
      </c>
      <c r="I34" s="138">
        <f t="shared" si="13"/>
        <v>1.2330000000000001</v>
      </c>
      <c r="J34" s="138">
        <f t="shared" si="13"/>
        <v>1.2709999999999999</v>
      </c>
      <c r="K34" s="138">
        <f t="shared" si="13"/>
        <v>1.3140000000000001</v>
      </c>
      <c r="L34" s="138">
        <f t="shared" si="13"/>
        <v>1.3580000000000001</v>
      </c>
      <c r="M34" s="138">
        <f t="shared" si="13"/>
        <v>1.31</v>
      </c>
      <c r="N34" s="178" t="s">
        <v>109</v>
      </c>
    </row>
    <row r="35" spans="1:14">
      <c r="B35" s="264" t="s">
        <v>155</v>
      </c>
      <c r="C35" s="255"/>
      <c r="F35" s="58">
        <f>(F32+F33)*F31*F34</f>
        <v>5.4909602880000001</v>
      </c>
      <c r="G35" s="58">
        <f t="shared" ref="G35:M35" si="14">(G32+G33)*G31*G34</f>
        <v>0</v>
      </c>
      <c r="H35" s="58">
        <f t="shared" si="14"/>
        <v>0</v>
      </c>
      <c r="I35" s="58">
        <f t="shared" si="14"/>
        <v>0</v>
      </c>
      <c r="J35" s="58">
        <f t="shared" si="14"/>
        <v>0</v>
      </c>
      <c r="K35" s="58">
        <f t="shared" si="14"/>
        <v>0</v>
      </c>
      <c r="L35" s="58">
        <f t="shared" si="14"/>
        <v>0</v>
      </c>
      <c r="M35" s="58">
        <f t="shared" si="14"/>
        <v>0</v>
      </c>
      <c r="N35" s="178"/>
    </row>
    <row r="36" spans="1:14" ht="13.5">
      <c r="B36" s="120"/>
      <c r="C36" s="255"/>
      <c r="N36" s="178"/>
    </row>
    <row r="37" spans="1:14">
      <c r="A37" s="131" t="s">
        <v>236</v>
      </c>
      <c r="B37" s="136" t="s">
        <v>145</v>
      </c>
      <c r="C37" s="291" t="s">
        <v>1</v>
      </c>
      <c r="F37" s="138">
        <f t="shared" ref="F37:M37" si="15">FTIRGDepn</f>
        <v>2.855</v>
      </c>
      <c r="G37" s="161">
        <f t="shared" si="15"/>
        <v>0</v>
      </c>
      <c r="H37" s="161">
        <f t="shared" si="15"/>
        <v>0</v>
      </c>
      <c r="I37" s="161">
        <f t="shared" si="15"/>
        <v>0</v>
      </c>
      <c r="J37" s="161">
        <f t="shared" si="15"/>
        <v>0</v>
      </c>
      <c r="K37" s="161">
        <f t="shared" si="15"/>
        <v>0</v>
      </c>
      <c r="L37" s="161">
        <f t="shared" si="15"/>
        <v>0</v>
      </c>
      <c r="M37" s="161">
        <f t="shared" si="15"/>
        <v>0</v>
      </c>
      <c r="N37" s="178" t="s">
        <v>145</v>
      </c>
    </row>
    <row r="38" spans="1:14">
      <c r="A38" s="136" t="s">
        <v>230</v>
      </c>
      <c r="B38" s="136" t="s">
        <v>146</v>
      </c>
      <c r="C38" s="291" t="s">
        <v>1</v>
      </c>
      <c r="F38" s="138">
        <f t="shared" ref="F38:M38" si="16">AFFTIRGDepn</f>
        <v>0</v>
      </c>
      <c r="G38" s="138">
        <f t="shared" si="16"/>
        <v>0</v>
      </c>
      <c r="H38" s="138">
        <f t="shared" si="16"/>
        <v>0</v>
      </c>
      <c r="I38" s="138">
        <f t="shared" si="16"/>
        <v>0</v>
      </c>
      <c r="J38" s="138">
        <f t="shared" si="16"/>
        <v>0</v>
      </c>
      <c r="K38" s="138">
        <f t="shared" si="16"/>
        <v>0</v>
      </c>
      <c r="L38" s="138">
        <f t="shared" si="16"/>
        <v>0</v>
      </c>
      <c r="M38" s="138">
        <f t="shared" si="16"/>
        <v>0</v>
      </c>
      <c r="N38" s="178" t="s">
        <v>146</v>
      </c>
    </row>
    <row r="39" spans="1:14">
      <c r="A39" s="325" t="s">
        <v>54</v>
      </c>
      <c r="B39" s="136" t="s">
        <v>109</v>
      </c>
      <c r="C39" s="255" t="s">
        <v>110</v>
      </c>
      <c r="F39" s="190">
        <f t="shared" ref="F39:M39" si="17">RPIF</f>
        <v>1.163</v>
      </c>
      <c r="G39" s="190">
        <f t="shared" si="17"/>
        <v>1.2050000000000001</v>
      </c>
      <c r="H39" s="190">
        <f t="shared" si="17"/>
        <v>1.2270000000000001</v>
      </c>
      <c r="I39" s="190">
        <f t="shared" si="17"/>
        <v>1.2330000000000001</v>
      </c>
      <c r="J39" s="190">
        <f t="shared" si="17"/>
        <v>1.2709999999999999</v>
      </c>
      <c r="K39" s="190">
        <f t="shared" si="17"/>
        <v>1.3140000000000001</v>
      </c>
      <c r="L39" s="190">
        <f t="shared" si="17"/>
        <v>1.3580000000000001</v>
      </c>
      <c r="M39" s="190">
        <f t="shared" si="17"/>
        <v>1.31</v>
      </c>
      <c r="N39" s="178" t="s">
        <v>109</v>
      </c>
    </row>
    <row r="40" spans="1:14">
      <c r="B40" s="264" t="s">
        <v>156</v>
      </c>
      <c r="C40" s="255"/>
      <c r="F40" s="58">
        <f>(F37+F38)*F39</f>
        <v>3.3203650000000002</v>
      </c>
      <c r="G40" s="58">
        <f t="shared" ref="G40:M40" si="18">(G37+G38)*G39</f>
        <v>0</v>
      </c>
      <c r="H40" s="58">
        <f t="shared" si="18"/>
        <v>0</v>
      </c>
      <c r="I40" s="58">
        <f t="shared" si="18"/>
        <v>0</v>
      </c>
      <c r="J40" s="58">
        <f t="shared" si="18"/>
        <v>0</v>
      </c>
      <c r="K40" s="58">
        <f t="shared" si="18"/>
        <v>0</v>
      </c>
      <c r="L40" s="58">
        <f t="shared" si="18"/>
        <v>0</v>
      </c>
      <c r="M40" s="58">
        <f t="shared" si="18"/>
        <v>0</v>
      </c>
      <c r="N40" s="178"/>
    </row>
    <row r="41" spans="1:14">
      <c r="C41" s="255"/>
      <c r="F41" s="191"/>
      <c r="N41" s="178"/>
    </row>
    <row r="42" spans="1:14">
      <c r="B42" s="136" t="s">
        <v>140</v>
      </c>
      <c r="C42" s="255" t="s">
        <v>1</v>
      </c>
      <c r="F42" s="58">
        <f>F35+F40</f>
        <v>8.8113252880000008</v>
      </c>
      <c r="G42" s="58">
        <f t="shared" ref="G42:M42" si="19">G35+G40</f>
        <v>0</v>
      </c>
      <c r="H42" s="58">
        <f t="shared" si="19"/>
        <v>0</v>
      </c>
      <c r="I42" s="58">
        <f t="shared" si="19"/>
        <v>0</v>
      </c>
      <c r="J42" s="58">
        <f t="shared" si="19"/>
        <v>0</v>
      </c>
      <c r="K42" s="58">
        <f t="shared" si="19"/>
        <v>0</v>
      </c>
      <c r="L42" s="58">
        <f t="shared" si="19"/>
        <v>0</v>
      </c>
      <c r="M42" s="58">
        <f t="shared" si="19"/>
        <v>0</v>
      </c>
      <c r="N42" s="178"/>
    </row>
    <row r="43" spans="1:14" ht="13.5">
      <c r="A43" s="120"/>
      <c r="C43" s="255"/>
      <c r="N43" s="178"/>
    </row>
    <row r="44" spans="1:14">
      <c r="A44" s="154" t="s">
        <v>490</v>
      </c>
      <c r="C44" s="255"/>
      <c r="N44" s="178"/>
    </row>
    <row r="45" spans="1:14" ht="13.9">
      <c r="A45" s="147" t="s">
        <v>265</v>
      </c>
      <c r="C45" s="255"/>
      <c r="N45" s="178"/>
    </row>
    <row r="46" spans="1:14" ht="13.5">
      <c r="A46" s="198" t="s">
        <v>344</v>
      </c>
      <c r="C46" s="255"/>
      <c r="N46" s="178"/>
    </row>
    <row r="47" spans="1:14" ht="14.25">
      <c r="A47" s="120"/>
      <c r="C47" s="255"/>
      <c r="F47" s="117">
        <v>2014</v>
      </c>
      <c r="G47" s="117">
        <v>2015</v>
      </c>
      <c r="H47" s="117">
        <v>2016</v>
      </c>
      <c r="I47" s="117">
        <v>2017</v>
      </c>
      <c r="J47" s="117">
        <v>2018</v>
      </c>
      <c r="K47" s="117">
        <v>2019</v>
      </c>
      <c r="L47" s="117">
        <v>2020</v>
      </c>
      <c r="M47" s="117">
        <v>2021</v>
      </c>
      <c r="N47" s="178"/>
    </row>
    <row r="48" spans="1:14">
      <c r="A48" s="136" t="s">
        <v>226</v>
      </c>
      <c r="B48" s="136" t="s">
        <v>135</v>
      </c>
      <c r="C48" s="258" t="s">
        <v>98</v>
      </c>
      <c r="F48" s="173">
        <f t="shared" ref="F48:M48" si="20">CCTIRG</f>
        <v>8.7999999999999995E-2</v>
      </c>
      <c r="G48" s="173">
        <f t="shared" si="20"/>
        <v>8.7999999999999995E-2</v>
      </c>
      <c r="H48" s="173">
        <f t="shared" si="20"/>
        <v>8.7999999999999995E-2</v>
      </c>
      <c r="I48" s="173">
        <f t="shared" si="20"/>
        <v>8.7999999999999995E-2</v>
      </c>
      <c r="J48" s="173">
        <f t="shared" si="20"/>
        <v>8.7999999999999995E-2</v>
      </c>
      <c r="K48" s="173">
        <f t="shared" si="20"/>
        <v>8.7999999999999995E-2</v>
      </c>
      <c r="L48" s="173">
        <f t="shared" si="20"/>
        <v>8.7999999999999995E-2</v>
      </c>
      <c r="M48" s="173">
        <f t="shared" si="20"/>
        <v>8.7999999999999995E-2</v>
      </c>
      <c r="N48" s="178" t="s">
        <v>135</v>
      </c>
    </row>
    <row r="49" spans="1:14">
      <c r="A49" s="131" t="s">
        <v>239</v>
      </c>
      <c r="B49" s="136" t="s">
        <v>137</v>
      </c>
      <c r="C49" s="291" t="s">
        <v>1</v>
      </c>
      <c r="F49" s="138">
        <f t="shared" ref="F49:M49" si="21">ETIRGC</f>
        <v>0</v>
      </c>
      <c r="G49" s="138">
        <f t="shared" si="21"/>
        <v>0</v>
      </c>
      <c r="H49" s="138">
        <f t="shared" si="21"/>
        <v>0</v>
      </c>
      <c r="I49" s="138">
        <f t="shared" si="21"/>
        <v>0</v>
      </c>
      <c r="J49" s="138">
        <f t="shared" si="21"/>
        <v>149.05799999999999</v>
      </c>
      <c r="K49" s="138">
        <f t="shared" si="21"/>
        <v>141.41399999999999</v>
      </c>
      <c r="L49" s="138">
        <f t="shared" si="21"/>
        <v>133.77000000000001</v>
      </c>
      <c r="M49" s="138">
        <f t="shared" si="21"/>
        <v>126.126</v>
      </c>
      <c r="N49" s="178" t="s">
        <v>137</v>
      </c>
    </row>
    <row r="50" spans="1:14">
      <c r="C50" s="258"/>
      <c r="N50" s="178"/>
    </row>
    <row r="51" spans="1:14">
      <c r="A51" s="136" t="s">
        <v>232</v>
      </c>
      <c r="B51" s="136" t="s">
        <v>147</v>
      </c>
      <c r="C51" s="291" t="s">
        <v>1</v>
      </c>
      <c r="F51" s="138">
        <f t="shared" ref="F51:M51" si="22">SAFTIRG1</f>
        <v>0</v>
      </c>
      <c r="G51" s="138">
        <f t="shared" si="22"/>
        <v>0</v>
      </c>
      <c r="H51" s="138">
        <f t="shared" si="22"/>
        <v>0</v>
      </c>
      <c r="I51" s="138">
        <f t="shared" si="22"/>
        <v>0</v>
      </c>
      <c r="J51" s="138">
        <f t="shared" si="22"/>
        <v>0</v>
      </c>
      <c r="K51" s="138">
        <f t="shared" si="22"/>
        <v>0</v>
      </c>
      <c r="L51" s="138">
        <f t="shared" si="22"/>
        <v>0</v>
      </c>
      <c r="M51" s="138">
        <f t="shared" si="22"/>
        <v>0</v>
      </c>
      <c r="N51" s="178" t="s">
        <v>147</v>
      </c>
    </row>
    <row r="52" spans="1:14">
      <c r="A52" s="131" t="s">
        <v>237</v>
      </c>
      <c r="B52" s="136" t="s">
        <v>133</v>
      </c>
      <c r="C52" s="291" t="s">
        <v>1</v>
      </c>
      <c r="F52" s="138">
        <f t="shared" ref="F52:M52" si="23">ETIRGORAV</f>
        <v>0</v>
      </c>
      <c r="G52" s="138">
        <f t="shared" si="23"/>
        <v>0</v>
      </c>
      <c r="H52" s="138">
        <f t="shared" si="23"/>
        <v>0</v>
      </c>
      <c r="I52" s="138">
        <f t="shared" si="23"/>
        <v>0</v>
      </c>
      <c r="J52" s="138">
        <f t="shared" si="23"/>
        <v>152.88</v>
      </c>
      <c r="K52" s="138">
        <f t="shared" si="23"/>
        <v>0</v>
      </c>
      <c r="L52" s="138">
        <f t="shared" si="23"/>
        <v>0</v>
      </c>
      <c r="M52" s="138">
        <f t="shared" si="23"/>
        <v>0</v>
      </c>
      <c r="N52" s="178" t="s">
        <v>133</v>
      </c>
    </row>
    <row r="53" spans="1:14">
      <c r="A53" s="136" t="s">
        <v>148</v>
      </c>
      <c r="B53" s="136" t="s">
        <v>149</v>
      </c>
      <c r="C53" s="258" t="s">
        <v>110</v>
      </c>
      <c r="F53" s="58">
        <f>IF(F51&gt;0,F51/F52,1)</f>
        <v>1</v>
      </c>
      <c r="G53" s="58">
        <f>IF(G51&gt;0,G51/G52,1)</f>
        <v>1</v>
      </c>
      <c r="H53" s="58">
        <f t="shared" ref="H53:M53" si="24">IF(H51&gt;0,H51/H52,1)</f>
        <v>1</v>
      </c>
      <c r="I53" s="58">
        <f t="shared" si="24"/>
        <v>1</v>
      </c>
      <c r="J53" s="58">
        <f t="shared" si="24"/>
        <v>1</v>
      </c>
      <c r="K53" s="58">
        <f t="shared" si="24"/>
        <v>1</v>
      </c>
      <c r="L53" s="58">
        <f t="shared" si="24"/>
        <v>1</v>
      </c>
      <c r="M53" s="58">
        <f t="shared" si="24"/>
        <v>1</v>
      </c>
      <c r="N53" s="178" t="s">
        <v>149</v>
      </c>
    </row>
    <row r="54" spans="1:14">
      <c r="C54" s="258"/>
      <c r="N54" s="178"/>
    </row>
    <row r="55" spans="1:14">
      <c r="A55" s="325" t="s">
        <v>54</v>
      </c>
      <c r="B55" s="136" t="s">
        <v>109</v>
      </c>
      <c r="C55" s="258" t="s">
        <v>110</v>
      </c>
      <c r="F55" s="190">
        <f t="shared" ref="F55:M55" si="25">RPIF</f>
        <v>1.163</v>
      </c>
      <c r="G55" s="190">
        <f t="shared" si="25"/>
        <v>1.2050000000000001</v>
      </c>
      <c r="H55" s="190">
        <f t="shared" si="25"/>
        <v>1.2270000000000001</v>
      </c>
      <c r="I55" s="190">
        <f t="shared" si="25"/>
        <v>1.2330000000000001</v>
      </c>
      <c r="J55" s="190">
        <f t="shared" si="25"/>
        <v>1.2709999999999999</v>
      </c>
      <c r="K55" s="190">
        <f t="shared" si="25"/>
        <v>1.3140000000000001</v>
      </c>
      <c r="L55" s="190">
        <f t="shared" si="25"/>
        <v>1.3580000000000001</v>
      </c>
      <c r="M55" s="190">
        <f t="shared" si="25"/>
        <v>1.31</v>
      </c>
      <c r="N55" s="178" t="s">
        <v>109</v>
      </c>
    </row>
    <row r="56" spans="1:14">
      <c r="C56" s="258"/>
      <c r="N56" s="178"/>
    </row>
    <row r="57" spans="1:14">
      <c r="A57" s="136" t="s">
        <v>228</v>
      </c>
      <c r="C57" s="258" t="s">
        <v>1</v>
      </c>
      <c r="F57" s="58">
        <f>F48*(F53*F49)*F55</f>
        <v>0</v>
      </c>
      <c r="G57" s="58">
        <f t="shared" ref="G57:M57" si="26">G48*(G53*G49)*G55</f>
        <v>0</v>
      </c>
      <c r="H57" s="58">
        <f t="shared" si="26"/>
        <v>0</v>
      </c>
      <c r="I57" s="58">
        <f t="shared" si="26"/>
        <v>0</v>
      </c>
      <c r="J57" s="58">
        <f t="shared" si="26"/>
        <v>16.671839184</v>
      </c>
      <c r="K57" s="58">
        <f t="shared" si="26"/>
        <v>16.351983647999997</v>
      </c>
      <c r="L57" s="58">
        <f t="shared" si="26"/>
        <v>15.986050080000002</v>
      </c>
      <c r="M57" s="58">
        <f t="shared" si="26"/>
        <v>14.539805280000001</v>
      </c>
      <c r="N57" s="178"/>
    </row>
    <row r="58" spans="1:14">
      <c r="C58" s="255"/>
      <c r="N58" s="178"/>
    </row>
    <row r="59" spans="1:14">
      <c r="A59" s="154" t="s">
        <v>490</v>
      </c>
      <c r="C59" s="255"/>
      <c r="N59" s="178"/>
    </row>
    <row r="60" spans="1:14" ht="15.75" customHeight="1">
      <c r="C60" s="255"/>
      <c r="N60" s="178"/>
    </row>
    <row r="61" spans="1:14">
      <c r="C61" s="255"/>
      <c r="N61" s="178"/>
    </row>
    <row r="62" spans="1:14" ht="14.25">
      <c r="C62" s="255"/>
      <c r="F62" s="117">
        <v>2014</v>
      </c>
      <c r="G62" s="117">
        <v>2015</v>
      </c>
      <c r="H62" s="117">
        <v>2016</v>
      </c>
      <c r="I62" s="117">
        <v>2017</v>
      </c>
      <c r="J62" s="117">
        <v>2018</v>
      </c>
      <c r="K62" s="117">
        <v>2019</v>
      </c>
      <c r="L62" s="117">
        <v>2020</v>
      </c>
      <c r="M62" s="117">
        <v>2021</v>
      </c>
      <c r="N62" s="178"/>
    </row>
    <row r="63" spans="1:14">
      <c r="A63" s="131" t="s">
        <v>238</v>
      </c>
      <c r="B63" s="136" t="s">
        <v>134</v>
      </c>
      <c r="C63" s="291" t="s">
        <v>1</v>
      </c>
      <c r="F63" s="138">
        <f t="shared" ref="F63:M63" si="27">Dep</f>
        <v>0</v>
      </c>
      <c r="G63" s="138">
        <f t="shared" si="27"/>
        <v>0</v>
      </c>
      <c r="H63" s="138">
        <f t="shared" si="27"/>
        <v>0</v>
      </c>
      <c r="I63" s="138">
        <f t="shared" si="27"/>
        <v>0</v>
      </c>
      <c r="J63" s="138">
        <f t="shared" si="27"/>
        <v>7.6440000000000001</v>
      </c>
      <c r="K63" s="138">
        <f t="shared" si="27"/>
        <v>7.6440000000000001</v>
      </c>
      <c r="L63" s="138">
        <f t="shared" si="27"/>
        <v>7.6440000000000001</v>
      </c>
      <c r="M63" s="138">
        <f t="shared" si="27"/>
        <v>7.6440000000000001</v>
      </c>
      <c r="N63" s="178" t="s">
        <v>134</v>
      </c>
    </row>
    <row r="64" spans="1:14">
      <c r="A64" s="136" t="s">
        <v>148</v>
      </c>
      <c r="B64" s="136" t="s">
        <v>149</v>
      </c>
      <c r="C64" s="255" t="s">
        <v>110</v>
      </c>
      <c r="F64" s="138">
        <f t="shared" ref="F64:M64" si="28">F53</f>
        <v>1</v>
      </c>
      <c r="G64" s="138">
        <f t="shared" si="28"/>
        <v>1</v>
      </c>
      <c r="H64" s="138">
        <f t="shared" si="28"/>
        <v>1</v>
      </c>
      <c r="I64" s="138">
        <f t="shared" si="28"/>
        <v>1</v>
      </c>
      <c r="J64" s="138">
        <f t="shared" si="28"/>
        <v>1</v>
      </c>
      <c r="K64" s="138">
        <f t="shared" si="28"/>
        <v>1</v>
      </c>
      <c r="L64" s="138">
        <f t="shared" si="28"/>
        <v>1</v>
      </c>
      <c r="M64" s="138">
        <f t="shared" si="28"/>
        <v>1</v>
      </c>
      <c r="N64" s="178" t="s">
        <v>149</v>
      </c>
    </row>
    <row r="65" spans="1:14">
      <c r="A65" s="325" t="s">
        <v>54</v>
      </c>
      <c r="B65" s="136" t="s">
        <v>109</v>
      </c>
      <c r="C65" s="255" t="s">
        <v>110</v>
      </c>
      <c r="F65" s="190">
        <f t="shared" ref="F65:M65" si="29">RPIF</f>
        <v>1.163</v>
      </c>
      <c r="G65" s="190">
        <f t="shared" si="29"/>
        <v>1.2050000000000001</v>
      </c>
      <c r="H65" s="190">
        <f t="shared" si="29"/>
        <v>1.2270000000000001</v>
      </c>
      <c r="I65" s="190">
        <f t="shared" si="29"/>
        <v>1.2330000000000001</v>
      </c>
      <c r="J65" s="190">
        <f t="shared" si="29"/>
        <v>1.2709999999999999</v>
      </c>
      <c r="K65" s="190">
        <f t="shared" si="29"/>
        <v>1.3140000000000001</v>
      </c>
      <c r="L65" s="190">
        <f t="shared" si="29"/>
        <v>1.3580000000000001</v>
      </c>
      <c r="M65" s="190">
        <f t="shared" si="29"/>
        <v>1.31</v>
      </c>
      <c r="N65" s="178" t="s">
        <v>109</v>
      </c>
    </row>
    <row r="66" spans="1:14">
      <c r="A66" s="136" t="s">
        <v>179</v>
      </c>
      <c r="C66" s="255"/>
      <c r="F66" s="58">
        <f>F63*F64*F65</f>
        <v>0</v>
      </c>
      <c r="G66" s="58">
        <f t="shared" ref="G66:M66" si="30">G63*G64*G65</f>
        <v>0</v>
      </c>
      <c r="H66" s="58">
        <f t="shared" si="30"/>
        <v>0</v>
      </c>
      <c r="I66" s="58">
        <f t="shared" si="30"/>
        <v>0</v>
      </c>
      <c r="J66" s="58">
        <f t="shared" si="30"/>
        <v>9.7155240000000003</v>
      </c>
      <c r="K66" s="58">
        <f t="shared" si="30"/>
        <v>10.044216</v>
      </c>
      <c r="L66" s="58">
        <f t="shared" si="30"/>
        <v>10.380552000000002</v>
      </c>
      <c r="M66" s="58">
        <f t="shared" si="30"/>
        <v>10.013640000000001</v>
      </c>
      <c r="N66" s="178"/>
    </row>
    <row r="67" spans="1:14">
      <c r="C67" s="255"/>
      <c r="N67" s="178"/>
    </row>
    <row r="68" spans="1:14">
      <c r="B68" s="136" t="s">
        <v>141</v>
      </c>
      <c r="C68" s="255" t="s">
        <v>1</v>
      </c>
      <c r="F68" s="58">
        <f>F57+F66</f>
        <v>0</v>
      </c>
      <c r="G68" s="58">
        <f t="shared" ref="G68:M68" si="31">G57+G66</f>
        <v>0</v>
      </c>
      <c r="H68" s="58">
        <f t="shared" si="31"/>
        <v>0</v>
      </c>
      <c r="I68" s="58">
        <f t="shared" si="31"/>
        <v>0</v>
      </c>
      <c r="J68" s="58">
        <f t="shared" si="31"/>
        <v>26.387363184000002</v>
      </c>
      <c r="K68" s="58">
        <f t="shared" si="31"/>
        <v>26.396199648</v>
      </c>
      <c r="L68" s="58">
        <f t="shared" si="31"/>
        <v>26.366602080000003</v>
      </c>
      <c r="M68" s="58">
        <f t="shared" si="31"/>
        <v>24.553445280000002</v>
      </c>
      <c r="N68" s="178" t="s">
        <v>141</v>
      </c>
    </row>
    <row r="69" spans="1:14">
      <c r="C69" s="255"/>
      <c r="N69" s="178"/>
    </row>
    <row r="70" spans="1:14">
      <c r="C70" s="255"/>
      <c r="N70" s="178"/>
    </row>
    <row r="71" spans="1:14">
      <c r="A71" s="136" t="s">
        <v>242</v>
      </c>
      <c r="B71" s="136" t="s">
        <v>139</v>
      </c>
      <c r="C71" s="255" t="s">
        <v>1</v>
      </c>
      <c r="F71" s="192">
        <f t="shared" ref="F71:M71" si="32">TIRGIncAdj</f>
        <v>0</v>
      </c>
      <c r="G71" s="192">
        <f t="shared" si="32"/>
        <v>0</v>
      </c>
      <c r="H71" s="192">
        <f t="shared" si="32"/>
        <v>0</v>
      </c>
      <c r="I71" s="192">
        <f t="shared" si="32"/>
        <v>0</v>
      </c>
      <c r="J71" s="192">
        <f t="shared" si="32"/>
        <v>0</v>
      </c>
      <c r="K71" s="192">
        <f t="shared" si="32"/>
        <v>0</v>
      </c>
      <c r="L71" s="192">
        <f t="shared" si="32"/>
        <v>0</v>
      </c>
      <c r="M71" s="192">
        <f t="shared" si="32"/>
        <v>0</v>
      </c>
      <c r="N71" s="178" t="s">
        <v>139</v>
      </c>
    </row>
    <row r="72" spans="1:14">
      <c r="A72" s="351" t="s">
        <v>597</v>
      </c>
      <c r="B72" s="136" t="s">
        <v>142</v>
      </c>
      <c r="C72" s="255" t="s">
        <v>1</v>
      </c>
      <c r="F72" s="192">
        <f t="shared" ref="F72:M72" si="33">ATIRG</f>
        <v>0</v>
      </c>
      <c r="G72" s="192">
        <f t="shared" si="33"/>
        <v>0</v>
      </c>
      <c r="H72" s="192">
        <f t="shared" si="33"/>
        <v>0</v>
      </c>
      <c r="I72" s="192">
        <f t="shared" si="33"/>
        <v>0</v>
      </c>
      <c r="J72" s="192">
        <f t="shared" si="33"/>
        <v>0</v>
      </c>
      <c r="K72" s="192">
        <f t="shared" si="33"/>
        <v>0</v>
      </c>
      <c r="L72" s="192">
        <f t="shared" si="33"/>
        <v>0</v>
      </c>
      <c r="M72" s="192">
        <f t="shared" si="33"/>
        <v>0</v>
      </c>
      <c r="N72" s="178" t="s">
        <v>142</v>
      </c>
    </row>
    <row r="73" spans="1:14">
      <c r="C73" s="255"/>
      <c r="N73" s="178"/>
    </row>
    <row r="74" spans="1:14" ht="13.9">
      <c r="A74" s="147" t="s">
        <v>267</v>
      </c>
      <c r="C74" s="255"/>
      <c r="N74" s="178"/>
    </row>
    <row r="75" spans="1:14">
      <c r="A75" s="199" t="s">
        <v>345</v>
      </c>
      <c r="C75" s="255"/>
      <c r="N75" s="178"/>
    </row>
    <row r="76" spans="1:14" ht="13.9">
      <c r="A76" s="147" t="s">
        <v>268</v>
      </c>
      <c r="C76" s="255"/>
      <c r="N76" s="178"/>
    </row>
    <row r="77" spans="1:14" ht="14.25">
      <c r="A77" s="154" t="s">
        <v>488</v>
      </c>
      <c r="C77" s="255"/>
      <c r="F77" s="117">
        <v>2014</v>
      </c>
      <c r="G77" s="117">
        <v>2015</v>
      </c>
      <c r="H77" s="117">
        <v>2016</v>
      </c>
      <c r="I77" s="117">
        <v>2017</v>
      </c>
      <c r="J77" s="117">
        <v>2018</v>
      </c>
      <c r="K77" s="117">
        <v>2019</v>
      </c>
      <c r="L77" s="117">
        <v>2020</v>
      </c>
      <c r="M77" s="117">
        <v>2021</v>
      </c>
      <c r="N77" s="178"/>
    </row>
    <row r="78" spans="1:14">
      <c r="A78" s="131" t="s">
        <v>394</v>
      </c>
      <c r="B78" s="136" t="s">
        <v>143</v>
      </c>
      <c r="C78" s="255" t="s">
        <v>1</v>
      </c>
      <c r="F78" s="138">
        <f t="shared" ref="F78:M78" si="34">CFTIRG2</f>
        <v>0</v>
      </c>
      <c r="G78" s="138">
        <f t="shared" si="34"/>
        <v>0</v>
      </c>
      <c r="H78" s="138">
        <f t="shared" si="34"/>
        <v>0</v>
      </c>
      <c r="I78" s="138">
        <f t="shared" si="34"/>
        <v>0</v>
      </c>
      <c r="J78" s="138">
        <f t="shared" si="34"/>
        <v>0</v>
      </c>
      <c r="K78" s="138">
        <f t="shared" si="34"/>
        <v>0</v>
      </c>
      <c r="L78" s="138">
        <f t="shared" si="34"/>
        <v>0</v>
      </c>
      <c r="M78" s="138">
        <f t="shared" si="34"/>
        <v>0</v>
      </c>
      <c r="N78" s="178" t="s">
        <v>588</v>
      </c>
    </row>
    <row r="79" spans="1:14">
      <c r="A79" s="325" t="s">
        <v>54</v>
      </c>
      <c r="B79" s="136" t="s">
        <v>109</v>
      </c>
      <c r="C79" s="255" t="s">
        <v>110</v>
      </c>
      <c r="F79" s="138">
        <f t="shared" ref="F79:M79" si="35">RPIF</f>
        <v>1.163</v>
      </c>
      <c r="G79" s="138">
        <f t="shared" si="35"/>
        <v>1.2050000000000001</v>
      </c>
      <c r="H79" s="138">
        <f t="shared" si="35"/>
        <v>1.2270000000000001</v>
      </c>
      <c r="I79" s="138">
        <f t="shared" si="35"/>
        <v>1.2330000000000001</v>
      </c>
      <c r="J79" s="138">
        <f t="shared" si="35"/>
        <v>1.2709999999999999</v>
      </c>
      <c r="K79" s="138">
        <f t="shared" si="35"/>
        <v>1.3140000000000001</v>
      </c>
      <c r="L79" s="138">
        <f t="shared" si="35"/>
        <v>1.3580000000000001</v>
      </c>
      <c r="M79" s="138">
        <f t="shared" si="35"/>
        <v>1.31</v>
      </c>
      <c r="N79" s="178" t="s">
        <v>109</v>
      </c>
    </row>
    <row r="80" spans="1:14">
      <c r="C80" s="255"/>
      <c r="N80" s="178"/>
    </row>
    <row r="81" spans="1:14" ht="13.5">
      <c r="A81" s="120" t="s">
        <v>157</v>
      </c>
      <c r="B81" s="136" t="s">
        <v>138</v>
      </c>
      <c r="C81" s="255" t="s">
        <v>1</v>
      </c>
      <c r="F81" s="58">
        <f t="shared" ref="F81:M81" si="36">F78*F79</f>
        <v>0</v>
      </c>
      <c r="G81" s="58">
        <f t="shared" si="36"/>
        <v>0</v>
      </c>
      <c r="H81" s="58">
        <f t="shared" si="36"/>
        <v>0</v>
      </c>
      <c r="I81" s="58">
        <f t="shared" si="36"/>
        <v>0</v>
      </c>
      <c r="J81" s="58">
        <f t="shared" si="36"/>
        <v>0</v>
      </c>
      <c r="K81" s="58">
        <f t="shared" si="36"/>
        <v>0</v>
      </c>
      <c r="L81" s="58">
        <f t="shared" si="36"/>
        <v>0</v>
      </c>
      <c r="M81" s="58">
        <f t="shared" si="36"/>
        <v>0</v>
      </c>
      <c r="N81" s="178"/>
    </row>
    <row r="82" spans="1:14" ht="13.5">
      <c r="A82" s="120"/>
      <c r="C82" s="255"/>
      <c r="N82" s="178"/>
    </row>
    <row r="83" spans="1:14" ht="13.5">
      <c r="A83" s="120"/>
      <c r="C83" s="255"/>
      <c r="N83" s="178"/>
    </row>
    <row r="84" spans="1:14" ht="13.9">
      <c r="A84" s="147" t="s">
        <v>269</v>
      </c>
      <c r="C84" s="255"/>
      <c r="N84" s="178"/>
    </row>
    <row r="85" spans="1:14">
      <c r="A85" s="199" t="s">
        <v>345</v>
      </c>
      <c r="C85" s="255"/>
      <c r="N85" s="178"/>
    </row>
    <row r="86" spans="1:14" ht="14.25">
      <c r="A86" s="154" t="s">
        <v>489</v>
      </c>
      <c r="C86" s="255"/>
      <c r="F86" s="117">
        <v>2014</v>
      </c>
      <c r="G86" s="117">
        <v>2015</v>
      </c>
      <c r="H86" s="117">
        <v>2016</v>
      </c>
      <c r="I86" s="117">
        <v>2017</v>
      </c>
      <c r="J86" s="117">
        <v>2018</v>
      </c>
      <c r="K86" s="117">
        <v>2019</v>
      </c>
      <c r="L86" s="117">
        <v>2020</v>
      </c>
      <c r="M86" s="117">
        <v>2021</v>
      </c>
      <c r="N86" s="178"/>
    </row>
    <row r="87" spans="1:14">
      <c r="A87" s="136" t="s">
        <v>226</v>
      </c>
      <c r="B87" s="136" t="s">
        <v>135</v>
      </c>
      <c r="C87" s="255" t="s">
        <v>98</v>
      </c>
      <c r="F87" s="173">
        <f t="shared" ref="F87:M87" si="37">CCTIRG</f>
        <v>8.7999999999999995E-2</v>
      </c>
      <c r="G87" s="173">
        <f t="shared" si="37"/>
        <v>8.7999999999999995E-2</v>
      </c>
      <c r="H87" s="173">
        <f t="shared" si="37"/>
        <v>8.7999999999999995E-2</v>
      </c>
      <c r="I87" s="173">
        <f t="shared" si="37"/>
        <v>8.7999999999999995E-2</v>
      </c>
      <c r="J87" s="173">
        <f t="shared" si="37"/>
        <v>8.7999999999999995E-2</v>
      </c>
      <c r="K87" s="173">
        <f t="shared" si="37"/>
        <v>8.7999999999999995E-2</v>
      </c>
      <c r="L87" s="173">
        <f t="shared" si="37"/>
        <v>8.7999999999999995E-2</v>
      </c>
      <c r="M87" s="173">
        <f t="shared" si="37"/>
        <v>8.7999999999999995E-2</v>
      </c>
      <c r="N87" s="178" t="s">
        <v>135</v>
      </c>
    </row>
    <row r="88" spans="1:14">
      <c r="A88" s="131" t="s">
        <v>235</v>
      </c>
      <c r="B88" s="136" t="s">
        <v>131</v>
      </c>
      <c r="C88" s="255"/>
      <c r="F88" s="138">
        <f t="shared" ref="F88:M88" si="38">FTIRG2</f>
        <v>0</v>
      </c>
      <c r="G88" s="138">
        <f t="shared" si="38"/>
        <v>0</v>
      </c>
      <c r="H88" s="138">
        <f t="shared" si="38"/>
        <v>0</v>
      </c>
      <c r="I88" s="138">
        <f t="shared" si="38"/>
        <v>0</v>
      </c>
      <c r="J88" s="138">
        <f t="shared" si="38"/>
        <v>0</v>
      </c>
      <c r="K88" s="138">
        <f t="shared" si="38"/>
        <v>0</v>
      </c>
      <c r="L88" s="138">
        <f t="shared" si="38"/>
        <v>0</v>
      </c>
      <c r="M88" s="138">
        <f t="shared" si="38"/>
        <v>0</v>
      </c>
      <c r="N88" s="178" t="s">
        <v>366</v>
      </c>
    </row>
    <row r="89" spans="1:14">
      <c r="A89" s="136" t="s">
        <v>227</v>
      </c>
      <c r="B89" s="136" t="s">
        <v>144</v>
      </c>
      <c r="C89" s="255"/>
      <c r="F89" s="138">
        <f t="shared" ref="F89:M89" si="39">AFFTIRG2</f>
        <v>0</v>
      </c>
      <c r="G89" s="138">
        <f t="shared" si="39"/>
        <v>0</v>
      </c>
      <c r="H89" s="138">
        <f t="shared" si="39"/>
        <v>0</v>
      </c>
      <c r="I89" s="138">
        <f t="shared" si="39"/>
        <v>0</v>
      </c>
      <c r="J89" s="138">
        <f t="shared" si="39"/>
        <v>0</v>
      </c>
      <c r="K89" s="138">
        <f t="shared" si="39"/>
        <v>0</v>
      </c>
      <c r="L89" s="138">
        <f t="shared" si="39"/>
        <v>0</v>
      </c>
      <c r="M89" s="138">
        <f t="shared" si="39"/>
        <v>0</v>
      </c>
      <c r="N89" s="178" t="s">
        <v>332</v>
      </c>
    </row>
    <row r="90" spans="1:14">
      <c r="A90" s="325" t="s">
        <v>54</v>
      </c>
      <c r="B90" s="136" t="s">
        <v>109</v>
      </c>
      <c r="C90" s="255" t="s">
        <v>110</v>
      </c>
      <c r="F90" s="138">
        <f t="shared" ref="F90:M90" si="40">RPIF</f>
        <v>1.163</v>
      </c>
      <c r="G90" s="138">
        <f t="shared" si="40"/>
        <v>1.2050000000000001</v>
      </c>
      <c r="H90" s="138">
        <f t="shared" si="40"/>
        <v>1.2270000000000001</v>
      </c>
      <c r="I90" s="138">
        <f t="shared" si="40"/>
        <v>1.2330000000000001</v>
      </c>
      <c r="J90" s="138">
        <f t="shared" si="40"/>
        <v>1.2709999999999999</v>
      </c>
      <c r="K90" s="138">
        <f t="shared" si="40"/>
        <v>1.3140000000000001</v>
      </c>
      <c r="L90" s="138">
        <f t="shared" si="40"/>
        <v>1.3580000000000001</v>
      </c>
      <c r="M90" s="138">
        <f t="shared" si="40"/>
        <v>1.31</v>
      </c>
      <c r="N90" s="178" t="s">
        <v>109</v>
      </c>
    </row>
    <row r="91" spans="1:14">
      <c r="B91" s="264" t="s">
        <v>155</v>
      </c>
      <c r="C91" s="255"/>
      <c r="F91" s="58">
        <f t="shared" ref="F91:M91" si="41">(F88+F89)*F87*F90</f>
        <v>0</v>
      </c>
      <c r="G91" s="58">
        <f t="shared" si="41"/>
        <v>0</v>
      </c>
      <c r="H91" s="58">
        <f t="shared" si="41"/>
        <v>0</v>
      </c>
      <c r="I91" s="58">
        <f t="shared" si="41"/>
        <v>0</v>
      </c>
      <c r="J91" s="58">
        <f t="shared" si="41"/>
        <v>0</v>
      </c>
      <c r="K91" s="58">
        <f t="shared" si="41"/>
        <v>0</v>
      </c>
      <c r="L91" s="58">
        <f t="shared" si="41"/>
        <v>0</v>
      </c>
      <c r="M91" s="58">
        <f t="shared" si="41"/>
        <v>0</v>
      </c>
      <c r="N91" s="178"/>
    </row>
    <row r="92" spans="1:14" ht="13.5">
      <c r="B92" s="120"/>
      <c r="C92" s="255"/>
      <c r="N92" s="178"/>
    </row>
    <row r="93" spans="1:14">
      <c r="A93" s="131" t="s">
        <v>236</v>
      </c>
      <c r="B93" s="136" t="s">
        <v>145</v>
      </c>
      <c r="C93" s="255"/>
      <c r="F93" s="138">
        <f>FTIRGDepn2</f>
        <v>0</v>
      </c>
      <c r="G93" s="138">
        <f t="shared" ref="G93:M93" si="42">FTIRGDepn2</f>
        <v>0</v>
      </c>
      <c r="H93" s="138">
        <f t="shared" si="42"/>
        <v>0</v>
      </c>
      <c r="I93" s="138">
        <f t="shared" si="42"/>
        <v>0</v>
      </c>
      <c r="J93" s="138">
        <f t="shared" si="42"/>
        <v>0</v>
      </c>
      <c r="K93" s="138">
        <f t="shared" si="42"/>
        <v>0</v>
      </c>
      <c r="L93" s="138">
        <f t="shared" si="42"/>
        <v>0</v>
      </c>
      <c r="M93" s="138">
        <f t="shared" si="42"/>
        <v>0</v>
      </c>
      <c r="N93" s="178" t="s">
        <v>365</v>
      </c>
    </row>
    <row r="94" spans="1:14">
      <c r="A94" s="136" t="s">
        <v>230</v>
      </c>
      <c r="B94" s="136" t="s">
        <v>146</v>
      </c>
      <c r="C94" s="255"/>
      <c r="F94" s="138">
        <f t="shared" ref="F94:M94" si="43">AFFTIRGDepn2</f>
        <v>0</v>
      </c>
      <c r="G94" s="138">
        <f t="shared" si="43"/>
        <v>0</v>
      </c>
      <c r="H94" s="138">
        <f t="shared" si="43"/>
        <v>0</v>
      </c>
      <c r="I94" s="138">
        <f t="shared" si="43"/>
        <v>0</v>
      </c>
      <c r="J94" s="138">
        <f t="shared" si="43"/>
        <v>0</v>
      </c>
      <c r="K94" s="138">
        <f t="shared" si="43"/>
        <v>0</v>
      </c>
      <c r="L94" s="138">
        <f t="shared" si="43"/>
        <v>0</v>
      </c>
      <c r="M94" s="138">
        <f t="shared" si="43"/>
        <v>0</v>
      </c>
      <c r="N94" s="178" t="s">
        <v>333</v>
      </c>
    </row>
    <row r="95" spans="1:14">
      <c r="A95" s="325" t="s">
        <v>54</v>
      </c>
      <c r="B95" s="136" t="s">
        <v>109</v>
      </c>
      <c r="C95" s="255" t="s">
        <v>110</v>
      </c>
      <c r="F95" s="190">
        <f t="shared" ref="F95:M95" si="44">RPIF</f>
        <v>1.163</v>
      </c>
      <c r="G95" s="190">
        <f t="shared" si="44"/>
        <v>1.2050000000000001</v>
      </c>
      <c r="H95" s="190">
        <f t="shared" si="44"/>
        <v>1.2270000000000001</v>
      </c>
      <c r="I95" s="190">
        <f t="shared" si="44"/>
        <v>1.2330000000000001</v>
      </c>
      <c r="J95" s="190">
        <f t="shared" si="44"/>
        <v>1.2709999999999999</v>
      </c>
      <c r="K95" s="190">
        <f t="shared" si="44"/>
        <v>1.3140000000000001</v>
      </c>
      <c r="L95" s="190">
        <f t="shared" si="44"/>
        <v>1.3580000000000001</v>
      </c>
      <c r="M95" s="190">
        <f t="shared" si="44"/>
        <v>1.31</v>
      </c>
      <c r="N95" s="178" t="s">
        <v>109</v>
      </c>
    </row>
    <row r="96" spans="1:14">
      <c r="B96" s="264" t="s">
        <v>156</v>
      </c>
      <c r="C96" s="255"/>
      <c r="F96" s="58">
        <f t="shared" ref="F96:M96" si="45">(F93+F94)*F95</f>
        <v>0</v>
      </c>
      <c r="G96" s="58">
        <f t="shared" si="45"/>
        <v>0</v>
      </c>
      <c r="H96" s="58">
        <f t="shared" si="45"/>
        <v>0</v>
      </c>
      <c r="I96" s="58">
        <f t="shared" si="45"/>
        <v>0</v>
      </c>
      <c r="J96" s="58">
        <f t="shared" si="45"/>
        <v>0</v>
      </c>
      <c r="K96" s="58">
        <f t="shared" si="45"/>
        <v>0</v>
      </c>
      <c r="L96" s="58">
        <f t="shared" si="45"/>
        <v>0</v>
      </c>
      <c r="M96" s="58">
        <f t="shared" si="45"/>
        <v>0</v>
      </c>
      <c r="N96" s="178"/>
    </row>
    <row r="97" spans="1:14">
      <c r="C97" s="255"/>
      <c r="N97" s="178"/>
    </row>
    <row r="98" spans="1:14">
      <c r="B98" s="136" t="s">
        <v>140</v>
      </c>
      <c r="C98" s="255" t="s">
        <v>1</v>
      </c>
      <c r="F98" s="58">
        <f t="shared" ref="F98:M98" si="46">F91+F96</f>
        <v>0</v>
      </c>
      <c r="G98" s="58">
        <f t="shared" si="46"/>
        <v>0</v>
      </c>
      <c r="H98" s="58">
        <f t="shared" si="46"/>
        <v>0</v>
      </c>
      <c r="I98" s="58">
        <f t="shared" si="46"/>
        <v>0</v>
      </c>
      <c r="J98" s="58">
        <f t="shared" si="46"/>
        <v>0</v>
      </c>
      <c r="K98" s="58">
        <f t="shared" si="46"/>
        <v>0</v>
      </c>
      <c r="L98" s="58">
        <f t="shared" si="46"/>
        <v>0</v>
      </c>
      <c r="M98" s="58">
        <f t="shared" si="46"/>
        <v>0</v>
      </c>
      <c r="N98" s="178" t="s">
        <v>140</v>
      </c>
    </row>
    <row r="99" spans="1:14" ht="13.5">
      <c r="A99" s="120"/>
      <c r="C99" s="255"/>
      <c r="N99" s="178"/>
    </row>
    <row r="100" spans="1:14" ht="13.5">
      <c r="A100" s="120"/>
      <c r="C100" s="255"/>
      <c r="N100" s="178"/>
    </row>
    <row r="101" spans="1:14" ht="13.9">
      <c r="A101" s="147" t="s">
        <v>270</v>
      </c>
      <c r="C101" s="255"/>
      <c r="N101" s="178"/>
    </row>
    <row r="102" spans="1:14">
      <c r="A102" s="199" t="s">
        <v>345</v>
      </c>
      <c r="C102" s="255"/>
      <c r="N102" s="178"/>
    </row>
    <row r="103" spans="1:14">
      <c r="A103" s="154" t="s">
        <v>490</v>
      </c>
      <c r="C103" s="255"/>
      <c r="N103" s="178"/>
    </row>
    <row r="104" spans="1:14" ht="14.25">
      <c r="A104" s="120"/>
      <c r="C104" s="255"/>
      <c r="F104" s="117">
        <v>2014</v>
      </c>
      <c r="G104" s="117">
        <v>2015</v>
      </c>
      <c r="H104" s="117">
        <v>2016</v>
      </c>
      <c r="I104" s="117">
        <v>2017</v>
      </c>
      <c r="J104" s="117">
        <v>2018</v>
      </c>
      <c r="K104" s="117">
        <v>2019</v>
      </c>
      <c r="L104" s="117">
        <v>2020</v>
      </c>
      <c r="M104" s="117">
        <v>2021</v>
      </c>
      <c r="N104" s="178"/>
    </row>
    <row r="105" spans="1:14">
      <c r="A105" s="136" t="s">
        <v>226</v>
      </c>
      <c r="B105" s="136" t="s">
        <v>135</v>
      </c>
      <c r="C105" s="258" t="s">
        <v>98</v>
      </c>
      <c r="F105" s="173">
        <f t="shared" ref="F105:M105" si="47">CCTIRG</f>
        <v>8.7999999999999995E-2</v>
      </c>
      <c r="G105" s="173">
        <f t="shared" si="47"/>
        <v>8.7999999999999995E-2</v>
      </c>
      <c r="H105" s="173">
        <f t="shared" si="47"/>
        <v>8.7999999999999995E-2</v>
      </c>
      <c r="I105" s="173">
        <f t="shared" si="47"/>
        <v>8.7999999999999995E-2</v>
      </c>
      <c r="J105" s="173">
        <f t="shared" si="47"/>
        <v>8.7999999999999995E-2</v>
      </c>
      <c r="K105" s="173">
        <f t="shared" si="47"/>
        <v>8.7999999999999995E-2</v>
      </c>
      <c r="L105" s="173">
        <f t="shared" si="47"/>
        <v>8.7999999999999995E-2</v>
      </c>
      <c r="M105" s="173">
        <f t="shared" si="47"/>
        <v>8.7999999999999995E-2</v>
      </c>
      <c r="N105" s="178" t="s">
        <v>135</v>
      </c>
    </row>
    <row r="106" spans="1:14">
      <c r="A106" s="131" t="s">
        <v>239</v>
      </c>
      <c r="B106" s="136" t="s">
        <v>137</v>
      </c>
      <c r="C106" s="291" t="s">
        <v>1</v>
      </c>
      <c r="F106" s="138">
        <f t="shared" ref="F106:M106" si="48">ETIRGC2</f>
        <v>10.019</v>
      </c>
      <c r="G106" s="138">
        <f t="shared" si="48"/>
        <v>9.4469999999999992</v>
      </c>
      <c r="H106" s="138">
        <f t="shared" si="48"/>
        <v>8.8740000000000006</v>
      </c>
      <c r="I106" s="138">
        <f t="shared" si="48"/>
        <v>0</v>
      </c>
      <c r="J106" s="138">
        <f t="shared" si="48"/>
        <v>0</v>
      </c>
      <c r="K106" s="138">
        <f t="shared" si="48"/>
        <v>0</v>
      </c>
      <c r="L106" s="138">
        <f t="shared" si="48"/>
        <v>0</v>
      </c>
      <c r="M106" s="138">
        <f t="shared" si="48"/>
        <v>0</v>
      </c>
      <c r="N106" s="178" t="s">
        <v>362</v>
      </c>
    </row>
    <row r="107" spans="1:14">
      <c r="C107" s="258"/>
      <c r="N107" s="178"/>
    </row>
    <row r="108" spans="1:14">
      <c r="A108" s="136" t="s">
        <v>232</v>
      </c>
      <c r="B108" s="136" t="s">
        <v>147</v>
      </c>
      <c r="C108" s="291" t="s">
        <v>1</v>
      </c>
      <c r="F108" s="138">
        <f t="shared" ref="F108:M108" si="49">SAFTIRG2</f>
        <v>0</v>
      </c>
      <c r="G108" s="138">
        <f t="shared" si="49"/>
        <v>0</v>
      </c>
      <c r="H108" s="138">
        <f t="shared" si="49"/>
        <v>0</v>
      </c>
      <c r="I108" s="138">
        <f t="shared" si="49"/>
        <v>0</v>
      </c>
      <c r="J108" s="138">
        <f t="shared" si="49"/>
        <v>0</v>
      </c>
      <c r="K108" s="138">
        <f t="shared" si="49"/>
        <v>0</v>
      </c>
      <c r="L108" s="138">
        <f t="shared" si="49"/>
        <v>0</v>
      </c>
      <c r="M108" s="138">
        <f t="shared" si="49"/>
        <v>0</v>
      </c>
      <c r="N108" s="178" t="s">
        <v>260</v>
      </c>
    </row>
    <row r="109" spans="1:14">
      <c r="A109" s="131" t="s">
        <v>237</v>
      </c>
      <c r="B109" s="136" t="s">
        <v>133</v>
      </c>
      <c r="C109" s="291" t="s">
        <v>1</v>
      </c>
      <c r="F109" s="138">
        <f t="shared" ref="F109:M109" si="50">ETIRGORAV2</f>
        <v>0</v>
      </c>
      <c r="G109" s="138">
        <f t="shared" si="50"/>
        <v>0</v>
      </c>
      <c r="H109" s="138">
        <f t="shared" si="50"/>
        <v>0</v>
      </c>
      <c r="I109" s="138">
        <f t="shared" si="50"/>
        <v>0</v>
      </c>
      <c r="J109" s="138">
        <f t="shared" si="50"/>
        <v>0</v>
      </c>
      <c r="K109" s="138">
        <f t="shared" si="50"/>
        <v>0</v>
      </c>
      <c r="L109" s="138">
        <f t="shared" si="50"/>
        <v>0</v>
      </c>
      <c r="M109" s="138">
        <f t="shared" si="50"/>
        <v>0</v>
      </c>
      <c r="N109" s="178" t="s">
        <v>368</v>
      </c>
    </row>
    <row r="110" spans="1:14">
      <c r="A110" s="136" t="s">
        <v>148</v>
      </c>
      <c r="B110" s="136" t="s">
        <v>149</v>
      </c>
      <c r="C110" s="258" t="s">
        <v>110</v>
      </c>
      <c r="F110" s="58">
        <f>IF(F108&gt;0,F108/F109,1)</f>
        <v>1</v>
      </c>
      <c r="G110" s="58">
        <f t="shared" ref="G110:M110" si="51">IF(G108&gt;0,G108/G109,1)</f>
        <v>1</v>
      </c>
      <c r="H110" s="58">
        <f t="shared" si="51"/>
        <v>1</v>
      </c>
      <c r="I110" s="58">
        <f t="shared" si="51"/>
        <v>1</v>
      </c>
      <c r="J110" s="58">
        <f t="shared" si="51"/>
        <v>1</v>
      </c>
      <c r="K110" s="58">
        <f t="shared" si="51"/>
        <v>1</v>
      </c>
      <c r="L110" s="58">
        <f t="shared" si="51"/>
        <v>1</v>
      </c>
      <c r="M110" s="58">
        <f t="shared" si="51"/>
        <v>1</v>
      </c>
      <c r="N110" s="178" t="s">
        <v>369</v>
      </c>
    </row>
    <row r="111" spans="1:14">
      <c r="C111" s="258"/>
      <c r="N111" s="178"/>
    </row>
    <row r="112" spans="1:14">
      <c r="A112" s="325" t="s">
        <v>54</v>
      </c>
      <c r="B112" s="136" t="s">
        <v>109</v>
      </c>
      <c r="C112" s="258" t="s">
        <v>110</v>
      </c>
      <c r="F112" s="190">
        <f t="shared" ref="F112:M112" si="52">RPIF</f>
        <v>1.163</v>
      </c>
      <c r="G112" s="190">
        <f t="shared" si="52"/>
        <v>1.2050000000000001</v>
      </c>
      <c r="H112" s="190">
        <f t="shared" si="52"/>
        <v>1.2270000000000001</v>
      </c>
      <c r="I112" s="190">
        <f t="shared" si="52"/>
        <v>1.2330000000000001</v>
      </c>
      <c r="J112" s="190">
        <f t="shared" si="52"/>
        <v>1.2709999999999999</v>
      </c>
      <c r="K112" s="190">
        <f t="shared" si="52"/>
        <v>1.3140000000000001</v>
      </c>
      <c r="L112" s="190">
        <f t="shared" si="52"/>
        <v>1.3580000000000001</v>
      </c>
      <c r="M112" s="190">
        <f t="shared" si="52"/>
        <v>1.31</v>
      </c>
      <c r="N112" s="178" t="s">
        <v>109</v>
      </c>
    </row>
    <row r="113" spans="1:14">
      <c r="C113" s="258"/>
      <c r="N113" s="178"/>
    </row>
    <row r="114" spans="1:14">
      <c r="A114" s="136" t="s">
        <v>228</v>
      </c>
      <c r="C114" s="258" t="s">
        <v>1</v>
      </c>
      <c r="F114" s="58">
        <f>F105*(F110*F106)*F112</f>
        <v>1.025384536</v>
      </c>
      <c r="G114" s="58">
        <f t="shared" ref="G114:M114" si="53">G105*(G110*G106)*G112</f>
        <v>1.0017598799999998</v>
      </c>
      <c r="H114" s="58">
        <f t="shared" si="53"/>
        <v>0.9581790240000001</v>
      </c>
      <c r="I114" s="58">
        <f t="shared" si="53"/>
        <v>0</v>
      </c>
      <c r="J114" s="58">
        <f t="shared" si="53"/>
        <v>0</v>
      </c>
      <c r="K114" s="58">
        <f t="shared" si="53"/>
        <v>0</v>
      </c>
      <c r="L114" s="58">
        <f t="shared" si="53"/>
        <v>0</v>
      </c>
      <c r="M114" s="58">
        <f t="shared" si="53"/>
        <v>0</v>
      </c>
      <c r="N114" s="178"/>
    </row>
    <row r="115" spans="1:14">
      <c r="C115" s="255"/>
      <c r="N115" s="178"/>
    </row>
    <row r="116" spans="1:14">
      <c r="A116" s="154" t="s">
        <v>490</v>
      </c>
      <c r="C116" s="255"/>
      <c r="N116" s="178"/>
    </row>
    <row r="117" spans="1:14">
      <c r="C117" s="255"/>
      <c r="N117" s="178"/>
    </row>
    <row r="118" spans="1:14">
      <c r="C118" s="255"/>
      <c r="N118" s="178"/>
    </row>
    <row r="119" spans="1:14" ht="14.25">
      <c r="C119" s="255"/>
      <c r="F119" s="117">
        <v>2014</v>
      </c>
      <c r="G119" s="117">
        <v>2015</v>
      </c>
      <c r="H119" s="117">
        <v>2016</v>
      </c>
      <c r="I119" s="117">
        <v>2017</v>
      </c>
      <c r="J119" s="117">
        <v>2018</v>
      </c>
      <c r="K119" s="117">
        <v>2019</v>
      </c>
      <c r="L119" s="117">
        <v>2020</v>
      </c>
      <c r="M119" s="117">
        <v>2021</v>
      </c>
      <c r="N119" s="178"/>
    </row>
    <row r="120" spans="1:14">
      <c r="A120" s="131" t="s">
        <v>238</v>
      </c>
      <c r="B120" s="136" t="s">
        <v>134</v>
      </c>
      <c r="C120" s="255" t="s">
        <v>1</v>
      </c>
      <c r="F120" s="138">
        <f>'R4 Licence Condition Values'!F90</f>
        <v>0.57199999999999995</v>
      </c>
      <c r="G120" s="138">
        <f>'R4 Licence Condition Values'!G90</f>
        <v>0.57199999999999995</v>
      </c>
      <c r="H120" s="138">
        <f>'R4 Licence Condition Values'!H90</f>
        <v>0.57199999999999995</v>
      </c>
      <c r="I120" s="138">
        <f>'R4 Licence Condition Values'!I90</f>
        <v>0</v>
      </c>
      <c r="J120" s="138">
        <f>'R4 Licence Condition Values'!J90</f>
        <v>0</v>
      </c>
      <c r="K120" s="138">
        <f>'R4 Licence Condition Values'!K90</f>
        <v>0</v>
      </c>
      <c r="L120" s="138">
        <f>'R4 Licence Condition Values'!L90</f>
        <v>0</v>
      </c>
      <c r="M120" s="138">
        <f>'R4 Licence Condition Values'!M90</f>
        <v>0</v>
      </c>
      <c r="N120" s="178" t="s">
        <v>361</v>
      </c>
    </row>
    <row r="121" spans="1:14">
      <c r="A121" s="136" t="s">
        <v>148</v>
      </c>
      <c r="B121" s="136" t="s">
        <v>149</v>
      </c>
      <c r="C121" s="255" t="s">
        <v>110</v>
      </c>
      <c r="F121" s="138">
        <f t="shared" ref="F121:M121" si="54">F110</f>
        <v>1</v>
      </c>
      <c r="G121" s="138">
        <f t="shared" si="54"/>
        <v>1</v>
      </c>
      <c r="H121" s="138">
        <f t="shared" si="54"/>
        <v>1</v>
      </c>
      <c r="I121" s="138">
        <f t="shared" si="54"/>
        <v>1</v>
      </c>
      <c r="J121" s="138">
        <f t="shared" si="54"/>
        <v>1</v>
      </c>
      <c r="K121" s="138">
        <f t="shared" si="54"/>
        <v>1</v>
      </c>
      <c r="L121" s="138">
        <f t="shared" si="54"/>
        <v>1</v>
      </c>
      <c r="M121" s="138">
        <f t="shared" si="54"/>
        <v>1</v>
      </c>
      <c r="N121" s="178" t="s">
        <v>369</v>
      </c>
    </row>
    <row r="122" spans="1:14">
      <c r="A122" s="325" t="s">
        <v>54</v>
      </c>
      <c r="B122" s="136" t="s">
        <v>109</v>
      </c>
      <c r="C122" s="255" t="s">
        <v>110</v>
      </c>
      <c r="F122" s="190">
        <f t="shared" ref="F122:M122" si="55">RPIF</f>
        <v>1.163</v>
      </c>
      <c r="G122" s="190">
        <f t="shared" si="55"/>
        <v>1.2050000000000001</v>
      </c>
      <c r="H122" s="190">
        <f t="shared" si="55"/>
        <v>1.2270000000000001</v>
      </c>
      <c r="I122" s="190">
        <f t="shared" si="55"/>
        <v>1.2330000000000001</v>
      </c>
      <c r="J122" s="190">
        <f t="shared" si="55"/>
        <v>1.2709999999999999</v>
      </c>
      <c r="K122" s="190">
        <f t="shared" si="55"/>
        <v>1.3140000000000001</v>
      </c>
      <c r="L122" s="190">
        <f t="shared" si="55"/>
        <v>1.3580000000000001</v>
      </c>
      <c r="M122" s="190">
        <f t="shared" si="55"/>
        <v>1.31</v>
      </c>
      <c r="N122" s="178" t="s">
        <v>109</v>
      </c>
    </row>
    <row r="123" spans="1:14">
      <c r="A123" s="136" t="s">
        <v>179</v>
      </c>
      <c r="C123" s="255"/>
      <c r="F123" s="58">
        <f t="shared" ref="F123:M123" si="56">F120*F121*F122</f>
        <v>0.66523599999999994</v>
      </c>
      <c r="G123" s="58">
        <f t="shared" si="56"/>
        <v>0.68925999999999998</v>
      </c>
      <c r="H123" s="58">
        <f t="shared" si="56"/>
        <v>0.70184400000000002</v>
      </c>
      <c r="I123" s="58">
        <f t="shared" si="56"/>
        <v>0</v>
      </c>
      <c r="J123" s="58">
        <f t="shared" si="56"/>
        <v>0</v>
      </c>
      <c r="K123" s="58">
        <f t="shared" si="56"/>
        <v>0</v>
      </c>
      <c r="L123" s="58">
        <f t="shared" si="56"/>
        <v>0</v>
      </c>
      <c r="M123" s="58">
        <f t="shared" si="56"/>
        <v>0</v>
      </c>
      <c r="N123" s="178"/>
    </row>
    <row r="124" spans="1:14">
      <c r="C124" s="255"/>
      <c r="N124" s="178"/>
    </row>
    <row r="125" spans="1:14">
      <c r="B125" s="136" t="s">
        <v>141</v>
      </c>
      <c r="C125" s="255" t="s">
        <v>1</v>
      </c>
      <c r="F125" s="58">
        <f t="shared" ref="F125:M125" si="57">F114+F123</f>
        <v>1.690620536</v>
      </c>
      <c r="G125" s="58">
        <f t="shared" si="57"/>
        <v>1.6910198799999998</v>
      </c>
      <c r="H125" s="58">
        <f t="shared" si="57"/>
        <v>1.660023024</v>
      </c>
      <c r="I125" s="58">
        <f t="shared" si="57"/>
        <v>0</v>
      </c>
      <c r="J125" s="58">
        <f t="shared" si="57"/>
        <v>0</v>
      </c>
      <c r="K125" s="58">
        <f t="shared" si="57"/>
        <v>0</v>
      </c>
      <c r="L125" s="58">
        <f t="shared" si="57"/>
        <v>0</v>
      </c>
      <c r="M125" s="58">
        <f t="shared" si="57"/>
        <v>0</v>
      </c>
      <c r="N125" s="178" t="s">
        <v>370</v>
      </c>
    </row>
    <row r="126" spans="1:14" s="115" customFormat="1">
      <c r="A126" s="193"/>
      <c r="B126" s="193"/>
      <c r="C126" s="255"/>
      <c r="F126" s="194"/>
      <c r="G126" s="194"/>
      <c r="H126" s="194"/>
      <c r="I126" s="194"/>
      <c r="J126" s="194"/>
      <c r="K126" s="194"/>
      <c r="L126" s="194"/>
      <c r="M126" s="194"/>
      <c r="N126" s="178"/>
    </row>
    <row r="127" spans="1:14" s="115" customFormat="1">
      <c r="A127" s="193"/>
      <c r="B127" s="193"/>
      <c r="C127" s="255"/>
      <c r="F127" s="194"/>
      <c r="G127" s="194"/>
      <c r="H127" s="194"/>
      <c r="I127" s="194"/>
      <c r="J127" s="194"/>
      <c r="K127" s="194"/>
      <c r="L127" s="194"/>
      <c r="M127" s="194"/>
      <c r="N127" s="178"/>
    </row>
    <row r="128" spans="1:14" s="115" customFormat="1">
      <c r="A128" s="136" t="s">
        <v>242</v>
      </c>
      <c r="B128" s="136" t="s">
        <v>139</v>
      </c>
      <c r="C128" s="255" t="s">
        <v>1</v>
      </c>
      <c r="F128" s="192">
        <f t="shared" ref="F128:M128" si="58">TIRGIncAdj2</f>
        <v>0</v>
      </c>
      <c r="G128" s="192">
        <f t="shared" si="58"/>
        <v>0</v>
      </c>
      <c r="H128" s="192">
        <f t="shared" si="58"/>
        <v>0</v>
      </c>
      <c r="I128" s="192">
        <f t="shared" si="58"/>
        <v>0</v>
      </c>
      <c r="J128" s="192">
        <f t="shared" si="58"/>
        <v>0</v>
      </c>
      <c r="K128" s="192">
        <f t="shared" si="58"/>
        <v>0</v>
      </c>
      <c r="L128" s="192">
        <f t="shared" si="58"/>
        <v>0</v>
      </c>
      <c r="M128" s="192">
        <f t="shared" si="58"/>
        <v>0</v>
      </c>
      <c r="N128" s="178" t="s">
        <v>334</v>
      </c>
    </row>
    <row r="129" spans="1:14" s="115" customFormat="1">
      <c r="A129" s="351" t="s">
        <v>597</v>
      </c>
      <c r="B129" s="136" t="s">
        <v>142</v>
      </c>
      <c r="C129" s="255" t="s">
        <v>1</v>
      </c>
      <c r="F129" s="192">
        <f t="shared" ref="F129:M129" si="59">ATIRG2</f>
        <v>0</v>
      </c>
      <c r="G129" s="192">
        <f t="shared" si="59"/>
        <v>0</v>
      </c>
      <c r="H129" s="192">
        <f t="shared" si="59"/>
        <v>0</v>
      </c>
      <c r="I129" s="192">
        <f t="shared" si="59"/>
        <v>0</v>
      </c>
      <c r="J129" s="192">
        <f t="shared" si="59"/>
        <v>0</v>
      </c>
      <c r="K129" s="192">
        <f t="shared" si="59"/>
        <v>0</v>
      </c>
      <c r="L129" s="192">
        <f t="shared" si="59"/>
        <v>0</v>
      </c>
      <c r="M129" s="192">
        <f t="shared" si="59"/>
        <v>0</v>
      </c>
      <c r="N129" s="178" t="s">
        <v>335</v>
      </c>
    </row>
    <row r="130" spans="1:14" s="115" customFormat="1">
      <c r="A130" s="193"/>
      <c r="B130" s="193"/>
      <c r="C130" s="259"/>
      <c r="F130" s="194"/>
      <c r="G130" s="194"/>
      <c r="H130" s="194"/>
      <c r="I130" s="194"/>
      <c r="J130" s="194"/>
      <c r="K130" s="194"/>
      <c r="L130" s="194"/>
      <c r="M130" s="194"/>
      <c r="N130" s="178"/>
    </row>
    <row r="131" spans="1:14">
      <c r="C131" s="255"/>
      <c r="N131" s="178"/>
    </row>
    <row r="132" spans="1:14" ht="13.9">
      <c r="A132" s="147" t="s">
        <v>271</v>
      </c>
      <c r="C132" s="255"/>
      <c r="N132" s="178"/>
    </row>
    <row r="133" spans="1:14" ht="13.5">
      <c r="A133" s="198" t="s">
        <v>355</v>
      </c>
      <c r="C133" s="255"/>
      <c r="N133" s="178"/>
    </row>
    <row r="134" spans="1:14" ht="13.9">
      <c r="A134" s="147" t="s">
        <v>272</v>
      </c>
      <c r="C134" s="255"/>
      <c r="N134" s="178"/>
    </row>
    <row r="135" spans="1:14" ht="13.9">
      <c r="A135" s="147" t="s">
        <v>488</v>
      </c>
      <c r="C135" s="255"/>
      <c r="N135" s="178"/>
    </row>
    <row r="136" spans="1:14" ht="14.25">
      <c r="A136" s="120"/>
      <c r="C136" s="255"/>
      <c r="F136" s="117">
        <v>2014</v>
      </c>
      <c r="G136" s="117">
        <v>2015</v>
      </c>
      <c r="H136" s="117">
        <v>2016</v>
      </c>
      <c r="I136" s="117">
        <v>2017</v>
      </c>
      <c r="J136" s="117">
        <v>2018</v>
      </c>
      <c r="K136" s="117">
        <v>2019</v>
      </c>
      <c r="L136" s="117">
        <v>2020</v>
      </c>
      <c r="M136" s="117">
        <v>2021</v>
      </c>
      <c r="N136" s="178"/>
    </row>
    <row r="137" spans="1:14">
      <c r="A137" s="131" t="s">
        <v>394</v>
      </c>
      <c r="B137" s="136" t="s">
        <v>143</v>
      </c>
      <c r="C137" s="255" t="s">
        <v>1</v>
      </c>
      <c r="F137" s="138">
        <f t="shared" ref="F137:M137" si="60">CFTIRG3</f>
        <v>0</v>
      </c>
      <c r="G137" s="138">
        <f t="shared" si="60"/>
        <v>0</v>
      </c>
      <c r="H137" s="138">
        <f t="shared" si="60"/>
        <v>0</v>
      </c>
      <c r="I137" s="138">
        <f t="shared" si="60"/>
        <v>0</v>
      </c>
      <c r="J137" s="138">
        <f t="shared" si="60"/>
        <v>0</v>
      </c>
      <c r="K137" s="138">
        <f t="shared" si="60"/>
        <v>0</v>
      </c>
      <c r="L137" s="138">
        <f t="shared" si="60"/>
        <v>0</v>
      </c>
      <c r="M137" s="138">
        <f t="shared" si="60"/>
        <v>0</v>
      </c>
      <c r="N137" s="178" t="s">
        <v>396</v>
      </c>
    </row>
    <row r="138" spans="1:14">
      <c r="A138" s="325" t="s">
        <v>54</v>
      </c>
      <c r="B138" s="136" t="s">
        <v>109</v>
      </c>
      <c r="C138" s="255" t="s">
        <v>110</v>
      </c>
      <c r="F138" s="138">
        <f t="shared" ref="F138:M138" si="61">RPIF</f>
        <v>1.163</v>
      </c>
      <c r="G138" s="138">
        <f t="shared" si="61"/>
        <v>1.2050000000000001</v>
      </c>
      <c r="H138" s="138">
        <f t="shared" si="61"/>
        <v>1.2270000000000001</v>
      </c>
      <c r="I138" s="138">
        <f t="shared" si="61"/>
        <v>1.2330000000000001</v>
      </c>
      <c r="J138" s="138">
        <f t="shared" si="61"/>
        <v>1.2709999999999999</v>
      </c>
      <c r="K138" s="138">
        <f t="shared" si="61"/>
        <v>1.3140000000000001</v>
      </c>
      <c r="L138" s="138">
        <f t="shared" si="61"/>
        <v>1.3580000000000001</v>
      </c>
      <c r="M138" s="138">
        <f t="shared" si="61"/>
        <v>1.31</v>
      </c>
      <c r="N138" s="178" t="s">
        <v>109</v>
      </c>
    </row>
    <row r="139" spans="1:14">
      <c r="C139" s="255"/>
      <c r="N139" s="178"/>
    </row>
    <row r="140" spans="1:14" ht="13.5">
      <c r="A140" s="120" t="s">
        <v>157</v>
      </c>
      <c r="B140" s="136" t="s">
        <v>138</v>
      </c>
      <c r="C140" s="255" t="s">
        <v>1</v>
      </c>
      <c r="F140" s="58">
        <f t="shared" ref="F140:M140" si="62">F137*F138</f>
        <v>0</v>
      </c>
      <c r="G140" s="58">
        <f t="shared" si="62"/>
        <v>0</v>
      </c>
      <c r="H140" s="58">
        <f t="shared" si="62"/>
        <v>0</v>
      </c>
      <c r="I140" s="58">
        <f t="shared" si="62"/>
        <v>0</v>
      </c>
      <c r="J140" s="58">
        <f t="shared" si="62"/>
        <v>0</v>
      </c>
      <c r="K140" s="58">
        <f t="shared" si="62"/>
        <v>0</v>
      </c>
      <c r="L140" s="58">
        <f t="shared" si="62"/>
        <v>0</v>
      </c>
      <c r="M140" s="58">
        <f t="shared" si="62"/>
        <v>0</v>
      </c>
      <c r="N140" s="178" t="s">
        <v>138</v>
      </c>
    </row>
    <row r="141" spans="1:14" ht="13.5">
      <c r="A141" s="120"/>
      <c r="C141" s="255"/>
      <c r="N141" s="178"/>
    </row>
    <row r="142" spans="1:14" ht="13.5">
      <c r="A142" s="120"/>
      <c r="C142" s="255"/>
      <c r="N142" s="178"/>
    </row>
    <row r="143" spans="1:14" ht="13.9">
      <c r="A143" s="147" t="s">
        <v>273</v>
      </c>
      <c r="C143" s="255"/>
      <c r="N143" s="178"/>
    </row>
    <row r="144" spans="1:14" ht="13.5">
      <c r="A144" s="198" t="s">
        <v>355</v>
      </c>
      <c r="C144" s="255"/>
      <c r="N144" s="178"/>
    </row>
    <row r="145" spans="1:14" ht="14.25">
      <c r="A145" s="154" t="s">
        <v>489</v>
      </c>
      <c r="C145" s="255"/>
      <c r="F145" s="117">
        <v>2014</v>
      </c>
      <c r="G145" s="117">
        <v>2015</v>
      </c>
      <c r="H145" s="117">
        <v>2016</v>
      </c>
      <c r="I145" s="117">
        <v>2017</v>
      </c>
      <c r="J145" s="117">
        <v>2018</v>
      </c>
      <c r="K145" s="117">
        <v>2019</v>
      </c>
      <c r="L145" s="117">
        <v>2020</v>
      </c>
      <c r="M145" s="117">
        <v>2021</v>
      </c>
      <c r="N145" s="178"/>
    </row>
    <row r="146" spans="1:14">
      <c r="A146" s="136" t="s">
        <v>226</v>
      </c>
      <c r="B146" s="136" t="s">
        <v>135</v>
      </c>
      <c r="C146" s="255" t="s">
        <v>98</v>
      </c>
      <c r="F146" s="173">
        <f t="shared" ref="F146:M146" si="63">CCTIRG</f>
        <v>8.7999999999999995E-2</v>
      </c>
      <c r="G146" s="173">
        <f t="shared" si="63"/>
        <v>8.7999999999999995E-2</v>
      </c>
      <c r="H146" s="173">
        <f t="shared" si="63"/>
        <v>8.7999999999999995E-2</v>
      </c>
      <c r="I146" s="173">
        <f t="shared" si="63"/>
        <v>8.7999999999999995E-2</v>
      </c>
      <c r="J146" s="173">
        <f t="shared" si="63"/>
        <v>8.7999999999999995E-2</v>
      </c>
      <c r="K146" s="173">
        <f t="shared" si="63"/>
        <v>8.7999999999999995E-2</v>
      </c>
      <c r="L146" s="173">
        <f t="shared" si="63"/>
        <v>8.7999999999999995E-2</v>
      </c>
      <c r="M146" s="173">
        <f t="shared" si="63"/>
        <v>8.7999999999999995E-2</v>
      </c>
      <c r="N146" s="178" t="s">
        <v>135</v>
      </c>
    </row>
    <row r="147" spans="1:14">
      <c r="A147" s="131" t="s">
        <v>235</v>
      </c>
      <c r="B147" s="136" t="s">
        <v>131</v>
      </c>
      <c r="C147" s="255"/>
      <c r="F147" s="138">
        <f>FTIRGC3</f>
        <v>13.297000000000001</v>
      </c>
      <c r="G147" s="138">
        <f t="shared" ref="G147:M147" si="64">FTIRGC3</f>
        <v>33.79</v>
      </c>
      <c r="H147" s="138">
        <f t="shared" si="64"/>
        <v>0</v>
      </c>
      <c r="I147" s="138">
        <f t="shared" si="64"/>
        <v>0</v>
      </c>
      <c r="J147" s="138">
        <f t="shared" si="64"/>
        <v>0</v>
      </c>
      <c r="K147" s="138">
        <f t="shared" si="64"/>
        <v>0</v>
      </c>
      <c r="L147" s="138">
        <f t="shared" si="64"/>
        <v>0</v>
      </c>
      <c r="M147" s="138">
        <f t="shared" si="64"/>
        <v>0</v>
      </c>
      <c r="N147" s="178" t="s">
        <v>371</v>
      </c>
    </row>
    <row r="148" spans="1:14">
      <c r="A148" s="136" t="s">
        <v>227</v>
      </c>
      <c r="B148" s="136" t="s">
        <v>144</v>
      </c>
      <c r="C148" s="255"/>
      <c r="F148" s="138">
        <f>AFFTIRG3</f>
        <v>0</v>
      </c>
      <c r="G148" s="138">
        <f t="shared" ref="G148:M148" si="65">AFFTIRG3</f>
        <v>0</v>
      </c>
      <c r="H148" s="138">
        <f t="shared" si="65"/>
        <v>0</v>
      </c>
      <c r="I148" s="138">
        <f t="shared" si="65"/>
        <v>0</v>
      </c>
      <c r="J148" s="138">
        <f t="shared" si="65"/>
        <v>0</v>
      </c>
      <c r="K148" s="138">
        <f t="shared" si="65"/>
        <v>0</v>
      </c>
      <c r="L148" s="138">
        <f t="shared" si="65"/>
        <v>0</v>
      </c>
      <c r="M148" s="138">
        <f t="shared" si="65"/>
        <v>0</v>
      </c>
      <c r="N148" s="178" t="s">
        <v>336</v>
      </c>
    </row>
    <row r="149" spans="1:14">
      <c r="A149" s="325" t="s">
        <v>54</v>
      </c>
      <c r="B149" s="136" t="s">
        <v>109</v>
      </c>
      <c r="C149" s="255" t="s">
        <v>110</v>
      </c>
      <c r="F149" s="138">
        <f t="shared" ref="F149:M149" si="66">RPIF</f>
        <v>1.163</v>
      </c>
      <c r="G149" s="138">
        <f t="shared" si="66"/>
        <v>1.2050000000000001</v>
      </c>
      <c r="H149" s="138">
        <f t="shared" si="66"/>
        <v>1.2270000000000001</v>
      </c>
      <c r="I149" s="138">
        <f t="shared" si="66"/>
        <v>1.2330000000000001</v>
      </c>
      <c r="J149" s="138">
        <f t="shared" si="66"/>
        <v>1.2709999999999999</v>
      </c>
      <c r="K149" s="138">
        <f t="shared" si="66"/>
        <v>1.3140000000000001</v>
      </c>
      <c r="L149" s="138">
        <f t="shared" si="66"/>
        <v>1.3580000000000001</v>
      </c>
      <c r="M149" s="138">
        <f t="shared" si="66"/>
        <v>1.31</v>
      </c>
      <c r="N149" s="178" t="s">
        <v>109</v>
      </c>
    </row>
    <row r="150" spans="1:14">
      <c r="B150" s="264" t="s">
        <v>155</v>
      </c>
      <c r="C150" s="255"/>
      <c r="F150" s="58">
        <f t="shared" ref="F150:M150" si="67">(F147+F148)*F146*F149</f>
        <v>1.3608681680000001</v>
      </c>
      <c r="G150" s="58">
        <f t="shared" si="67"/>
        <v>3.5830915999999999</v>
      </c>
      <c r="H150" s="58">
        <f t="shared" si="67"/>
        <v>0</v>
      </c>
      <c r="I150" s="58">
        <f t="shared" si="67"/>
        <v>0</v>
      </c>
      <c r="J150" s="58">
        <f t="shared" si="67"/>
        <v>0</v>
      </c>
      <c r="K150" s="58">
        <f t="shared" si="67"/>
        <v>0</v>
      </c>
      <c r="L150" s="58">
        <f t="shared" si="67"/>
        <v>0</v>
      </c>
      <c r="M150" s="58">
        <f t="shared" si="67"/>
        <v>0</v>
      </c>
      <c r="N150" s="178"/>
    </row>
    <row r="151" spans="1:14" ht="13.5">
      <c r="B151" s="120"/>
      <c r="C151" s="255"/>
      <c r="N151" s="178"/>
    </row>
    <row r="152" spans="1:14">
      <c r="A152" s="131" t="s">
        <v>236</v>
      </c>
      <c r="B152" s="136" t="s">
        <v>145</v>
      </c>
      <c r="C152" s="255"/>
      <c r="F152" s="138">
        <f>FTIRGDepn3</f>
        <v>1.0999999999999999E-2</v>
      </c>
      <c r="G152" s="138">
        <f t="shared" ref="G152:M152" si="68">FTIRGDepn3</f>
        <v>1.319</v>
      </c>
      <c r="H152" s="138">
        <f t="shared" si="68"/>
        <v>0</v>
      </c>
      <c r="I152" s="138">
        <f t="shared" si="68"/>
        <v>0</v>
      </c>
      <c r="J152" s="138">
        <f t="shared" si="68"/>
        <v>0</v>
      </c>
      <c r="K152" s="138">
        <f t="shared" si="68"/>
        <v>0</v>
      </c>
      <c r="L152" s="138">
        <f t="shared" si="68"/>
        <v>0</v>
      </c>
      <c r="M152" s="138">
        <f t="shared" si="68"/>
        <v>0</v>
      </c>
      <c r="N152" s="178" t="s">
        <v>372</v>
      </c>
    </row>
    <row r="153" spans="1:14">
      <c r="A153" s="136" t="s">
        <v>230</v>
      </c>
      <c r="B153" s="136" t="s">
        <v>146</v>
      </c>
      <c r="C153" s="255"/>
      <c r="F153" s="138">
        <f>AFFTIRGDepn3</f>
        <v>0</v>
      </c>
      <c r="G153" s="138">
        <f t="shared" ref="G153:M153" si="69">AFFTIRGDepn3</f>
        <v>0</v>
      </c>
      <c r="H153" s="138">
        <f t="shared" si="69"/>
        <v>0</v>
      </c>
      <c r="I153" s="138">
        <f t="shared" si="69"/>
        <v>0</v>
      </c>
      <c r="J153" s="138">
        <f t="shared" si="69"/>
        <v>0</v>
      </c>
      <c r="K153" s="138">
        <f t="shared" si="69"/>
        <v>0</v>
      </c>
      <c r="L153" s="138">
        <f t="shared" si="69"/>
        <v>0</v>
      </c>
      <c r="M153" s="138">
        <f t="shared" si="69"/>
        <v>0</v>
      </c>
      <c r="N153" s="178" t="s">
        <v>337</v>
      </c>
    </row>
    <row r="154" spans="1:14">
      <c r="A154" s="325" t="s">
        <v>54</v>
      </c>
      <c r="B154" s="136" t="s">
        <v>109</v>
      </c>
      <c r="C154" s="255" t="s">
        <v>110</v>
      </c>
      <c r="F154" s="190">
        <f t="shared" ref="F154:M154" si="70">RPIF</f>
        <v>1.163</v>
      </c>
      <c r="G154" s="190">
        <f t="shared" si="70"/>
        <v>1.2050000000000001</v>
      </c>
      <c r="H154" s="190">
        <f t="shared" si="70"/>
        <v>1.2270000000000001</v>
      </c>
      <c r="I154" s="190">
        <f t="shared" si="70"/>
        <v>1.2330000000000001</v>
      </c>
      <c r="J154" s="190">
        <f t="shared" si="70"/>
        <v>1.2709999999999999</v>
      </c>
      <c r="K154" s="190">
        <f t="shared" si="70"/>
        <v>1.3140000000000001</v>
      </c>
      <c r="L154" s="190">
        <f t="shared" si="70"/>
        <v>1.3580000000000001</v>
      </c>
      <c r="M154" s="190">
        <f t="shared" si="70"/>
        <v>1.31</v>
      </c>
      <c r="N154" s="178" t="s">
        <v>109</v>
      </c>
    </row>
    <row r="155" spans="1:14">
      <c r="B155" s="264" t="s">
        <v>156</v>
      </c>
      <c r="C155" s="255"/>
      <c r="F155" s="58">
        <f t="shared" ref="F155:M155" si="71">(F152+F153)*F154</f>
        <v>1.2792999999999999E-2</v>
      </c>
      <c r="G155" s="58">
        <f t="shared" si="71"/>
        <v>1.5893950000000001</v>
      </c>
      <c r="H155" s="58">
        <f t="shared" si="71"/>
        <v>0</v>
      </c>
      <c r="I155" s="58">
        <f t="shared" si="71"/>
        <v>0</v>
      </c>
      <c r="J155" s="58">
        <f t="shared" si="71"/>
        <v>0</v>
      </c>
      <c r="K155" s="58">
        <f t="shared" si="71"/>
        <v>0</v>
      </c>
      <c r="L155" s="58">
        <f t="shared" si="71"/>
        <v>0</v>
      </c>
      <c r="M155" s="58">
        <f t="shared" si="71"/>
        <v>0</v>
      </c>
      <c r="N155" s="178"/>
    </row>
    <row r="156" spans="1:14">
      <c r="C156" s="255"/>
      <c r="M156" s="196"/>
      <c r="N156" s="178"/>
    </row>
    <row r="157" spans="1:14">
      <c r="B157" s="136" t="s">
        <v>140</v>
      </c>
      <c r="C157" s="255" t="s">
        <v>1</v>
      </c>
      <c r="F157" s="58">
        <f t="shared" ref="F157:M157" si="72">F150+F155</f>
        <v>1.3736611680000002</v>
      </c>
      <c r="G157" s="58">
        <f t="shared" si="72"/>
        <v>5.1724866</v>
      </c>
      <c r="H157" s="58">
        <f t="shared" si="72"/>
        <v>0</v>
      </c>
      <c r="I157" s="58">
        <f t="shared" si="72"/>
        <v>0</v>
      </c>
      <c r="J157" s="58">
        <f t="shared" si="72"/>
        <v>0</v>
      </c>
      <c r="K157" s="58">
        <f t="shared" si="72"/>
        <v>0</v>
      </c>
      <c r="L157" s="58">
        <f t="shared" si="72"/>
        <v>0</v>
      </c>
      <c r="M157" s="58">
        <f t="shared" si="72"/>
        <v>0</v>
      </c>
      <c r="N157" s="178" t="s">
        <v>140</v>
      </c>
    </row>
    <row r="158" spans="1:14" ht="13.5">
      <c r="A158" s="120"/>
      <c r="C158" s="255"/>
      <c r="N158" s="178"/>
    </row>
    <row r="159" spans="1:14" ht="13.5">
      <c r="A159" s="120"/>
      <c r="C159" s="255"/>
      <c r="N159" s="178"/>
    </row>
    <row r="160" spans="1:14" ht="13.9">
      <c r="A160" s="147" t="s">
        <v>274</v>
      </c>
      <c r="C160" s="255"/>
      <c r="N160" s="178"/>
    </row>
    <row r="161" spans="1:14" ht="13.5">
      <c r="A161" s="198" t="s">
        <v>355</v>
      </c>
      <c r="C161" s="255"/>
      <c r="N161" s="178"/>
    </row>
    <row r="162" spans="1:14">
      <c r="A162" s="154" t="s">
        <v>490</v>
      </c>
      <c r="C162" s="255"/>
      <c r="N162" s="178"/>
    </row>
    <row r="163" spans="1:14" ht="14.25">
      <c r="A163" s="120"/>
      <c r="C163" s="255"/>
      <c r="F163" s="117">
        <v>2014</v>
      </c>
      <c r="G163" s="117">
        <v>2015</v>
      </c>
      <c r="H163" s="117">
        <v>2016</v>
      </c>
      <c r="I163" s="117">
        <v>2017</v>
      </c>
      <c r="J163" s="117">
        <v>2018</v>
      </c>
      <c r="K163" s="117">
        <v>2019</v>
      </c>
      <c r="L163" s="117">
        <v>2020</v>
      </c>
      <c r="M163" s="117">
        <v>2021</v>
      </c>
      <c r="N163" s="178"/>
    </row>
    <row r="164" spans="1:14">
      <c r="A164" s="136" t="s">
        <v>226</v>
      </c>
      <c r="B164" s="136" t="s">
        <v>135</v>
      </c>
      <c r="C164" s="258" t="s">
        <v>98</v>
      </c>
      <c r="F164" s="173">
        <f t="shared" ref="F164:M164" si="73">CCTIRG</f>
        <v>8.7999999999999995E-2</v>
      </c>
      <c r="G164" s="173">
        <f t="shared" si="73"/>
        <v>8.7999999999999995E-2</v>
      </c>
      <c r="H164" s="173">
        <f t="shared" si="73"/>
        <v>8.7999999999999995E-2</v>
      </c>
      <c r="I164" s="173">
        <f t="shared" si="73"/>
        <v>8.7999999999999995E-2</v>
      </c>
      <c r="J164" s="173">
        <f t="shared" si="73"/>
        <v>8.7999999999999995E-2</v>
      </c>
      <c r="K164" s="173">
        <f t="shared" si="73"/>
        <v>8.7999999999999995E-2</v>
      </c>
      <c r="L164" s="173">
        <f t="shared" si="73"/>
        <v>8.7999999999999995E-2</v>
      </c>
      <c r="M164" s="173">
        <f t="shared" si="73"/>
        <v>8.7999999999999995E-2</v>
      </c>
      <c r="N164" s="178" t="s">
        <v>135</v>
      </c>
    </row>
    <row r="165" spans="1:14">
      <c r="A165" s="131" t="s">
        <v>239</v>
      </c>
      <c r="B165" s="136" t="s">
        <v>137</v>
      </c>
      <c r="C165" s="291" t="s">
        <v>1</v>
      </c>
      <c r="F165" s="138">
        <f>ETIRGC3</f>
        <v>0</v>
      </c>
      <c r="G165" s="138">
        <f t="shared" ref="G165:M165" si="74">ETIRGC3</f>
        <v>0</v>
      </c>
      <c r="H165" s="138">
        <f t="shared" si="74"/>
        <v>40.186</v>
      </c>
      <c r="I165" s="138">
        <f t="shared" si="74"/>
        <v>38.125</v>
      </c>
      <c r="J165" s="138">
        <f t="shared" si="74"/>
        <v>36.064</v>
      </c>
      <c r="K165" s="138">
        <f t="shared" si="74"/>
        <v>34.003</v>
      </c>
      <c r="L165" s="138">
        <f t="shared" si="74"/>
        <v>31.942</v>
      </c>
      <c r="M165" s="138">
        <f t="shared" si="74"/>
        <v>0</v>
      </c>
      <c r="N165" s="178" t="s">
        <v>373</v>
      </c>
    </row>
    <row r="166" spans="1:14">
      <c r="C166" s="258"/>
      <c r="N166" s="178"/>
    </row>
    <row r="167" spans="1:14">
      <c r="A167" s="136" t="s">
        <v>232</v>
      </c>
      <c r="B167" s="136" t="s">
        <v>147</v>
      </c>
      <c r="C167" s="291" t="s">
        <v>1</v>
      </c>
      <c r="F167" s="138">
        <f>SAFTIRG3</f>
        <v>0</v>
      </c>
      <c r="G167" s="138">
        <f t="shared" ref="G167:M167" si="75">SAFTIRG3</f>
        <v>0</v>
      </c>
      <c r="H167" s="138">
        <f t="shared" si="75"/>
        <v>0</v>
      </c>
      <c r="I167" s="138">
        <f t="shared" si="75"/>
        <v>0</v>
      </c>
      <c r="J167" s="138">
        <f t="shared" si="75"/>
        <v>0</v>
      </c>
      <c r="K167" s="138">
        <f t="shared" si="75"/>
        <v>0</v>
      </c>
      <c r="L167" s="138">
        <f t="shared" si="75"/>
        <v>0</v>
      </c>
      <c r="M167" s="138">
        <f t="shared" si="75"/>
        <v>0</v>
      </c>
      <c r="N167" s="178" t="s">
        <v>261</v>
      </c>
    </row>
    <row r="168" spans="1:14">
      <c r="A168" s="131" t="s">
        <v>237</v>
      </c>
      <c r="B168" s="136" t="s">
        <v>133</v>
      </c>
      <c r="C168" s="291" t="s">
        <v>1</v>
      </c>
      <c r="F168" s="138">
        <f>ETIRGORAV3</f>
        <v>0</v>
      </c>
      <c r="G168" s="138">
        <f t="shared" ref="G168:M168" si="76">ETIRGORAV3</f>
        <v>0</v>
      </c>
      <c r="H168" s="138">
        <f t="shared" si="76"/>
        <v>41.215000000000003</v>
      </c>
      <c r="I168" s="138">
        <f t="shared" si="76"/>
        <v>0</v>
      </c>
      <c r="J168" s="138">
        <f t="shared" si="76"/>
        <v>0</v>
      </c>
      <c r="K168" s="138">
        <f t="shared" si="76"/>
        <v>0</v>
      </c>
      <c r="L168" s="138">
        <f t="shared" si="76"/>
        <v>0</v>
      </c>
      <c r="M168" s="138">
        <f t="shared" si="76"/>
        <v>0</v>
      </c>
      <c r="N168" s="178" t="s">
        <v>374</v>
      </c>
    </row>
    <row r="169" spans="1:14">
      <c r="A169" s="136" t="s">
        <v>148</v>
      </c>
      <c r="B169" s="136" t="s">
        <v>149</v>
      </c>
      <c r="C169" s="258" t="s">
        <v>110</v>
      </c>
      <c r="F169" s="58">
        <f t="shared" ref="F169:G169" si="77">IF(F167&gt;0,F167/F168,1)</f>
        <v>1</v>
      </c>
      <c r="G169" s="58">
        <f t="shared" si="77"/>
        <v>1</v>
      </c>
      <c r="H169" s="58">
        <f>IF(H167&gt;0,H167/H168,1)</f>
        <v>1</v>
      </c>
      <c r="I169" s="58">
        <f t="shared" ref="I169:M169" si="78">IF(I167&gt;0,I167/I168,1)</f>
        <v>1</v>
      </c>
      <c r="J169" s="58">
        <f t="shared" si="78"/>
        <v>1</v>
      </c>
      <c r="K169" s="58">
        <f t="shared" si="78"/>
        <v>1</v>
      </c>
      <c r="L169" s="58">
        <f t="shared" si="78"/>
        <v>1</v>
      </c>
      <c r="M169" s="58">
        <f t="shared" si="78"/>
        <v>1</v>
      </c>
      <c r="N169" s="178" t="s">
        <v>375</v>
      </c>
    </row>
    <row r="170" spans="1:14">
      <c r="C170" s="258"/>
      <c r="N170" s="178"/>
    </row>
    <row r="171" spans="1:14">
      <c r="A171" s="325" t="s">
        <v>54</v>
      </c>
      <c r="B171" s="136" t="s">
        <v>109</v>
      </c>
      <c r="C171" s="258" t="s">
        <v>110</v>
      </c>
      <c r="F171" s="190">
        <f t="shared" ref="F171:M171" si="79">RPIF</f>
        <v>1.163</v>
      </c>
      <c r="G171" s="190">
        <f t="shared" si="79"/>
        <v>1.2050000000000001</v>
      </c>
      <c r="H171" s="190">
        <f t="shared" si="79"/>
        <v>1.2270000000000001</v>
      </c>
      <c r="I171" s="190">
        <f t="shared" si="79"/>
        <v>1.2330000000000001</v>
      </c>
      <c r="J171" s="190">
        <f t="shared" si="79"/>
        <v>1.2709999999999999</v>
      </c>
      <c r="K171" s="190">
        <f t="shared" si="79"/>
        <v>1.3140000000000001</v>
      </c>
      <c r="L171" s="190">
        <f t="shared" si="79"/>
        <v>1.3580000000000001</v>
      </c>
      <c r="M171" s="190">
        <f t="shared" si="79"/>
        <v>1.31</v>
      </c>
      <c r="N171" s="178" t="s">
        <v>109</v>
      </c>
    </row>
    <row r="172" spans="1:14">
      <c r="C172" s="258"/>
      <c r="N172" s="178"/>
    </row>
    <row r="173" spans="1:14">
      <c r="A173" s="136" t="s">
        <v>228</v>
      </c>
      <c r="C173" s="258" t="s">
        <v>1</v>
      </c>
      <c r="F173" s="58">
        <f>F164*(F169*F165)*F171</f>
        <v>0</v>
      </c>
      <c r="G173" s="58">
        <f t="shared" ref="G173:M173" si="80">G164*(G169*G165)*G171</f>
        <v>0</v>
      </c>
      <c r="H173" s="58">
        <f t="shared" si="80"/>
        <v>4.3391235360000007</v>
      </c>
      <c r="I173" s="58">
        <f t="shared" si="80"/>
        <v>4.1367150000000006</v>
      </c>
      <c r="J173" s="58">
        <f t="shared" si="80"/>
        <v>4.0336862719999997</v>
      </c>
      <c r="K173" s="58">
        <f t="shared" si="80"/>
        <v>3.9318348960000002</v>
      </c>
      <c r="L173" s="58">
        <f t="shared" si="80"/>
        <v>3.8171967680000005</v>
      </c>
      <c r="M173" s="58">
        <f t="shared" si="80"/>
        <v>0</v>
      </c>
      <c r="N173" s="178"/>
    </row>
    <row r="174" spans="1:14">
      <c r="C174" s="255"/>
      <c r="N174" s="178"/>
    </row>
    <row r="175" spans="1:14">
      <c r="A175" s="154" t="s">
        <v>490</v>
      </c>
      <c r="C175" s="255"/>
      <c r="N175" s="178"/>
    </row>
    <row r="176" spans="1:14">
      <c r="C176" s="255"/>
      <c r="N176" s="178"/>
    </row>
    <row r="177" spans="1:14">
      <c r="C177" s="255"/>
      <c r="N177" s="178"/>
    </row>
    <row r="178" spans="1:14" ht="14.25">
      <c r="C178" s="255"/>
      <c r="F178" s="117">
        <v>2014</v>
      </c>
      <c r="G178" s="117">
        <v>2015</v>
      </c>
      <c r="H178" s="117">
        <v>2016</v>
      </c>
      <c r="I178" s="117">
        <v>2017</v>
      </c>
      <c r="J178" s="117">
        <v>2018</v>
      </c>
      <c r="K178" s="117">
        <v>2019</v>
      </c>
      <c r="L178" s="117">
        <v>2020</v>
      </c>
      <c r="M178" s="117">
        <v>2021</v>
      </c>
      <c r="N178" s="178"/>
    </row>
    <row r="179" spans="1:14">
      <c r="A179" s="131" t="s">
        <v>238</v>
      </c>
      <c r="B179" s="136" t="s">
        <v>134</v>
      </c>
      <c r="C179" s="255" t="s">
        <v>1</v>
      </c>
      <c r="F179" s="138">
        <f t="shared" ref="F179:M179" si="81">Dep_3</f>
        <v>0</v>
      </c>
      <c r="G179" s="138">
        <f t="shared" si="81"/>
        <v>0</v>
      </c>
      <c r="H179" s="138">
        <f t="shared" si="81"/>
        <v>2.0609999999999999</v>
      </c>
      <c r="I179" s="138">
        <f t="shared" si="81"/>
        <v>2.0609999999999999</v>
      </c>
      <c r="J179" s="138">
        <f t="shared" si="81"/>
        <v>2.0609999999999999</v>
      </c>
      <c r="K179" s="138">
        <f t="shared" si="81"/>
        <v>2.0609999999999999</v>
      </c>
      <c r="L179" s="138">
        <f t="shared" si="81"/>
        <v>2.0609999999999999</v>
      </c>
      <c r="M179" s="138">
        <f t="shared" si="81"/>
        <v>0</v>
      </c>
      <c r="N179" s="178" t="s">
        <v>378</v>
      </c>
    </row>
    <row r="180" spans="1:14">
      <c r="A180" s="136" t="s">
        <v>148</v>
      </c>
      <c r="B180" s="136" t="s">
        <v>149</v>
      </c>
      <c r="C180" s="255" t="s">
        <v>110</v>
      </c>
      <c r="F180" s="138">
        <f t="shared" ref="F180:M180" si="82">F169</f>
        <v>1</v>
      </c>
      <c r="G180" s="138">
        <f t="shared" si="82"/>
        <v>1</v>
      </c>
      <c r="H180" s="138">
        <f t="shared" si="82"/>
        <v>1</v>
      </c>
      <c r="I180" s="138">
        <f t="shared" si="82"/>
        <v>1</v>
      </c>
      <c r="J180" s="138">
        <f t="shared" si="82"/>
        <v>1</v>
      </c>
      <c r="K180" s="138">
        <f t="shared" si="82"/>
        <v>1</v>
      </c>
      <c r="L180" s="138">
        <f t="shared" si="82"/>
        <v>1</v>
      </c>
      <c r="M180" s="138">
        <f t="shared" si="82"/>
        <v>1</v>
      </c>
      <c r="N180" s="178" t="s">
        <v>375</v>
      </c>
    </row>
    <row r="181" spans="1:14">
      <c r="A181" s="325" t="s">
        <v>54</v>
      </c>
      <c r="B181" s="136" t="s">
        <v>109</v>
      </c>
      <c r="C181" s="255" t="s">
        <v>110</v>
      </c>
      <c r="F181" s="190">
        <f t="shared" ref="F181:M181" si="83">RPIF</f>
        <v>1.163</v>
      </c>
      <c r="G181" s="190">
        <f t="shared" si="83"/>
        <v>1.2050000000000001</v>
      </c>
      <c r="H181" s="190">
        <f t="shared" si="83"/>
        <v>1.2270000000000001</v>
      </c>
      <c r="I181" s="190">
        <f t="shared" si="83"/>
        <v>1.2330000000000001</v>
      </c>
      <c r="J181" s="190">
        <f t="shared" si="83"/>
        <v>1.2709999999999999</v>
      </c>
      <c r="K181" s="190">
        <f t="shared" si="83"/>
        <v>1.3140000000000001</v>
      </c>
      <c r="L181" s="190">
        <f t="shared" si="83"/>
        <v>1.3580000000000001</v>
      </c>
      <c r="M181" s="190">
        <f t="shared" si="83"/>
        <v>1.31</v>
      </c>
      <c r="N181" s="178" t="s">
        <v>109</v>
      </c>
    </row>
    <row r="182" spans="1:14">
      <c r="A182" s="136" t="s">
        <v>179</v>
      </c>
      <c r="C182" s="255"/>
      <c r="F182" s="58">
        <f t="shared" ref="F182:M182" si="84">F179*F180*F181</f>
        <v>0</v>
      </c>
      <c r="G182" s="58">
        <f t="shared" si="84"/>
        <v>0</v>
      </c>
      <c r="H182" s="58">
        <f t="shared" si="84"/>
        <v>2.5288470000000003</v>
      </c>
      <c r="I182" s="58">
        <f t="shared" si="84"/>
        <v>2.5412129999999999</v>
      </c>
      <c r="J182" s="58">
        <f t="shared" si="84"/>
        <v>2.6195309999999998</v>
      </c>
      <c r="K182" s="58">
        <f t="shared" si="84"/>
        <v>2.708154</v>
      </c>
      <c r="L182" s="58">
        <f t="shared" si="84"/>
        <v>2.7988379999999999</v>
      </c>
      <c r="M182" s="58">
        <f t="shared" si="84"/>
        <v>0</v>
      </c>
      <c r="N182" s="178"/>
    </row>
    <row r="183" spans="1:14">
      <c r="C183" s="255"/>
      <c r="N183" s="178"/>
    </row>
    <row r="184" spans="1:14">
      <c r="B184" s="136" t="s">
        <v>141</v>
      </c>
      <c r="C184" s="255" t="s">
        <v>1</v>
      </c>
      <c r="F184" s="58">
        <f t="shared" ref="F184:M184" si="85">F173+F182</f>
        <v>0</v>
      </c>
      <c r="G184" s="58">
        <f t="shared" si="85"/>
        <v>0</v>
      </c>
      <c r="H184" s="58">
        <f>H173+H182</f>
        <v>6.8679705360000014</v>
      </c>
      <c r="I184" s="58">
        <f t="shared" si="85"/>
        <v>6.6779280000000005</v>
      </c>
      <c r="J184" s="58">
        <f t="shared" si="85"/>
        <v>6.6532172719999991</v>
      </c>
      <c r="K184" s="58">
        <f t="shared" si="85"/>
        <v>6.6399888960000002</v>
      </c>
      <c r="L184" s="58">
        <f t="shared" si="85"/>
        <v>6.6160347680000005</v>
      </c>
      <c r="M184" s="58">
        <f t="shared" si="85"/>
        <v>0</v>
      </c>
      <c r="N184" s="178" t="s">
        <v>376</v>
      </c>
    </row>
    <row r="185" spans="1:14">
      <c r="C185" s="255"/>
      <c r="F185" s="194"/>
      <c r="G185" s="194"/>
      <c r="H185" s="194"/>
      <c r="I185" s="194"/>
      <c r="J185" s="194"/>
      <c r="K185" s="194"/>
      <c r="L185" s="194"/>
      <c r="M185" s="194"/>
      <c r="N185" s="178"/>
    </row>
    <row r="186" spans="1:14">
      <c r="C186" s="255"/>
      <c r="F186" s="194"/>
      <c r="G186" s="194"/>
      <c r="H186" s="194"/>
      <c r="I186" s="194"/>
      <c r="J186" s="194"/>
      <c r="K186" s="194"/>
      <c r="L186" s="194"/>
      <c r="M186" s="194"/>
      <c r="N186" s="178"/>
    </row>
    <row r="187" spans="1:14">
      <c r="A187" s="136" t="s">
        <v>242</v>
      </c>
      <c r="B187" s="136" t="s">
        <v>139</v>
      </c>
      <c r="C187" s="255" t="s">
        <v>1</v>
      </c>
      <c r="F187" s="192">
        <f t="shared" ref="F187:M187" si="86">TIRGIncAdj3</f>
        <v>0</v>
      </c>
      <c r="G187" s="192">
        <f t="shared" si="86"/>
        <v>0</v>
      </c>
      <c r="H187" s="192">
        <f t="shared" si="86"/>
        <v>0</v>
      </c>
      <c r="I187" s="192">
        <f t="shared" si="86"/>
        <v>0</v>
      </c>
      <c r="J187" s="192">
        <f t="shared" si="86"/>
        <v>0</v>
      </c>
      <c r="K187" s="192">
        <f t="shared" si="86"/>
        <v>0</v>
      </c>
      <c r="L187" s="192">
        <f t="shared" si="86"/>
        <v>0</v>
      </c>
      <c r="M187" s="192">
        <f t="shared" si="86"/>
        <v>0</v>
      </c>
      <c r="N187" s="178" t="s">
        <v>338</v>
      </c>
    </row>
    <row r="188" spans="1:14">
      <c r="A188" s="351" t="s">
        <v>597</v>
      </c>
      <c r="B188" s="136" t="s">
        <v>142</v>
      </c>
      <c r="C188" s="255" t="s">
        <v>1</v>
      </c>
      <c r="F188" s="192">
        <f t="shared" ref="F188:M188" si="87">ATIRG3</f>
        <v>0</v>
      </c>
      <c r="G188" s="192">
        <f t="shared" si="87"/>
        <v>0</v>
      </c>
      <c r="H188" s="192">
        <f t="shared" si="87"/>
        <v>0</v>
      </c>
      <c r="I188" s="192">
        <f t="shared" si="87"/>
        <v>0</v>
      </c>
      <c r="J188" s="192">
        <f t="shared" si="87"/>
        <v>0</v>
      </c>
      <c r="K188" s="192">
        <f t="shared" si="87"/>
        <v>0</v>
      </c>
      <c r="L188" s="192">
        <f t="shared" si="87"/>
        <v>0</v>
      </c>
      <c r="M188" s="192">
        <f t="shared" si="87"/>
        <v>0</v>
      </c>
      <c r="N188" s="178" t="s">
        <v>339</v>
      </c>
    </row>
    <row r="189" spans="1:14">
      <c r="C189" s="255"/>
      <c r="F189" s="194"/>
      <c r="G189" s="194"/>
      <c r="H189" s="194"/>
      <c r="I189" s="194"/>
      <c r="J189" s="194"/>
      <c r="K189" s="194"/>
      <c r="L189" s="194"/>
      <c r="M189" s="194"/>
      <c r="N189" s="178"/>
    </row>
    <row r="190" spans="1:14">
      <c r="C190" s="255"/>
      <c r="N190" s="178"/>
    </row>
    <row r="191" spans="1:14" ht="13.9">
      <c r="A191" s="147" t="s">
        <v>275</v>
      </c>
      <c r="C191" s="255"/>
      <c r="N191" s="178"/>
    </row>
    <row r="192" spans="1:14" ht="13.5">
      <c r="A192" s="198" t="s">
        <v>347</v>
      </c>
      <c r="C192" s="255"/>
      <c r="N192" s="178"/>
    </row>
    <row r="193" spans="1:14" ht="13.9">
      <c r="A193" s="147" t="s">
        <v>276</v>
      </c>
      <c r="C193" s="255"/>
      <c r="N193" s="178"/>
    </row>
    <row r="194" spans="1:14" ht="14.25">
      <c r="A194" s="154" t="s">
        <v>488</v>
      </c>
      <c r="C194" s="255"/>
      <c r="F194" s="117">
        <v>2014</v>
      </c>
      <c r="G194" s="117">
        <v>2015</v>
      </c>
      <c r="H194" s="117">
        <v>2016</v>
      </c>
      <c r="I194" s="117">
        <v>2017</v>
      </c>
      <c r="J194" s="117">
        <v>2018</v>
      </c>
      <c r="K194" s="117">
        <v>2019</v>
      </c>
      <c r="L194" s="117">
        <v>2020</v>
      </c>
      <c r="M194" s="117">
        <v>2021</v>
      </c>
      <c r="N194" s="178"/>
    </row>
    <row r="195" spans="1:14">
      <c r="A195" s="131" t="s">
        <v>394</v>
      </c>
      <c r="B195" s="136" t="s">
        <v>143</v>
      </c>
      <c r="C195" s="255" t="s">
        <v>1</v>
      </c>
      <c r="F195" s="138">
        <f>cftirg4</f>
        <v>0</v>
      </c>
      <c r="G195" s="138">
        <f t="shared" ref="G195:M195" si="88">cftirg4</f>
        <v>0</v>
      </c>
      <c r="H195" s="138">
        <f t="shared" si="88"/>
        <v>0</v>
      </c>
      <c r="I195" s="138">
        <f t="shared" si="88"/>
        <v>0</v>
      </c>
      <c r="J195" s="138">
        <f t="shared" si="88"/>
        <v>0</v>
      </c>
      <c r="K195" s="138">
        <f t="shared" si="88"/>
        <v>0</v>
      </c>
      <c r="L195" s="138">
        <f t="shared" si="88"/>
        <v>0</v>
      </c>
      <c r="M195" s="138">
        <f t="shared" si="88"/>
        <v>0</v>
      </c>
      <c r="N195" s="178" t="s">
        <v>589</v>
      </c>
    </row>
    <row r="196" spans="1:14">
      <c r="A196" s="325" t="s">
        <v>54</v>
      </c>
      <c r="B196" s="136" t="s">
        <v>109</v>
      </c>
      <c r="C196" s="255" t="s">
        <v>110</v>
      </c>
      <c r="F196" s="138">
        <f t="shared" ref="F196:M196" si="89">RPIF</f>
        <v>1.163</v>
      </c>
      <c r="G196" s="138">
        <f t="shared" si="89"/>
        <v>1.2050000000000001</v>
      </c>
      <c r="H196" s="138">
        <f t="shared" si="89"/>
        <v>1.2270000000000001</v>
      </c>
      <c r="I196" s="138">
        <f t="shared" si="89"/>
        <v>1.2330000000000001</v>
      </c>
      <c r="J196" s="138">
        <f t="shared" si="89"/>
        <v>1.2709999999999999</v>
      </c>
      <c r="K196" s="138">
        <f t="shared" si="89"/>
        <v>1.3140000000000001</v>
      </c>
      <c r="L196" s="138">
        <f t="shared" si="89"/>
        <v>1.3580000000000001</v>
      </c>
      <c r="M196" s="138">
        <f t="shared" si="89"/>
        <v>1.31</v>
      </c>
      <c r="N196" s="178" t="s">
        <v>109</v>
      </c>
    </row>
    <row r="197" spans="1:14">
      <c r="C197" s="255"/>
      <c r="N197" s="178"/>
    </row>
    <row r="198" spans="1:14" ht="13.5">
      <c r="A198" s="120" t="s">
        <v>157</v>
      </c>
      <c r="B198" s="136" t="s">
        <v>138</v>
      </c>
      <c r="C198" s="255" t="s">
        <v>1</v>
      </c>
      <c r="F198" s="58">
        <f t="shared" ref="F198:M198" si="90">F195*F196</f>
        <v>0</v>
      </c>
      <c r="G198" s="58">
        <f t="shared" si="90"/>
        <v>0</v>
      </c>
      <c r="H198" s="58">
        <f t="shared" si="90"/>
        <v>0</v>
      </c>
      <c r="I198" s="58">
        <f t="shared" si="90"/>
        <v>0</v>
      </c>
      <c r="J198" s="58">
        <f t="shared" si="90"/>
        <v>0</v>
      </c>
      <c r="K198" s="58">
        <f t="shared" si="90"/>
        <v>0</v>
      </c>
      <c r="L198" s="58">
        <f t="shared" si="90"/>
        <v>0</v>
      </c>
      <c r="M198" s="58">
        <f t="shared" si="90"/>
        <v>0</v>
      </c>
      <c r="N198" s="178"/>
    </row>
    <row r="199" spans="1:14" ht="13.5">
      <c r="A199" s="120"/>
      <c r="C199" s="255"/>
      <c r="N199" s="178"/>
    </row>
    <row r="200" spans="1:14" ht="13.5">
      <c r="A200" s="120"/>
      <c r="C200" s="255"/>
      <c r="N200" s="178"/>
    </row>
    <row r="201" spans="1:14" ht="13.9">
      <c r="A201" s="147" t="s">
        <v>277</v>
      </c>
      <c r="C201" s="255"/>
      <c r="N201" s="178"/>
    </row>
    <row r="202" spans="1:14" ht="13.5">
      <c r="A202" s="198" t="s">
        <v>347</v>
      </c>
      <c r="C202" s="255"/>
      <c r="N202" s="178"/>
    </row>
    <row r="203" spans="1:14" ht="14.25">
      <c r="A203" s="154" t="s">
        <v>489</v>
      </c>
      <c r="C203" s="255"/>
      <c r="F203" s="117">
        <v>2014</v>
      </c>
      <c r="G203" s="117">
        <v>2015</v>
      </c>
      <c r="H203" s="117">
        <v>2016</v>
      </c>
      <c r="I203" s="117">
        <v>2017</v>
      </c>
      <c r="J203" s="117">
        <v>2018</v>
      </c>
      <c r="K203" s="117">
        <v>2019</v>
      </c>
      <c r="L203" s="117">
        <v>2020</v>
      </c>
      <c r="M203" s="117">
        <v>2021</v>
      </c>
      <c r="N203" s="178"/>
    </row>
    <row r="204" spans="1:14">
      <c r="A204" s="136" t="s">
        <v>226</v>
      </c>
      <c r="B204" s="136" t="s">
        <v>135</v>
      </c>
      <c r="C204" s="255" t="s">
        <v>98</v>
      </c>
      <c r="F204" s="173">
        <f t="shared" ref="F204:M204" si="91">CCTIRG</f>
        <v>8.7999999999999995E-2</v>
      </c>
      <c r="G204" s="173">
        <f t="shared" si="91"/>
        <v>8.7999999999999995E-2</v>
      </c>
      <c r="H204" s="173">
        <f t="shared" si="91"/>
        <v>8.7999999999999995E-2</v>
      </c>
      <c r="I204" s="173">
        <f t="shared" si="91"/>
        <v>8.7999999999999995E-2</v>
      </c>
      <c r="J204" s="173">
        <f t="shared" si="91"/>
        <v>8.7999999999999995E-2</v>
      </c>
      <c r="K204" s="173">
        <f t="shared" si="91"/>
        <v>8.7999999999999995E-2</v>
      </c>
      <c r="L204" s="173">
        <f t="shared" si="91"/>
        <v>8.7999999999999995E-2</v>
      </c>
      <c r="M204" s="173">
        <f t="shared" si="91"/>
        <v>8.7999999999999995E-2</v>
      </c>
      <c r="N204" s="178" t="s">
        <v>135</v>
      </c>
    </row>
    <row r="205" spans="1:14">
      <c r="A205" s="131" t="s">
        <v>235</v>
      </c>
      <c r="B205" s="136" t="s">
        <v>131</v>
      </c>
      <c r="C205" s="255"/>
      <c r="F205" s="138">
        <f>FTIRGC4</f>
        <v>0</v>
      </c>
      <c r="G205" s="138">
        <f t="shared" ref="G205:M205" si="92">FTIRGC4</f>
        <v>0</v>
      </c>
      <c r="H205" s="138">
        <f t="shared" si="92"/>
        <v>0</v>
      </c>
      <c r="I205" s="138">
        <f t="shared" si="92"/>
        <v>0</v>
      </c>
      <c r="J205" s="138">
        <f t="shared" si="92"/>
        <v>0</v>
      </c>
      <c r="K205" s="138">
        <f t="shared" si="92"/>
        <v>0</v>
      </c>
      <c r="L205" s="138">
        <f t="shared" si="92"/>
        <v>0</v>
      </c>
      <c r="M205" s="138">
        <f t="shared" si="92"/>
        <v>0</v>
      </c>
      <c r="N205" s="178" t="s">
        <v>381</v>
      </c>
    </row>
    <row r="206" spans="1:14">
      <c r="A206" s="136" t="s">
        <v>227</v>
      </c>
      <c r="B206" s="136" t="s">
        <v>144</v>
      </c>
      <c r="C206" s="255"/>
      <c r="F206" s="138">
        <f>AFFTIRG4</f>
        <v>0</v>
      </c>
      <c r="G206" s="138">
        <f t="shared" ref="G206:M206" si="93">AFFTIRG4</f>
        <v>0</v>
      </c>
      <c r="H206" s="138">
        <f t="shared" si="93"/>
        <v>0</v>
      </c>
      <c r="I206" s="138">
        <f t="shared" si="93"/>
        <v>0</v>
      </c>
      <c r="J206" s="138">
        <f t="shared" si="93"/>
        <v>0</v>
      </c>
      <c r="K206" s="138">
        <f t="shared" si="93"/>
        <v>0</v>
      </c>
      <c r="L206" s="138">
        <f t="shared" si="93"/>
        <v>0</v>
      </c>
      <c r="M206" s="138">
        <f t="shared" si="93"/>
        <v>0</v>
      </c>
      <c r="N206" s="178" t="s">
        <v>340</v>
      </c>
    </row>
    <row r="207" spans="1:14">
      <c r="A207" s="325" t="s">
        <v>54</v>
      </c>
      <c r="B207" s="136" t="s">
        <v>109</v>
      </c>
      <c r="C207" s="255" t="s">
        <v>110</v>
      </c>
      <c r="F207" s="138">
        <f t="shared" ref="F207:M207" si="94">RPIF</f>
        <v>1.163</v>
      </c>
      <c r="G207" s="138">
        <f t="shared" si="94"/>
        <v>1.2050000000000001</v>
      </c>
      <c r="H207" s="138">
        <f t="shared" si="94"/>
        <v>1.2270000000000001</v>
      </c>
      <c r="I207" s="138">
        <f t="shared" si="94"/>
        <v>1.2330000000000001</v>
      </c>
      <c r="J207" s="138">
        <f t="shared" si="94"/>
        <v>1.2709999999999999</v>
      </c>
      <c r="K207" s="138">
        <f t="shared" si="94"/>
        <v>1.3140000000000001</v>
      </c>
      <c r="L207" s="138">
        <f t="shared" si="94"/>
        <v>1.3580000000000001</v>
      </c>
      <c r="M207" s="138">
        <f t="shared" si="94"/>
        <v>1.31</v>
      </c>
      <c r="N207" s="178" t="s">
        <v>109</v>
      </c>
    </row>
    <row r="208" spans="1:14">
      <c r="B208" s="264" t="s">
        <v>155</v>
      </c>
      <c r="C208" s="255"/>
      <c r="F208" s="58">
        <f t="shared" ref="F208:M208" si="95">(F205+F206)*F204*F207</f>
        <v>0</v>
      </c>
      <c r="G208" s="58">
        <f t="shared" si="95"/>
        <v>0</v>
      </c>
      <c r="H208" s="58">
        <f t="shared" si="95"/>
        <v>0</v>
      </c>
      <c r="I208" s="58">
        <f t="shared" si="95"/>
        <v>0</v>
      </c>
      <c r="J208" s="58">
        <f t="shared" si="95"/>
        <v>0</v>
      </c>
      <c r="K208" s="58">
        <f t="shared" si="95"/>
        <v>0</v>
      </c>
      <c r="L208" s="58">
        <f t="shared" si="95"/>
        <v>0</v>
      </c>
      <c r="M208" s="58">
        <f t="shared" si="95"/>
        <v>0</v>
      </c>
      <c r="N208" s="178"/>
    </row>
    <row r="209" spans="1:14" ht="13.5">
      <c r="B209" s="120"/>
      <c r="C209" s="255"/>
      <c r="N209" s="178"/>
    </row>
    <row r="210" spans="1:14">
      <c r="A210" s="131" t="s">
        <v>236</v>
      </c>
      <c r="B210" s="136" t="s">
        <v>145</v>
      </c>
      <c r="C210" s="255"/>
      <c r="F210" s="138">
        <f>FTIRGDepn4</f>
        <v>0</v>
      </c>
      <c r="G210" s="138">
        <f t="shared" ref="G210:M210" si="96">FTIRGDepn4</f>
        <v>0</v>
      </c>
      <c r="H210" s="138">
        <f t="shared" si="96"/>
        <v>0</v>
      </c>
      <c r="I210" s="138">
        <f t="shared" si="96"/>
        <v>0</v>
      </c>
      <c r="J210" s="138">
        <f t="shared" si="96"/>
        <v>0</v>
      </c>
      <c r="K210" s="138">
        <f t="shared" si="96"/>
        <v>0</v>
      </c>
      <c r="L210" s="138">
        <f t="shared" si="96"/>
        <v>0</v>
      </c>
      <c r="M210" s="138">
        <f t="shared" si="96"/>
        <v>0</v>
      </c>
      <c r="N210" s="178" t="s">
        <v>591</v>
      </c>
    </row>
    <row r="211" spans="1:14">
      <c r="A211" s="136" t="s">
        <v>230</v>
      </c>
      <c r="B211" s="136" t="s">
        <v>146</v>
      </c>
      <c r="C211" s="255"/>
      <c r="F211" s="138">
        <f>AFFTIRGDepn4</f>
        <v>0</v>
      </c>
      <c r="G211" s="138">
        <f t="shared" ref="G211:M211" si="97">AFFTIRGDepn4</f>
        <v>0</v>
      </c>
      <c r="H211" s="138">
        <f t="shared" si="97"/>
        <v>0</v>
      </c>
      <c r="I211" s="138">
        <f t="shared" si="97"/>
        <v>0</v>
      </c>
      <c r="J211" s="138">
        <f t="shared" si="97"/>
        <v>0</v>
      </c>
      <c r="K211" s="138">
        <f t="shared" si="97"/>
        <v>0</v>
      </c>
      <c r="L211" s="138">
        <f t="shared" si="97"/>
        <v>0</v>
      </c>
      <c r="M211" s="138">
        <f t="shared" si="97"/>
        <v>0</v>
      </c>
      <c r="N211" s="178" t="s">
        <v>341</v>
      </c>
    </row>
    <row r="212" spans="1:14">
      <c r="A212" s="325" t="s">
        <v>54</v>
      </c>
      <c r="B212" s="136" t="s">
        <v>109</v>
      </c>
      <c r="C212" s="255" t="s">
        <v>110</v>
      </c>
      <c r="F212" s="190">
        <f t="shared" ref="F212:M212" si="98">RPIF</f>
        <v>1.163</v>
      </c>
      <c r="G212" s="190">
        <f t="shared" si="98"/>
        <v>1.2050000000000001</v>
      </c>
      <c r="H212" s="190">
        <f t="shared" si="98"/>
        <v>1.2270000000000001</v>
      </c>
      <c r="I212" s="190">
        <f t="shared" si="98"/>
        <v>1.2330000000000001</v>
      </c>
      <c r="J212" s="190">
        <f t="shared" si="98"/>
        <v>1.2709999999999999</v>
      </c>
      <c r="K212" s="190">
        <f t="shared" si="98"/>
        <v>1.3140000000000001</v>
      </c>
      <c r="L212" s="190">
        <f t="shared" si="98"/>
        <v>1.3580000000000001</v>
      </c>
      <c r="M212" s="190">
        <f t="shared" si="98"/>
        <v>1.31</v>
      </c>
      <c r="N212" s="178" t="s">
        <v>109</v>
      </c>
    </row>
    <row r="213" spans="1:14">
      <c r="B213" s="264" t="s">
        <v>156</v>
      </c>
      <c r="C213" s="255"/>
      <c r="F213" s="58">
        <f t="shared" ref="F213:M213" si="99">(F210+F211)*F212</f>
        <v>0</v>
      </c>
      <c r="G213" s="58">
        <f t="shared" si="99"/>
        <v>0</v>
      </c>
      <c r="H213" s="58">
        <f t="shared" si="99"/>
        <v>0</v>
      </c>
      <c r="I213" s="58">
        <f t="shared" si="99"/>
        <v>0</v>
      </c>
      <c r="J213" s="58">
        <f t="shared" si="99"/>
        <v>0</v>
      </c>
      <c r="K213" s="58">
        <f t="shared" si="99"/>
        <v>0</v>
      </c>
      <c r="L213" s="58">
        <f t="shared" si="99"/>
        <v>0</v>
      </c>
      <c r="M213" s="58">
        <f t="shared" si="99"/>
        <v>0</v>
      </c>
      <c r="N213" s="178"/>
    </row>
    <row r="214" spans="1:14">
      <c r="C214" s="255"/>
      <c r="F214" s="196"/>
      <c r="G214" s="196"/>
      <c r="H214" s="196"/>
      <c r="I214" s="196"/>
      <c r="J214" s="196"/>
      <c r="K214" s="196"/>
      <c r="L214" s="196"/>
      <c r="M214" s="196"/>
      <c r="N214" s="178"/>
    </row>
    <row r="215" spans="1:14">
      <c r="B215" s="136" t="s">
        <v>140</v>
      </c>
      <c r="C215" s="255" t="s">
        <v>1</v>
      </c>
      <c r="F215" s="58">
        <f t="shared" ref="F215:M215" si="100">F208+F213</f>
        <v>0</v>
      </c>
      <c r="G215" s="58">
        <f t="shared" si="100"/>
        <v>0</v>
      </c>
      <c r="H215" s="58">
        <f t="shared" si="100"/>
        <v>0</v>
      </c>
      <c r="I215" s="58">
        <f t="shared" si="100"/>
        <v>0</v>
      </c>
      <c r="J215" s="58">
        <f t="shared" si="100"/>
        <v>0</v>
      </c>
      <c r="K215" s="58">
        <f t="shared" si="100"/>
        <v>0</v>
      </c>
      <c r="L215" s="58">
        <f t="shared" si="100"/>
        <v>0</v>
      </c>
      <c r="M215" s="58">
        <f t="shared" si="100"/>
        <v>0</v>
      </c>
      <c r="N215" s="178"/>
    </row>
    <row r="216" spans="1:14" ht="13.5">
      <c r="A216" s="120"/>
      <c r="C216" s="255"/>
      <c r="N216" s="178"/>
    </row>
    <row r="217" spans="1:14" ht="13.5">
      <c r="A217" s="120"/>
      <c r="C217" s="255"/>
      <c r="N217" s="178"/>
    </row>
    <row r="218" spans="1:14" ht="13.9">
      <c r="A218" s="147" t="s">
        <v>278</v>
      </c>
      <c r="C218" s="255"/>
      <c r="N218" s="178"/>
    </row>
    <row r="219" spans="1:14" ht="13.5">
      <c r="A219" s="198" t="s">
        <v>347</v>
      </c>
      <c r="C219" s="255"/>
      <c r="N219" s="178"/>
    </row>
    <row r="220" spans="1:14">
      <c r="A220" s="154" t="s">
        <v>490</v>
      </c>
      <c r="C220" s="255"/>
      <c r="N220" s="178"/>
    </row>
    <row r="221" spans="1:14" ht="14.25">
      <c r="A221" s="120"/>
      <c r="C221" s="255"/>
      <c r="F221" s="117">
        <v>2014</v>
      </c>
      <c r="G221" s="117">
        <v>2015</v>
      </c>
      <c r="H221" s="117">
        <v>2016</v>
      </c>
      <c r="I221" s="117">
        <v>2017</v>
      </c>
      <c r="J221" s="117">
        <v>2018</v>
      </c>
      <c r="K221" s="117">
        <v>2019</v>
      </c>
      <c r="L221" s="117">
        <v>2020</v>
      </c>
      <c r="M221" s="117">
        <v>2021</v>
      </c>
      <c r="N221" s="178"/>
    </row>
    <row r="222" spans="1:14">
      <c r="A222" s="136" t="s">
        <v>226</v>
      </c>
      <c r="B222" s="136" t="s">
        <v>135</v>
      </c>
      <c r="C222" s="258" t="s">
        <v>98</v>
      </c>
      <c r="F222" s="173">
        <f t="shared" ref="F222:M222" si="101">CCTIRG</f>
        <v>8.7999999999999995E-2</v>
      </c>
      <c r="G222" s="173">
        <f t="shared" si="101"/>
        <v>8.7999999999999995E-2</v>
      </c>
      <c r="H222" s="173">
        <f t="shared" si="101"/>
        <v>8.7999999999999995E-2</v>
      </c>
      <c r="I222" s="173">
        <f t="shared" si="101"/>
        <v>8.7999999999999995E-2</v>
      </c>
      <c r="J222" s="173">
        <f t="shared" si="101"/>
        <v>8.7999999999999995E-2</v>
      </c>
      <c r="K222" s="173">
        <f t="shared" si="101"/>
        <v>8.7999999999999995E-2</v>
      </c>
      <c r="L222" s="173">
        <f t="shared" si="101"/>
        <v>8.7999999999999995E-2</v>
      </c>
      <c r="M222" s="173">
        <f t="shared" si="101"/>
        <v>8.7999999999999995E-2</v>
      </c>
      <c r="N222" s="178" t="s">
        <v>135</v>
      </c>
    </row>
    <row r="223" spans="1:14">
      <c r="A223" s="131" t="s">
        <v>239</v>
      </c>
      <c r="B223" s="136" t="s">
        <v>137</v>
      </c>
      <c r="C223" s="291" t="s">
        <v>1</v>
      </c>
      <c r="F223" s="138">
        <f t="shared" ref="F223:M223" si="102">ETIRGC4</f>
        <v>68.564999999999998</v>
      </c>
      <c r="G223" s="138">
        <f t="shared" si="102"/>
        <v>64.646000000000001</v>
      </c>
      <c r="H223" s="138">
        <f t="shared" si="102"/>
        <v>60.728999999999999</v>
      </c>
      <c r="I223" s="138">
        <f t="shared" si="102"/>
        <v>0</v>
      </c>
      <c r="J223" s="138">
        <f t="shared" si="102"/>
        <v>0</v>
      </c>
      <c r="K223" s="138">
        <f t="shared" si="102"/>
        <v>0</v>
      </c>
      <c r="L223" s="138">
        <f t="shared" si="102"/>
        <v>0</v>
      </c>
      <c r="M223" s="138">
        <f t="shared" si="102"/>
        <v>0</v>
      </c>
      <c r="N223" s="178" t="s">
        <v>363</v>
      </c>
    </row>
    <row r="224" spans="1:14">
      <c r="C224" s="258"/>
      <c r="N224" s="178"/>
    </row>
    <row r="225" spans="1:14">
      <c r="A225" s="136" t="s">
        <v>232</v>
      </c>
      <c r="B225" s="136" t="s">
        <v>147</v>
      </c>
      <c r="C225" s="291" t="s">
        <v>1</v>
      </c>
      <c r="F225" s="138">
        <f t="shared" ref="F225:M225" si="103">SAFTIRG4</f>
        <v>0</v>
      </c>
      <c r="G225" s="138">
        <f t="shared" si="103"/>
        <v>0</v>
      </c>
      <c r="H225" s="138">
        <f t="shared" si="103"/>
        <v>0</v>
      </c>
      <c r="I225" s="138">
        <f t="shared" si="103"/>
        <v>0</v>
      </c>
      <c r="J225" s="138">
        <f t="shared" si="103"/>
        <v>0</v>
      </c>
      <c r="K225" s="138">
        <f t="shared" si="103"/>
        <v>0</v>
      </c>
      <c r="L225" s="138">
        <f t="shared" si="103"/>
        <v>0</v>
      </c>
      <c r="M225" s="138">
        <f t="shared" si="103"/>
        <v>0</v>
      </c>
      <c r="N225" s="178" t="s">
        <v>262</v>
      </c>
    </row>
    <row r="226" spans="1:14">
      <c r="A226" s="131" t="s">
        <v>237</v>
      </c>
      <c r="B226" s="136" t="s">
        <v>133</v>
      </c>
      <c r="C226" s="291" t="s">
        <v>1</v>
      </c>
      <c r="F226" s="138">
        <f>ETIRGORAV4</f>
        <v>0</v>
      </c>
      <c r="G226" s="138">
        <f t="shared" ref="G226:M226" si="104">ETIRGORAV4</f>
        <v>0</v>
      </c>
      <c r="H226" s="138">
        <f t="shared" si="104"/>
        <v>0</v>
      </c>
      <c r="I226" s="138">
        <f t="shared" si="104"/>
        <v>0</v>
      </c>
      <c r="J226" s="138">
        <f t="shared" si="104"/>
        <v>0</v>
      </c>
      <c r="K226" s="138">
        <f t="shared" si="104"/>
        <v>0</v>
      </c>
      <c r="L226" s="138">
        <f t="shared" si="104"/>
        <v>0</v>
      </c>
      <c r="M226" s="138">
        <f t="shared" si="104"/>
        <v>0</v>
      </c>
      <c r="N226" s="178" t="s">
        <v>383</v>
      </c>
    </row>
    <row r="227" spans="1:14">
      <c r="A227" s="136" t="s">
        <v>148</v>
      </c>
      <c r="B227" s="136" t="s">
        <v>149</v>
      </c>
      <c r="C227" s="258" t="s">
        <v>110</v>
      </c>
      <c r="F227" s="58">
        <f t="shared" ref="F227:M227" si="105">IF(F226&gt;0,F225/F226,1)</f>
        <v>1</v>
      </c>
      <c r="G227" s="58">
        <f t="shared" si="105"/>
        <v>1</v>
      </c>
      <c r="H227" s="58">
        <f t="shared" si="105"/>
        <v>1</v>
      </c>
      <c r="I227" s="58">
        <f t="shared" si="105"/>
        <v>1</v>
      </c>
      <c r="J227" s="58">
        <f t="shared" si="105"/>
        <v>1</v>
      </c>
      <c r="K227" s="58">
        <f t="shared" si="105"/>
        <v>1</v>
      </c>
      <c r="L227" s="58">
        <f t="shared" si="105"/>
        <v>1</v>
      </c>
      <c r="M227" s="58">
        <f t="shared" si="105"/>
        <v>1</v>
      </c>
      <c r="N227" s="178"/>
    </row>
    <row r="228" spans="1:14">
      <c r="C228" s="258"/>
      <c r="N228" s="178"/>
    </row>
    <row r="229" spans="1:14">
      <c r="A229" s="325" t="s">
        <v>54</v>
      </c>
      <c r="B229" s="136" t="s">
        <v>109</v>
      </c>
      <c r="C229" s="258" t="s">
        <v>110</v>
      </c>
      <c r="F229" s="190">
        <f t="shared" ref="F229:M229" si="106">RPIF</f>
        <v>1.163</v>
      </c>
      <c r="G229" s="190">
        <f t="shared" si="106"/>
        <v>1.2050000000000001</v>
      </c>
      <c r="H229" s="190">
        <f t="shared" si="106"/>
        <v>1.2270000000000001</v>
      </c>
      <c r="I229" s="190">
        <f t="shared" si="106"/>
        <v>1.2330000000000001</v>
      </c>
      <c r="J229" s="190">
        <f t="shared" si="106"/>
        <v>1.2709999999999999</v>
      </c>
      <c r="K229" s="190">
        <f t="shared" si="106"/>
        <v>1.3140000000000001</v>
      </c>
      <c r="L229" s="190">
        <f t="shared" si="106"/>
        <v>1.3580000000000001</v>
      </c>
      <c r="M229" s="190">
        <f t="shared" si="106"/>
        <v>1.31</v>
      </c>
      <c r="N229" s="178" t="s">
        <v>109</v>
      </c>
    </row>
    <row r="230" spans="1:14">
      <c r="C230" s="258"/>
      <c r="N230" s="178"/>
    </row>
    <row r="231" spans="1:14">
      <c r="A231" s="136" t="s">
        <v>228</v>
      </c>
      <c r="C231" s="258" t="s">
        <v>1</v>
      </c>
      <c r="F231" s="58">
        <f>F222*(F227*F223)*F229</f>
        <v>7.0172163599999999</v>
      </c>
      <c r="G231" s="58">
        <f t="shared" ref="G231:M231" si="107">G222*(G227*G223)*G229</f>
        <v>6.8550618400000003</v>
      </c>
      <c r="H231" s="58">
        <f t="shared" si="107"/>
        <v>6.5572745039999996</v>
      </c>
      <c r="I231" s="58">
        <f t="shared" si="107"/>
        <v>0</v>
      </c>
      <c r="J231" s="58">
        <f t="shared" si="107"/>
        <v>0</v>
      </c>
      <c r="K231" s="58">
        <f t="shared" si="107"/>
        <v>0</v>
      </c>
      <c r="L231" s="58">
        <f t="shared" si="107"/>
        <v>0</v>
      </c>
      <c r="M231" s="58">
        <f t="shared" si="107"/>
        <v>0</v>
      </c>
      <c r="N231" s="178"/>
    </row>
    <row r="232" spans="1:14">
      <c r="C232" s="255"/>
      <c r="N232" s="178"/>
    </row>
    <row r="233" spans="1:14">
      <c r="A233" s="154" t="s">
        <v>490</v>
      </c>
      <c r="C233" s="255"/>
      <c r="N233" s="178"/>
    </row>
    <row r="234" spans="1:14">
      <c r="C234" s="255"/>
      <c r="N234" s="178"/>
    </row>
    <row r="235" spans="1:14">
      <c r="C235" s="255"/>
      <c r="N235" s="178"/>
    </row>
    <row r="236" spans="1:14" ht="14.25">
      <c r="C236" s="255"/>
      <c r="F236" s="117">
        <v>2014</v>
      </c>
      <c r="G236" s="117">
        <v>2015</v>
      </c>
      <c r="H236" s="117">
        <v>2016</v>
      </c>
      <c r="I236" s="117">
        <v>2017</v>
      </c>
      <c r="J236" s="117">
        <v>2018</v>
      </c>
      <c r="K236" s="117">
        <v>2019</v>
      </c>
      <c r="L236" s="117">
        <v>2020</v>
      </c>
      <c r="M236" s="117">
        <v>2021</v>
      </c>
      <c r="N236" s="178"/>
    </row>
    <row r="237" spans="1:14">
      <c r="A237" s="131" t="s">
        <v>238</v>
      </c>
      <c r="B237" s="136" t="s">
        <v>134</v>
      </c>
      <c r="C237" s="255" t="s">
        <v>1</v>
      </c>
      <c r="F237" s="138">
        <f t="shared" ref="F237:M237" si="108">Dep_4</f>
        <v>3.919</v>
      </c>
      <c r="G237" s="138">
        <f t="shared" si="108"/>
        <v>3.919</v>
      </c>
      <c r="H237" s="138">
        <f t="shared" si="108"/>
        <v>3.919</v>
      </c>
      <c r="I237" s="138">
        <f t="shared" si="108"/>
        <v>0</v>
      </c>
      <c r="J237" s="138">
        <f t="shared" si="108"/>
        <v>0</v>
      </c>
      <c r="K237" s="138">
        <f t="shared" si="108"/>
        <v>0</v>
      </c>
      <c r="L237" s="138">
        <f t="shared" si="108"/>
        <v>0</v>
      </c>
      <c r="M237" s="138">
        <f t="shared" si="108"/>
        <v>0</v>
      </c>
      <c r="N237" s="178" t="s">
        <v>397</v>
      </c>
    </row>
    <row r="238" spans="1:14">
      <c r="A238" s="136" t="s">
        <v>148</v>
      </c>
      <c r="B238" s="136" t="s">
        <v>149</v>
      </c>
      <c r="C238" s="255" t="s">
        <v>110</v>
      </c>
      <c r="F238" s="138">
        <f t="shared" ref="F238:M238" si="109">F227</f>
        <v>1</v>
      </c>
      <c r="G238" s="138">
        <f t="shared" si="109"/>
        <v>1</v>
      </c>
      <c r="H238" s="138">
        <f t="shared" si="109"/>
        <v>1</v>
      </c>
      <c r="I238" s="138">
        <f t="shared" si="109"/>
        <v>1</v>
      </c>
      <c r="J238" s="138">
        <f t="shared" si="109"/>
        <v>1</v>
      </c>
      <c r="K238" s="138">
        <f t="shared" si="109"/>
        <v>1</v>
      </c>
      <c r="L238" s="138">
        <f t="shared" si="109"/>
        <v>1</v>
      </c>
      <c r="M238" s="138">
        <f t="shared" si="109"/>
        <v>1</v>
      </c>
      <c r="N238" s="178" t="s">
        <v>398</v>
      </c>
    </row>
    <row r="239" spans="1:14">
      <c r="A239" s="325" t="s">
        <v>54</v>
      </c>
      <c r="B239" s="136" t="s">
        <v>109</v>
      </c>
      <c r="C239" s="255" t="s">
        <v>110</v>
      </c>
      <c r="F239" s="190">
        <f t="shared" ref="F239:M239" si="110">RPIF</f>
        <v>1.163</v>
      </c>
      <c r="G239" s="190">
        <f t="shared" si="110"/>
        <v>1.2050000000000001</v>
      </c>
      <c r="H239" s="190">
        <f t="shared" si="110"/>
        <v>1.2270000000000001</v>
      </c>
      <c r="I239" s="190">
        <f t="shared" si="110"/>
        <v>1.2330000000000001</v>
      </c>
      <c r="J239" s="190">
        <f t="shared" si="110"/>
        <v>1.2709999999999999</v>
      </c>
      <c r="K239" s="190">
        <f t="shared" si="110"/>
        <v>1.3140000000000001</v>
      </c>
      <c r="L239" s="190">
        <f t="shared" si="110"/>
        <v>1.3580000000000001</v>
      </c>
      <c r="M239" s="190">
        <f t="shared" si="110"/>
        <v>1.31</v>
      </c>
      <c r="N239" s="178" t="s">
        <v>109</v>
      </c>
    </row>
    <row r="240" spans="1:14">
      <c r="A240" s="136" t="s">
        <v>179</v>
      </c>
      <c r="C240" s="255"/>
      <c r="F240" s="58">
        <f t="shared" ref="F240:M240" si="111">F237*F238*F239</f>
        <v>4.5577969999999999</v>
      </c>
      <c r="G240" s="58">
        <f t="shared" si="111"/>
        <v>4.7223950000000006</v>
      </c>
      <c r="H240" s="58">
        <f t="shared" si="111"/>
        <v>4.8086130000000002</v>
      </c>
      <c r="I240" s="58">
        <f t="shared" si="111"/>
        <v>0</v>
      </c>
      <c r="J240" s="58">
        <f t="shared" si="111"/>
        <v>0</v>
      </c>
      <c r="K240" s="58">
        <f t="shared" si="111"/>
        <v>0</v>
      </c>
      <c r="L240" s="58">
        <f t="shared" si="111"/>
        <v>0</v>
      </c>
      <c r="M240" s="58">
        <f t="shared" si="111"/>
        <v>0</v>
      </c>
      <c r="N240" s="178"/>
    </row>
    <row r="241" spans="1:14">
      <c r="C241" s="255"/>
      <c r="N241" s="178"/>
    </row>
    <row r="242" spans="1:14">
      <c r="B242" s="136" t="s">
        <v>141</v>
      </c>
      <c r="C242" s="255" t="s">
        <v>1</v>
      </c>
      <c r="F242" s="58">
        <f t="shared" ref="F242:M242" si="112">F231+F240</f>
        <v>11.57501336</v>
      </c>
      <c r="G242" s="58">
        <f t="shared" si="112"/>
        <v>11.57745684</v>
      </c>
      <c r="H242" s="58">
        <f t="shared" si="112"/>
        <v>11.365887504</v>
      </c>
      <c r="I242" s="58">
        <f t="shared" si="112"/>
        <v>0</v>
      </c>
      <c r="J242" s="58">
        <f t="shared" si="112"/>
        <v>0</v>
      </c>
      <c r="K242" s="58">
        <f t="shared" si="112"/>
        <v>0</v>
      </c>
      <c r="L242" s="58">
        <f t="shared" si="112"/>
        <v>0</v>
      </c>
      <c r="M242" s="58">
        <f t="shared" si="112"/>
        <v>0</v>
      </c>
      <c r="N242" s="178" t="s">
        <v>399</v>
      </c>
    </row>
    <row r="243" spans="1:14">
      <c r="C243" s="255"/>
      <c r="N243" s="178"/>
    </row>
    <row r="244" spans="1:14">
      <c r="A244" s="136" t="s">
        <v>242</v>
      </c>
      <c r="B244" s="136" t="s">
        <v>139</v>
      </c>
      <c r="C244" s="255" t="s">
        <v>1</v>
      </c>
      <c r="F244" s="192">
        <f t="shared" ref="F244:M244" si="113">TIRGIncAdj4</f>
        <v>0</v>
      </c>
      <c r="G244" s="192">
        <f t="shared" si="113"/>
        <v>0</v>
      </c>
      <c r="H244" s="192">
        <f t="shared" si="113"/>
        <v>0</v>
      </c>
      <c r="I244" s="192">
        <f t="shared" si="113"/>
        <v>0</v>
      </c>
      <c r="J244" s="192">
        <f t="shared" si="113"/>
        <v>0</v>
      </c>
      <c r="K244" s="192">
        <f t="shared" si="113"/>
        <v>0</v>
      </c>
      <c r="L244" s="192">
        <f t="shared" si="113"/>
        <v>0</v>
      </c>
      <c r="M244" s="192">
        <f t="shared" si="113"/>
        <v>0</v>
      </c>
      <c r="N244" s="178" t="s">
        <v>342</v>
      </c>
    </row>
    <row r="245" spans="1:14">
      <c r="A245" s="351" t="s">
        <v>597</v>
      </c>
      <c r="B245" s="136" t="s">
        <v>142</v>
      </c>
      <c r="C245" s="255" t="s">
        <v>1</v>
      </c>
      <c r="F245" s="192">
        <f t="shared" ref="F245:M245" si="114">ATIRG4</f>
        <v>0</v>
      </c>
      <c r="G245" s="192">
        <f t="shared" si="114"/>
        <v>0</v>
      </c>
      <c r="H245" s="192">
        <f t="shared" si="114"/>
        <v>0</v>
      </c>
      <c r="I245" s="192">
        <f t="shared" si="114"/>
        <v>0</v>
      </c>
      <c r="J245" s="192">
        <f t="shared" si="114"/>
        <v>0</v>
      </c>
      <c r="K245" s="192">
        <f t="shared" si="114"/>
        <v>0</v>
      </c>
      <c r="L245" s="192">
        <f t="shared" si="114"/>
        <v>0</v>
      </c>
      <c r="M245" s="192">
        <f t="shared" si="114"/>
        <v>0</v>
      </c>
      <c r="N245" s="178" t="s">
        <v>343</v>
      </c>
    </row>
    <row r="246" spans="1:14">
      <c r="C246" s="255"/>
      <c r="N246" s="178"/>
    </row>
    <row r="247" spans="1:14">
      <c r="C247" s="255"/>
      <c r="N247" s="178"/>
    </row>
    <row r="248" spans="1:14">
      <c r="C248" s="255"/>
      <c r="N248" s="178"/>
    </row>
    <row r="249" spans="1:14" ht="13.9">
      <c r="A249" s="147" t="s">
        <v>279</v>
      </c>
      <c r="C249" s="255"/>
      <c r="N249" s="178"/>
    </row>
    <row r="250" spans="1:14" ht="13.5">
      <c r="A250" s="167" t="s">
        <v>348</v>
      </c>
      <c r="C250" s="255"/>
      <c r="N250" s="178"/>
    </row>
    <row r="251" spans="1:14" ht="13.9">
      <c r="A251" s="147" t="s">
        <v>280</v>
      </c>
      <c r="C251" s="255"/>
      <c r="N251" s="178"/>
    </row>
    <row r="252" spans="1:14">
      <c r="A252" s="154" t="s">
        <v>488</v>
      </c>
      <c r="C252" s="255"/>
      <c r="N252" s="178"/>
    </row>
    <row r="253" spans="1:14" ht="14.25">
      <c r="A253" s="120"/>
      <c r="C253" s="255"/>
      <c r="F253" s="117">
        <v>2014</v>
      </c>
      <c r="G253" s="117">
        <v>2015</v>
      </c>
      <c r="H253" s="117">
        <v>2016</v>
      </c>
      <c r="I253" s="117">
        <v>2017</v>
      </c>
      <c r="J253" s="117">
        <v>2018</v>
      </c>
      <c r="K253" s="117">
        <v>2019</v>
      </c>
      <c r="L253" s="117">
        <v>2020</v>
      </c>
      <c r="M253" s="117">
        <v>2021</v>
      </c>
      <c r="N253" s="178"/>
    </row>
    <row r="254" spans="1:14">
      <c r="A254" s="131" t="s">
        <v>394</v>
      </c>
      <c r="B254" s="136" t="s">
        <v>143</v>
      </c>
      <c r="C254" s="255" t="s">
        <v>1</v>
      </c>
      <c r="F254" s="138">
        <f t="shared" ref="F254:M254" si="115">CFTIRG5</f>
        <v>0</v>
      </c>
      <c r="G254" s="138">
        <f t="shared" si="115"/>
        <v>0</v>
      </c>
      <c r="H254" s="138">
        <f t="shared" si="115"/>
        <v>0</v>
      </c>
      <c r="I254" s="138">
        <f t="shared" si="115"/>
        <v>0</v>
      </c>
      <c r="J254" s="138">
        <f t="shared" si="115"/>
        <v>0</v>
      </c>
      <c r="K254" s="138">
        <f t="shared" si="115"/>
        <v>0</v>
      </c>
      <c r="L254" s="138">
        <f t="shared" si="115"/>
        <v>0</v>
      </c>
      <c r="M254" s="138">
        <f t="shared" si="115"/>
        <v>0</v>
      </c>
      <c r="N254" s="178" t="s">
        <v>590</v>
      </c>
    </row>
    <row r="255" spans="1:14">
      <c r="A255" s="325" t="s">
        <v>54</v>
      </c>
      <c r="B255" s="136" t="s">
        <v>109</v>
      </c>
      <c r="C255" s="255" t="s">
        <v>110</v>
      </c>
      <c r="F255" s="138">
        <f t="shared" ref="F255:M255" si="116">RPIF</f>
        <v>1.163</v>
      </c>
      <c r="G255" s="138">
        <f t="shared" si="116"/>
        <v>1.2050000000000001</v>
      </c>
      <c r="H255" s="138">
        <f t="shared" si="116"/>
        <v>1.2270000000000001</v>
      </c>
      <c r="I255" s="138">
        <f t="shared" si="116"/>
        <v>1.2330000000000001</v>
      </c>
      <c r="J255" s="138">
        <f t="shared" si="116"/>
        <v>1.2709999999999999</v>
      </c>
      <c r="K255" s="138">
        <f t="shared" si="116"/>
        <v>1.3140000000000001</v>
      </c>
      <c r="L255" s="138">
        <f t="shared" si="116"/>
        <v>1.3580000000000001</v>
      </c>
      <c r="M255" s="138">
        <f t="shared" si="116"/>
        <v>1.31</v>
      </c>
      <c r="N255" s="178" t="s">
        <v>109</v>
      </c>
    </row>
    <row r="256" spans="1:14">
      <c r="C256" s="255"/>
      <c r="N256" s="178"/>
    </row>
    <row r="257" spans="1:14" ht="13.5">
      <c r="A257" s="120" t="s">
        <v>157</v>
      </c>
      <c r="B257" s="136" t="s">
        <v>138</v>
      </c>
      <c r="C257" s="255" t="s">
        <v>1</v>
      </c>
      <c r="F257" s="58">
        <f t="shared" ref="F257:M257" si="117">F254*F255</f>
        <v>0</v>
      </c>
      <c r="G257" s="58">
        <f t="shared" si="117"/>
        <v>0</v>
      </c>
      <c r="H257" s="58">
        <f t="shared" si="117"/>
        <v>0</v>
      </c>
      <c r="I257" s="58">
        <f t="shared" si="117"/>
        <v>0</v>
      </c>
      <c r="J257" s="58">
        <f t="shared" si="117"/>
        <v>0</v>
      </c>
      <c r="K257" s="58">
        <f t="shared" si="117"/>
        <v>0</v>
      </c>
      <c r="L257" s="58">
        <f t="shared" si="117"/>
        <v>0</v>
      </c>
      <c r="M257" s="58">
        <f t="shared" si="117"/>
        <v>0</v>
      </c>
      <c r="N257" s="178"/>
    </row>
    <row r="258" spans="1:14" ht="13.5">
      <c r="A258" s="120"/>
      <c r="C258" s="255"/>
      <c r="N258" s="178"/>
    </row>
    <row r="259" spans="1:14" ht="13.5">
      <c r="A259" s="120"/>
      <c r="C259" s="255"/>
      <c r="N259" s="178"/>
    </row>
    <row r="260" spans="1:14" ht="13.9">
      <c r="A260" s="147" t="s">
        <v>281</v>
      </c>
      <c r="C260" s="255"/>
      <c r="N260" s="178"/>
    </row>
    <row r="261" spans="1:14" ht="13.5">
      <c r="A261" s="167" t="s">
        <v>348</v>
      </c>
      <c r="C261" s="255"/>
      <c r="N261" s="178"/>
    </row>
    <row r="262" spans="1:14" ht="14.25">
      <c r="A262" s="154" t="s">
        <v>489</v>
      </c>
      <c r="C262" s="255"/>
      <c r="F262" s="117">
        <v>2014</v>
      </c>
      <c r="G262" s="117">
        <v>2015</v>
      </c>
      <c r="H262" s="117">
        <v>2016</v>
      </c>
      <c r="I262" s="117">
        <v>2017</v>
      </c>
      <c r="J262" s="117">
        <v>2018</v>
      </c>
      <c r="K262" s="117">
        <v>2019</v>
      </c>
      <c r="L262" s="117">
        <v>2020</v>
      </c>
      <c r="M262" s="117">
        <v>2021</v>
      </c>
      <c r="N262" s="178"/>
    </row>
    <row r="263" spans="1:14">
      <c r="A263" s="136" t="s">
        <v>226</v>
      </c>
      <c r="B263" s="136" t="s">
        <v>135</v>
      </c>
      <c r="C263" s="255" t="s">
        <v>98</v>
      </c>
      <c r="F263" s="173">
        <f t="shared" ref="F263:M263" si="118">CCTIRG</f>
        <v>8.7999999999999995E-2</v>
      </c>
      <c r="G263" s="173">
        <f t="shared" si="118"/>
        <v>8.7999999999999995E-2</v>
      </c>
      <c r="H263" s="173">
        <f t="shared" si="118"/>
        <v>8.7999999999999995E-2</v>
      </c>
      <c r="I263" s="173">
        <f t="shared" si="118"/>
        <v>8.7999999999999995E-2</v>
      </c>
      <c r="J263" s="173">
        <f t="shared" si="118"/>
        <v>8.7999999999999995E-2</v>
      </c>
      <c r="K263" s="173">
        <f t="shared" si="118"/>
        <v>8.7999999999999995E-2</v>
      </c>
      <c r="L263" s="173">
        <f t="shared" si="118"/>
        <v>8.7999999999999995E-2</v>
      </c>
      <c r="M263" s="173">
        <f t="shared" si="118"/>
        <v>8.7999999999999995E-2</v>
      </c>
      <c r="N263" s="178" t="s">
        <v>135</v>
      </c>
    </row>
    <row r="264" spans="1:14">
      <c r="A264" s="131" t="s">
        <v>235</v>
      </c>
      <c r="B264" s="136" t="s">
        <v>140</v>
      </c>
      <c r="C264" s="255"/>
      <c r="F264" s="138">
        <f t="shared" ref="F264:M264" si="119">FTIRGC5</f>
        <v>0</v>
      </c>
      <c r="G264" s="138">
        <f t="shared" si="119"/>
        <v>0</v>
      </c>
      <c r="H264" s="138">
        <f t="shared" si="119"/>
        <v>0</v>
      </c>
      <c r="I264" s="138">
        <f t="shared" si="119"/>
        <v>0</v>
      </c>
      <c r="J264" s="138">
        <f t="shared" si="119"/>
        <v>0</v>
      </c>
      <c r="K264" s="138">
        <f t="shared" si="119"/>
        <v>0</v>
      </c>
      <c r="L264" s="138">
        <f t="shared" si="119"/>
        <v>0</v>
      </c>
      <c r="M264" s="138">
        <f t="shared" si="119"/>
        <v>0</v>
      </c>
      <c r="N264" s="178" t="s">
        <v>592</v>
      </c>
    </row>
    <row r="265" spans="1:14">
      <c r="A265" s="136" t="s">
        <v>227</v>
      </c>
      <c r="B265" s="136" t="s">
        <v>144</v>
      </c>
      <c r="C265" s="255"/>
      <c r="F265" s="138">
        <f t="shared" ref="F265:M265" si="120">AFFTIRG5</f>
        <v>0</v>
      </c>
      <c r="G265" s="138">
        <f t="shared" si="120"/>
        <v>0</v>
      </c>
      <c r="H265" s="138">
        <f t="shared" si="120"/>
        <v>0</v>
      </c>
      <c r="I265" s="138">
        <f t="shared" si="120"/>
        <v>0</v>
      </c>
      <c r="J265" s="138">
        <f t="shared" si="120"/>
        <v>0</v>
      </c>
      <c r="K265" s="138">
        <f t="shared" si="120"/>
        <v>0</v>
      </c>
      <c r="L265" s="138">
        <f t="shared" si="120"/>
        <v>0</v>
      </c>
      <c r="M265" s="138">
        <f t="shared" si="120"/>
        <v>0</v>
      </c>
      <c r="N265" s="178" t="s">
        <v>350</v>
      </c>
    </row>
    <row r="266" spans="1:14">
      <c r="A266" s="325" t="s">
        <v>54</v>
      </c>
      <c r="B266" s="136" t="s">
        <v>109</v>
      </c>
      <c r="C266" s="255" t="s">
        <v>110</v>
      </c>
      <c r="F266" s="138">
        <f t="shared" ref="F266:M266" si="121">RPIF</f>
        <v>1.163</v>
      </c>
      <c r="G266" s="138">
        <f t="shared" si="121"/>
        <v>1.2050000000000001</v>
      </c>
      <c r="H266" s="138">
        <f t="shared" si="121"/>
        <v>1.2270000000000001</v>
      </c>
      <c r="I266" s="138">
        <f t="shared" si="121"/>
        <v>1.2330000000000001</v>
      </c>
      <c r="J266" s="138">
        <f t="shared" si="121"/>
        <v>1.2709999999999999</v>
      </c>
      <c r="K266" s="138">
        <f t="shared" si="121"/>
        <v>1.3140000000000001</v>
      </c>
      <c r="L266" s="138">
        <f t="shared" si="121"/>
        <v>1.3580000000000001</v>
      </c>
      <c r="M266" s="138">
        <f t="shared" si="121"/>
        <v>1.31</v>
      </c>
      <c r="N266" s="178" t="s">
        <v>109</v>
      </c>
    </row>
    <row r="267" spans="1:14">
      <c r="B267" s="264" t="s">
        <v>155</v>
      </c>
      <c r="C267" s="255"/>
      <c r="F267" s="58">
        <f>(F264+F265)*F263*F266</f>
        <v>0</v>
      </c>
      <c r="G267" s="58">
        <f t="shared" ref="G267:M267" si="122">(G264+G265)*G263*G266</f>
        <v>0</v>
      </c>
      <c r="H267" s="58">
        <f t="shared" si="122"/>
        <v>0</v>
      </c>
      <c r="I267" s="58">
        <f t="shared" si="122"/>
        <v>0</v>
      </c>
      <c r="J267" s="58">
        <f t="shared" si="122"/>
        <v>0</v>
      </c>
      <c r="K267" s="58">
        <f t="shared" si="122"/>
        <v>0</v>
      </c>
      <c r="L267" s="58">
        <f t="shared" si="122"/>
        <v>0</v>
      </c>
      <c r="M267" s="58">
        <f t="shared" si="122"/>
        <v>0</v>
      </c>
      <c r="N267" s="178"/>
    </row>
    <row r="268" spans="1:14" ht="13.5">
      <c r="B268" s="120"/>
      <c r="C268" s="255"/>
      <c r="N268" s="178"/>
    </row>
    <row r="269" spans="1:14">
      <c r="A269" s="131" t="s">
        <v>236</v>
      </c>
      <c r="B269" s="136" t="s">
        <v>145</v>
      </c>
      <c r="C269" s="255"/>
      <c r="F269" s="138">
        <f t="shared" ref="F269:M269" si="123">FTIRGDEPN5</f>
        <v>0</v>
      </c>
      <c r="G269" s="138">
        <f t="shared" si="123"/>
        <v>0</v>
      </c>
      <c r="H269" s="138">
        <f t="shared" si="123"/>
        <v>0</v>
      </c>
      <c r="I269" s="138">
        <f t="shared" si="123"/>
        <v>0</v>
      </c>
      <c r="J269" s="138">
        <f t="shared" si="123"/>
        <v>0</v>
      </c>
      <c r="K269" s="138">
        <f t="shared" si="123"/>
        <v>0</v>
      </c>
      <c r="L269" s="138">
        <f t="shared" si="123"/>
        <v>0</v>
      </c>
      <c r="M269" s="138">
        <f t="shared" si="123"/>
        <v>0</v>
      </c>
      <c r="N269" s="178" t="s">
        <v>593</v>
      </c>
    </row>
    <row r="270" spans="1:14">
      <c r="A270" s="136" t="s">
        <v>230</v>
      </c>
      <c r="B270" s="136" t="s">
        <v>146</v>
      </c>
      <c r="C270" s="255"/>
      <c r="F270" s="138">
        <f t="shared" ref="F270:M270" si="124">AFFTIRGDepn5</f>
        <v>0</v>
      </c>
      <c r="G270" s="138">
        <f t="shared" si="124"/>
        <v>0</v>
      </c>
      <c r="H270" s="138">
        <f t="shared" si="124"/>
        <v>0</v>
      </c>
      <c r="I270" s="138">
        <f t="shared" si="124"/>
        <v>0</v>
      </c>
      <c r="J270" s="138">
        <f t="shared" si="124"/>
        <v>0</v>
      </c>
      <c r="K270" s="138">
        <f t="shared" si="124"/>
        <v>0</v>
      </c>
      <c r="L270" s="138">
        <f t="shared" si="124"/>
        <v>0</v>
      </c>
      <c r="M270" s="138">
        <f t="shared" si="124"/>
        <v>0</v>
      </c>
      <c r="N270" s="178" t="s">
        <v>351</v>
      </c>
    </row>
    <row r="271" spans="1:14">
      <c r="A271" s="325" t="s">
        <v>54</v>
      </c>
      <c r="B271" s="136" t="s">
        <v>109</v>
      </c>
      <c r="C271" s="255" t="s">
        <v>110</v>
      </c>
      <c r="F271" s="190">
        <f t="shared" ref="F271:M271" si="125">RPIF</f>
        <v>1.163</v>
      </c>
      <c r="G271" s="190">
        <f t="shared" si="125"/>
        <v>1.2050000000000001</v>
      </c>
      <c r="H271" s="190">
        <f t="shared" si="125"/>
        <v>1.2270000000000001</v>
      </c>
      <c r="I271" s="190">
        <f t="shared" si="125"/>
        <v>1.2330000000000001</v>
      </c>
      <c r="J271" s="190">
        <f t="shared" si="125"/>
        <v>1.2709999999999999</v>
      </c>
      <c r="K271" s="190">
        <f t="shared" si="125"/>
        <v>1.3140000000000001</v>
      </c>
      <c r="L271" s="190">
        <f t="shared" si="125"/>
        <v>1.3580000000000001</v>
      </c>
      <c r="M271" s="190">
        <f t="shared" si="125"/>
        <v>1.31</v>
      </c>
      <c r="N271" s="178" t="s">
        <v>109</v>
      </c>
    </row>
    <row r="272" spans="1:14">
      <c r="B272" s="264" t="s">
        <v>156</v>
      </c>
      <c r="C272" s="255"/>
      <c r="F272" s="58">
        <f>(F269+F270)*F271</f>
        <v>0</v>
      </c>
      <c r="G272" s="58">
        <f t="shared" ref="G272:M272" si="126">(G269+G270)*G271</f>
        <v>0</v>
      </c>
      <c r="H272" s="58">
        <f t="shared" si="126"/>
        <v>0</v>
      </c>
      <c r="I272" s="58">
        <f t="shared" si="126"/>
        <v>0</v>
      </c>
      <c r="J272" s="58">
        <f t="shared" si="126"/>
        <v>0</v>
      </c>
      <c r="K272" s="58">
        <f t="shared" si="126"/>
        <v>0</v>
      </c>
      <c r="L272" s="58">
        <f t="shared" si="126"/>
        <v>0</v>
      </c>
      <c r="M272" s="58">
        <f t="shared" si="126"/>
        <v>0</v>
      </c>
      <c r="N272" s="178"/>
    </row>
    <row r="273" spans="1:14">
      <c r="C273" s="255"/>
      <c r="N273" s="178"/>
    </row>
    <row r="274" spans="1:14">
      <c r="B274" s="136" t="s">
        <v>140</v>
      </c>
      <c r="C274" s="255" t="s">
        <v>1</v>
      </c>
      <c r="F274" s="58">
        <f>F267+F272</f>
        <v>0</v>
      </c>
      <c r="G274" s="58">
        <f t="shared" ref="G274:M274" si="127">G267+G272</f>
        <v>0</v>
      </c>
      <c r="H274" s="58">
        <f t="shared" si="127"/>
        <v>0</v>
      </c>
      <c r="I274" s="58">
        <f t="shared" si="127"/>
        <v>0</v>
      </c>
      <c r="J274" s="58">
        <f t="shared" si="127"/>
        <v>0</v>
      </c>
      <c r="K274" s="58">
        <f t="shared" si="127"/>
        <v>0</v>
      </c>
      <c r="L274" s="58">
        <f t="shared" si="127"/>
        <v>0</v>
      </c>
      <c r="M274" s="58">
        <f t="shared" si="127"/>
        <v>0</v>
      </c>
      <c r="N274" s="178"/>
    </row>
    <row r="275" spans="1:14" ht="13.5">
      <c r="A275" s="120"/>
      <c r="C275" s="255"/>
      <c r="N275" s="178"/>
    </row>
    <row r="276" spans="1:14" ht="13.5">
      <c r="A276" s="120"/>
      <c r="C276" s="255"/>
      <c r="N276" s="178"/>
    </row>
    <row r="277" spans="1:14" ht="13.9">
      <c r="A277" s="147" t="s">
        <v>282</v>
      </c>
      <c r="C277" s="255"/>
      <c r="N277" s="178"/>
    </row>
    <row r="278" spans="1:14" ht="13.5">
      <c r="A278" s="167" t="s">
        <v>348</v>
      </c>
      <c r="C278" s="255"/>
      <c r="N278" s="178"/>
    </row>
    <row r="279" spans="1:14">
      <c r="A279" s="154" t="s">
        <v>490</v>
      </c>
      <c r="C279" s="255"/>
      <c r="N279" s="178"/>
    </row>
    <row r="280" spans="1:14" ht="14.25">
      <c r="A280" s="120"/>
      <c r="C280" s="255"/>
      <c r="F280" s="117">
        <v>2014</v>
      </c>
      <c r="G280" s="117">
        <v>2015</v>
      </c>
      <c r="H280" s="117">
        <v>2016</v>
      </c>
      <c r="I280" s="117">
        <v>2017</v>
      </c>
      <c r="J280" s="117">
        <v>2018</v>
      </c>
      <c r="K280" s="117">
        <v>2019</v>
      </c>
      <c r="L280" s="117">
        <v>2020</v>
      </c>
      <c r="M280" s="117">
        <v>2021</v>
      </c>
      <c r="N280" s="178"/>
    </row>
    <row r="281" spans="1:14">
      <c r="A281" s="136" t="s">
        <v>226</v>
      </c>
      <c r="B281" s="136" t="s">
        <v>135</v>
      </c>
      <c r="C281" s="258" t="s">
        <v>98</v>
      </c>
      <c r="F281" s="173">
        <f t="shared" ref="F281:M281" si="128">CCTIRG</f>
        <v>8.7999999999999995E-2</v>
      </c>
      <c r="G281" s="173">
        <f t="shared" si="128"/>
        <v>8.7999999999999995E-2</v>
      </c>
      <c r="H281" s="173">
        <f t="shared" si="128"/>
        <v>8.7999999999999995E-2</v>
      </c>
      <c r="I281" s="173">
        <f t="shared" si="128"/>
        <v>8.7999999999999995E-2</v>
      </c>
      <c r="J281" s="173">
        <f t="shared" si="128"/>
        <v>8.7999999999999995E-2</v>
      </c>
      <c r="K281" s="173">
        <f t="shared" si="128"/>
        <v>8.7999999999999995E-2</v>
      </c>
      <c r="L281" s="173">
        <f t="shared" si="128"/>
        <v>8.7999999999999995E-2</v>
      </c>
      <c r="M281" s="173">
        <f t="shared" si="128"/>
        <v>8.7999999999999995E-2</v>
      </c>
      <c r="N281" s="178" t="s">
        <v>135</v>
      </c>
    </row>
    <row r="282" spans="1:14">
      <c r="A282" s="131" t="s">
        <v>239</v>
      </c>
      <c r="B282" s="136" t="s">
        <v>137</v>
      </c>
      <c r="C282" s="291" t="s">
        <v>1</v>
      </c>
      <c r="F282" s="138">
        <f t="shared" ref="F282:M282" si="129">ETIRGC5</f>
        <v>15.977</v>
      </c>
      <c r="G282" s="138">
        <f t="shared" si="129"/>
        <v>15.007999999999999</v>
      </c>
      <c r="H282" s="138">
        <f t="shared" si="129"/>
        <v>0</v>
      </c>
      <c r="I282" s="138">
        <f t="shared" si="129"/>
        <v>0</v>
      </c>
      <c r="J282" s="138">
        <f t="shared" si="129"/>
        <v>0</v>
      </c>
      <c r="K282" s="138">
        <f t="shared" si="129"/>
        <v>0</v>
      </c>
      <c r="L282" s="138">
        <f t="shared" si="129"/>
        <v>0</v>
      </c>
      <c r="M282" s="138">
        <f t="shared" si="129"/>
        <v>0</v>
      </c>
      <c r="N282" s="178" t="s">
        <v>364</v>
      </c>
    </row>
    <row r="283" spans="1:14">
      <c r="C283" s="258"/>
      <c r="N283" s="178"/>
    </row>
    <row r="284" spans="1:14">
      <c r="A284" s="136" t="s">
        <v>232</v>
      </c>
      <c r="B284" s="136" t="s">
        <v>147</v>
      </c>
      <c r="C284" s="291" t="s">
        <v>1</v>
      </c>
      <c r="F284" s="138">
        <f t="shared" ref="F284:M284" si="130">SAFTIRG5</f>
        <v>0</v>
      </c>
      <c r="G284" s="138">
        <f t="shared" si="130"/>
        <v>0</v>
      </c>
      <c r="H284" s="138">
        <f t="shared" si="130"/>
        <v>0</v>
      </c>
      <c r="I284" s="138">
        <f t="shared" si="130"/>
        <v>0</v>
      </c>
      <c r="J284" s="138">
        <f t="shared" si="130"/>
        <v>0</v>
      </c>
      <c r="K284" s="138">
        <f t="shared" si="130"/>
        <v>0</v>
      </c>
      <c r="L284" s="138">
        <f t="shared" si="130"/>
        <v>0</v>
      </c>
      <c r="M284" s="138">
        <f t="shared" si="130"/>
        <v>0</v>
      </c>
      <c r="N284" s="178" t="s">
        <v>352</v>
      </c>
    </row>
    <row r="285" spans="1:14">
      <c r="A285" s="131" t="s">
        <v>237</v>
      </c>
      <c r="B285" s="136" t="s">
        <v>133</v>
      </c>
      <c r="C285" s="291" t="s">
        <v>1</v>
      </c>
      <c r="F285" s="138">
        <f>ETIRGORAV5</f>
        <v>0</v>
      </c>
      <c r="G285" s="138">
        <f t="shared" ref="G285:M285" si="131">ETIRGORAV5</f>
        <v>0</v>
      </c>
      <c r="H285" s="138">
        <f t="shared" si="131"/>
        <v>0</v>
      </c>
      <c r="I285" s="138">
        <f t="shared" si="131"/>
        <v>0</v>
      </c>
      <c r="J285" s="138">
        <f t="shared" si="131"/>
        <v>0</v>
      </c>
      <c r="K285" s="138">
        <f t="shared" si="131"/>
        <v>0</v>
      </c>
      <c r="L285" s="138">
        <f t="shared" si="131"/>
        <v>0</v>
      </c>
      <c r="M285" s="138">
        <f t="shared" si="131"/>
        <v>0</v>
      </c>
      <c r="N285" s="178" t="s">
        <v>384</v>
      </c>
    </row>
    <row r="286" spans="1:14">
      <c r="A286" s="136" t="s">
        <v>148</v>
      </c>
      <c r="B286" s="136" t="s">
        <v>149</v>
      </c>
      <c r="C286" s="258" t="s">
        <v>110</v>
      </c>
      <c r="F286" s="58">
        <f>IF(F285&gt;0,F284/F285,1)</f>
        <v>1</v>
      </c>
      <c r="G286" s="58">
        <f t="shared" ref="G286:M286" si="132">IF(G285&gt;0,G284/G285,1)</f>
        <v>1</v>
      </c>
      <c r="H286" s="58">
        <f t="shared" si="132"/>
        <v>1</v>
      </c>
      <c r="I286" s="58">
        <f t="shared" si="132"/>
        <v>1</v>
      </c>
      <c r="J286" s="58">
        <f t="shared" si="132"/>
        <v>1</v>
      </c>
      <c r="K286" s="58">
        <f t="shared" si="132"/>
        <v>1</v>
      </c>
      <c r="L286" s="58">
        <f t="shared" si="132"/>
        <v>1</v>
      </c>
      <c r="M286" s="58">
        <f t="shared" si="132"/>
        <v>1</v>
      </c>
      <c r="N286" s="178"/>
    </row>
    <row r="287" spans="1:14">
      <c r="C287" s="258"/>
      <c r="N287" s="178"/>
    </row>
    <row r="288" spans="1:14">
      <c r="A288" s="325" t="s">
        <v>54</v>
      </c>
      <c r="B288" s="136" t="s">
        <v>109</v>
      </c>
      <c r="C288" s="258" t="s">
        <v>110</v>
      </c>
      <c r="F288" s="190">
        <f t="shared" ref="F288:M288" si="133">RPIF</f>
        <v>1.163</v>
      </c>
      <c r="G288" s="190">
        <f t="shared" si="133"/>
        <v>1.2050000000000001</v>
      </c>
      <c r="H288" s="190">
        <f t="shared" si="133"/>
        <v>1.2270000000000001</v>
      </c>
      <c r="I288" s="190">
        <f t="shared" si="133"/>
        <v>1.2330000000000001</v>
      </c>
      <c r="J288" s="190">
        <f t="shared" si="133"/>
        <v>1.2709999999999999</v>
      </c>
      <c r="K288" s="190">
        <f t="shared" si="133"/>
        <v>1.3140000000000001</v>
      </c>
      <c r="L288" s="190">
        <f t="shared" si="133"/>
        <v>1.3580000000000001</v>
      </c>
      <c r="M288" s="190">
        <f t="shared" si="133"/>
        <v>1.31</v>
      </c>
      <c r="N288" s="178" t="s">
        <v>109</v>
      </c>
    </row>
    <row r="289" spans="1:14">
      <c r="C289" s="258"/>
      <c r="N289" s="178"/>
    </row>
    <row r="290" spans="1:14">
      <c r="A290" s="136" t="s">
        <v>228</v>
      </c>
      <c r="C290" s="258" t="s">
        <v>1</v>
      </c>
      <c r="F290" s="58">
        <f>F281*(F286*F282)*F288</f>
        <v>1.6351500879999998</v>
      </c>
      <c r="G290" s="58">
        <f t="shared" ref="G290:M290" si="134">G281*(G286*G282)*G288</f>
        <v>1.59144832</v>
      </c>
      <c r="H290" s="58">
        <f>H281*(H286*H282)*H288</f>
        <v>0</v>
      </c>
      <c r="I290" s="58">
        <f t="shared" si="134"/>
        <v>0</v>
      </c>
      <c r="J290" s="58">
        <f t="shared" si="134"/>
        <v>0</v>
      </c>
      <c r="K290" s="58">
        <f t="shared" si="134"/>
        <v>0</v>
      </c>
      <c r="L290" s="58">
        <f t="shared" si="134"/>
        <v>0</v>
      </c>
      <c r="M290" s="58">
        <f t="shared" si="134"/>
        <v>0</v>
      </c>
      <c r="N290" s="178"/>
    </row>
    <row r="291" spans="1:14">
      <c r="N291" s="178"/>
    </row>
    <row r="292" spans="1:14">
      <c r="A292" s="154" t="s">
        <v>490</v>
      </c>
      <c r="N292" s="178"/>
    </row>
    <row r="293" spans="1:14">
      <c r="N293" s="178"/>
    </row>
    <row r="294" spans="1:14">
      <c r="N294" s="178"/>
    </row>
    <row r="295" spans="1:14" ht="14.25">
      <c r="F295" s="117">
        <v>2014</v>
      </c>
      <c r="G295" s="117">
        <v>2015</v>
      </c>
      <c r="H295" s="117">
        <v>2016</v>
      </c>
      <c r="I295" s="117">
        <v>2017</v>
      </c>
      <c r="J295" s="117">
        <v>2018</v>
      </c>
      <c r="K295" s="117">
        <v>2019</v>
      </c>
      <c r="L295" s="117">
        <v>2020</v>
      </c>
      <c r="M295" s="117">
        <v>2021</v>
      </c>
      <c r="N295" s="178"/>
    </row>
    <row r="296" spans="1:14">
      <c r="A296" s="131" t="s">
        <v>238</v>
      </c>
      <c r="B296" s="136" t="s">
        <v>134</v>
      </c>
      <c r="C296" s="255" t="s">
        <v>1</v>
      </c>
      <c r="F296" s="138">
        <f t="shared" ref="F296:M296" si="135">Dep_5</f>
        <v>0.96827999999999981</v>
      </c>
      <c r="G296" s="138">
        <f t="shared" si="135"/>
        <v>0.96827999999999981</v>
      </c>
      <c r="H296" s="138">
        <f t="shared" si="135"/>
        <v>0</v>
      </c>
      <c r="I296" s="138">
        <f t="shared" si="135"/>
        <v>0</v>
      </c>
      <c r="J296" s="138">
        <f t="shared" si="135"/>
        <v>0</v>
      </c>
      <c r="K296" s="138">
        <f t="shared" si="135"/>
        <v>0</v>
      </c>
      <c r="L296" s="138">
        <f t="shared" si="135"/>
        <v>0</v>
      </c>
      <c r="M296" s="138">
        <f t="shared" si="135"/>
        <v>0</v>
      </c>
      <c r="N296" s="178" t="s">
        <v>380</v>
      </c>
    </row>
    <row r="297" spans="1:14">
      <c r="A297" s="136" t="s">
        <v>148</v>
      </c>
      <c r="B297" s="136" t="s">
        <v>149</v>
      </c>
      <c r="C297" s="255" t="s">
        <v>110</v>
      </c>
      <c r="F297" s="138">
        <f t="shared" ref="F297:M297" si="136">F286</f>
        <v>1</v>
      </c>
      <c r="G297" s="138">
        <f t="shared" si="136"/>
        <v>1</v>
      </c>
      <c r="H297" s="138">
        <f t="shared" si="136"/>
        <v>1</v>
      </c>
      <c r="I297" s="138">
        <f t="shared" si="136"/>
        <v>1</v>
      </c>
      <c r="J297" s="138">
        <f t="shared" si="136"/>
        <v>1</v>
      </c>
      <c r="K297" s="138">
        <f t="shared" si="136"/>
        <v>1</v>
      </c>
      <c r="L297" s="138">
        <f t="shared" si="136"/>
        <v>1</v>
      </c>
      <c r="M297" s="138">
        <f t="shared" si="136"/>
        <v>1</v>
      </c>
      <c r="N297" s="178" t="s">
        <v>385</v>
      </c>
    </row>
    <row r="298" spans="1:14">
      <c r="A298" s="325" t="s">
        <v>54</v>
      </c>
      <c r="B298" s="136" t="s">
        <v>109</v>
      </c>
      <c r="C298" s="255" t="s">
        <v>110</v>
      </c>
      <c r="F298" s="190">
        <f t="shared" ref="F298:M298" si="137">RPIF</f>
        <v>1.163</v>
      </c>
      <c r="G298" s="190">
        <f t="shared" si="137"/>
        <v>1.2050000000000001</v>
      </c>
      <c r="H298" s="190">
        <f t="shared" si="137"/>
        <v>1.2270000000000001</v>
      </c>
      <c r="I298" s="190">
        <f t="shared" si="137"/>
        <v>1.2330000000000001</v>
      </c>
      <c r="J298" s="190">
        <f t="shared" si="137"/>
        <v>1.2709999999999999</v>
      </c>
      <c r="K298" s="190">
        <f t="shared" si="137"/>
        <v>1.3140000000000001</v>
      </c>
      <c r="L298" s="190">
        <f t="shared" si="137"/>
        <v>1.3580000000000001</v>
      </c>
      <c r="M298" s="190">
        <f t="shared" si="137"/>
        <v>1.31</v>
      </c>
      <c r="N298" s="178" t="s">
        <v>109</v>
      </c>
    </row>
    <row r="299" spans="1:14">
      <c r="A299" s="136" t="s">
        <v>179</v>
      </c>
      <c r="C299" s="255"/>
      <c r="F299" s="58">
        <f>F296*F297*F298</f>
        <v>1.1261096399999999</v>
      </c>
      <c r="G299" s="58">
        <f t="shared" ref="G299:M299" si="138">G296*G297*G298</f>
        <v>1.1667773999999997</v>
      </c>
      <c r="H299" s="58">
        <f t="shared" si="138"/>
        <v>0</v>
      </c>
      <c r="I299" s="58">
        <f t="shared" si="138"/>
        <v>0</v>
      </c>
      <c r="J299" s="58">
        <f t="shared" si="138"/>
        <v>0</v>
      </c>
      <c r="K299" s="58">
        <f t="shared" si="138"/>
        <v>0</v>
      </c>
      <c r="L299" s="58">
        <f t="shared" si="138"/>
        <v>0</v>
      </c>
      <c r="M299" s="58">
        <f t="shared" si="138"/>
        <v>0</v>
      </c>
      <c r="N299" s="178"/>
    </row>
    <row r="300" spans="1:14">
      <c r="C300" s="255"/>
      <c r="N300" s="178"/>
    </row>
    <row r="301" spans="1:14">
      <c r="B301" s="136" t="s">
        <v>141</v>
      </c>
      <c r="C301" s="291" t="s">
        <v>1</v>
      </c>
      <c r="F301" s="58">
        <f>F290+F299</f>
        <v>2.7612597279999997</v>
      </c>
      <c r="G301" s="58">
        <f t="shared" ref="G301:M301" si="139">G290+G299</f>
        <v>2.7582257199999995</v>
      </c>
      <c r="H301" s="58">
        <f t="shared" si="139"/>
        <v>0</v>
      </c>
      <c r="I301" s="58">
        <f t="shared" si="139"/>
        <v>0</v>
      </c>
      <c r="J301" s="58">
        <f t="shared" si="139"/>
        <v>0</v>
      </c>
      <c r="K301" s="58">
        <f t="shared" si="139"/>
        <v>0</v>
      </c>
      <c r="L301" s="58">
        <f t="shared" si="139"/>
        <v>0</v>
      </c>
      <c r="M301" s="58">
        <f t="shared" si="139"/>
        <v>0</v>
      </c>
      <c r="N301" s="178" t="s">
        <v>594</v>
      </c>
    </row>
    <row r="302" spans="1:14">
      <c r="C302" s="255"/>
      <c r="N302" s="178"/>
    </row>
    <row r="303" spans="1:14">
      <c r="A303" s="136" t="s">
        <v>242</v>
      </c>
      <c r="B303" s="136" t="s">
        <v>139</v>
      </c>
      <c r="C303" s="291" t="s">
        <v>1</v>
      </c>
      <c r="F303" s="192">
        <f t="shared" ref="F303:M303" si="140">TIRGIncAdj5</f>
        <v>0</v>
      </c>
      <c r="G303" s="192">
        <f t="shared" si="140"/>
        <v>0</v>
      </c>
      <c r="H303" s="192">
        <f t="shared" si="140"/>
        <v>0</v>
      </c>
      <c r="I303" s="192">
        <f t="shared" si="140"/>
        <v>0</v>
      </c>
      <c r="J303" s="192">
        <f t="shared" si="140"/>
        <v>0</v>
      </c>
      <c r="K303" s="192">
        <f t="shared" si="140"/>
        <v>0</v>
      </c>
      <c r="L303" s="192">
        <f t="shared" si="140"/>
        <v>0</v>
      </c>
      <c r="M303" s="192">
        <f t="shared" si="140"/>
        <v>0</v>
      </c>
      <c r="N303" s="178" t="s">
        <v>353</v>
      </c>
    </row>
    <row r="304" spans="1:14">
      <c r="A304" s="351" t="s">
        <v>597</v>
      </c>
      <c r="B304" s="136" t="s">
        <v>142</v>
      </c>
      <c r="C304" s="255" t="s">
        <v>1</v>
      </c>
      <c r="F304" s="192">
        <f t="shared" ref="F304:M304" si="141">ATIRG5</f>
        <v>0</v>
      </c>
      <c r="G304" s="192">
        <f t="shared" si="141"/>
        <v>0</v>
      </c>
      <c r="H304" s="192">
        <f t="shared" si="141"/>
        <v>0</v>
      </c>
      <c r="I304" s="192">
        <f t="shared" si="141"/>
        <v>0</v>
      </c>
      <c r="J304" s="192">
        <f t="shared" si="141"/>
        <v>0</v>
      </c>
      <c r="K304" s="192">
        <f t="shared" si="141"/>
        <v>0</v>
      </c>
      <c r="L304" s="192">
        <f t="shared" si="141"/>
        <v>0</v>
      </c>
      <c r="M304" s="192">
        <f t="shared" si="141"/>
        <v>0</v>
      </c>
      <c r="N304" s="178" t="s">
        <v>354</v>
      </c>
    </row>
    <row r="305" spans="3:14">
      <c r="C305" s="291"/>
      <c r="N305" s="178"/>
    </row>
    <row r="306" spans="3:14">
      <c r="N306" s="178"/>
    </row>
    <row r="307" spans="3:14">
      <c r="N307" s="178"/>
    </row>
    <row r="308" spans="3:14">
      <c r="N308" s="178"/>
    </row>
    <row r="309" spans="3:14">
      <c r="N309" s="178"/>
    </row>
    <row r="310" spans="3:14">
      <c r="N310" s="178"/>
    </row>
    <row r="311" spans="3:14">
      <c r="N311" s="178"/>
    </row>
    <row r="312" spans="3:14">
      <c r="N312" s="178"/>
    </row>
    <row r="313" spans="3:14">
      <c r="N313" s="178"/>
    </row>
    <row r="314" spans="3:14">
      <c r="N314" s="178"/>
    </row>
    <row r="315" spans="3:14">
      <c r="N315" s="178"/>
    </row>
    <row r="316" spans="3:14">
      <c r="N316" s="178"/>
    </row>
    <row r="317" spans="3:14">
      <c r="N317" s="178"/>
    </row>
    <row r="318" spans="3:14">
      <c r="N318" s="178"/>
    </row>
    <row r="319" spans="3:14">
      <c r="N319" s="178"/>
    </row>
    <row r="320" spans="3:14">
      <c r="N320" s="178"/>
    </row>
    <row r="321" spans="14:14">
      <c r="N321" s="178"/>
    </row>
    <row r="322" spans="14:14">
      <c r="N322" s="178"/>
    </row>
    <row r="323" spans="14:14">
      <c r="N323" s="178"/>
    </row>
    <row r="324" spans="14:14">
      <c r="N324" s="178"/>
    </row>
    <row r="325" spans="14:14">
      <c r="N325" s="178"/>
    </row>
    <row r="326" spans="14:14">
      <c r="N326" s="178"/>
    </row>
    <row r="327" spans="14:14">
      <c r="N327" s="178"/>
    </row>
    <row r="328" spans="14:14">
      <c r="N328" s="178"/>
    </row>
    <row r="329" spans="14:14">
      <c r="N329" s="178"/>
    </row>
    <row r="330" spans="14:14">
      <c r="N330" s="178"/>
    </row>
    <row r="331" spans="14:14">
      <c r="N331" s="178"/>
    </row>
    <row r="332" spans="14:14">
      <c r="N332" s="178"/>
    </row>
    <row r="333" spans="14:14">
      <c r="N333" s="178"/>
    </row>
    <row r="334" spans="14:14">
      <c r="N334" s="178"/>
    </row>
    <row r="335" spans="14:14">
      <c r="N335" s="178"/>
    </row>
    <row r="336" spans="14:14">
      <c r="N336" s="178"/>
    </row>
    <row r="337" spans="14:14">
      <c r="N337" s="178"/>
    </row>
    <row r="338" spans="14:14">
      <c r="N338" s="178"/>
    </row>
    <row r="339" spans="14:14">
      <c r="N339" s="178"/>
    </row>
    <row r="340" spans="14:14">
      <c r="N340" s="178"/>
    </row>
    <row r="341" spans="14:14">
      <c r="N341" s="178"/>
    </row>
    <row r="342" spans="14:14">
      <c r="N342" s="178"/>
    </row>
    <row r="343" spans="14:14">
      <c r="N343" s="178"/>
    </row>
    <row r="344" spans="14:14">
      <c r="N344" s="178"/>
    </row>
    <row r="345" spans="14:14">
      <c r="N345" s="178"/>
    </row>
    <row r="346" spans="14:14">
      <c r="N346" s="178"/>
    </row>
    <row r="347" spans="14:14">
      <c r="N347" s="178"/>
    </row>
    <row r="348" spans="14:14">
      <c r="N348" s="178"/>
    </row>
  </sheetData>
  <pageMargins left="0.23622047244094491" right="0.15748031496062992" top="0.35433070866141736" bottom="0.62992125984251968" header="0.15748031496062992" footer="0.27559055118110237"/>
  <pageSetup paperSize="9" scale="52" fitToHeight="3" orientation="portrait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I33" sqref="I33"/>
    </sheetView>
  </sheetViews>
  <sheetFormatPr defaultColWidth="9" defaultRowHeight="12.4"/>
  <cols>
    <col min="1" max="1" width="32.3515625" style="114" customWidth="1"/>
    <col min="2" max="2" width="6.87890625" style="114" customWidth="1"/>
    <col min="3" max="4" width="9" style="114" customWidth="1"/>
    <col min="5" max="5" width="3.703125" style="114" customWidth="1"/>
    <col min="6" max="6" width="9.64453125" style="114" customWidth="1"/>
    <col min="7" max="8" width="9.46875" style="114" customWidth="1"/>
    <col min="9" max="9" width="9.703125" style="114" customWidth="1"/>
    <col min="10" max="11" width="9.46875" style="114" customWidth="1"/>
    <col min="12" max="12" width="9.64453125" style="114" customWidth="1"/>
    <col min="13" max="13" width="9.46875" style="114" customWidth="1"/>
    <col min="14" max="14" width="7.1171875" style="114" customWidth="1"/>
    <col min="15" max="16384" width="9" style="114"/>
  </cols>
  <sheetData>
    <row r="1" spans="1:19" s="131" customFormat="1" ht="14.65">
      <c r="A1" s="130" t="s">
        <v>607</v>
      </c>
      <c r="N1" s="369"/>
    </row>
    <row r="2" spans="1:19" s="131" customFormat="1" ht="14.65">
      <c r="A2" s="130" t="str">
        <f>CompName</f>
        <v>Scottish Power Transmission plc</v>
      </c>
      <c r="N2" s="369"/>
    </row>
    <row r="3" spans="1:19" s="131" customFormat="1">
      <c r="A3" s="133" t="str">
        <f>RegYr</f>
        <v>Regulatory Year ending 31 March 2019</v>
      </c>
      <c r="N3" s="369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15">
      <c r="A5" s="261" t="s">
        <v>476</v>
      </c>
      <c r="B5" s="114" t="s">
        <v>475</v>
      </c>
      <c r="K5" s="123"/>
      <c r="N5" s="179"/>
    </row>
    <row r="6" spans="1:19" ht="13.5"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4.25">
      <c r="B7" s="120"/>
      <c r="C7" s="147"/>
      <c r="D7" s="120"/>
      <c r="E7" s="120"/>
      <c r="F7" s="117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C8" s="120"/>
      <c r="D8" s="120"/>
      <c r="E8" s="120"/>
      <c r="F8" s="120"/>
      <c r="G8" s="120"/>
      <c r="H8" s="120"/>
      <c r="I8" s="120"/>
      <c r="N8" s="179"/>
    </row>
    <row r="9" spans="1:19" ht="13.5">
      <c r="A9" s="120" t="s">
        <v>8</v>
      </c>
      <c r="B9" s="120" t="s">
        <v>317</v>
      </c>
      <c r="C9" s="292" t="s">
        <v>1</v>
      </c>
      <c r="D9" s="120"/>
      <c r="E9" s="120"/>
      <c r="F9" s="138">
        <f t="shared" ref="F9:M9" si="0">BR</f>
        <v>261.81688600000001</v>
      </c>
      <c r="G9" s="138">
        <f t="shared" si="0"/>
        <v>292.91396867050065</v>
      </c>
      <c r="H9" s="137">
        <f t="shared" si="0"/>
        <v>293.58046195096097</v>
      </c>
      <c r="I9" s="362">
        <f t="shared" si="0"/>
        <v>270.34750085222618</v>
      </c>
      <c r="J9" s="137">
        <f t="shared" si="0"/>
        <v>293.19141391350985</v>
      </c>
      <c r="K9" s="137">
        <f t="shared" si="0"/>
        <v>326.49433773015232</v>
      </c>
      <c r="L9" s="137">
        <f t="shared" si="0"/>
        <v>346.61756029829962</v>
      </c>
      <c r="M9" s="137">
        <f t="shared" si="0"/>
        <v>331.96878743067481</v>
      </c>
      <c r="N9" s="178" t="s">
        <v>317</v>
      </c>
      <c r="O9" s="123"/>
      <c r="P9" s="241"/>
      <c r="R9" s="363"/>
    </row>
    <row r="10" spans="1:19" ht="13.5">
      <c r="A10" s="120" t="s">
        <v>4</v>
      </c>
      <c r="B10" s="120" t="s">
        <v>318</v>
      </c>
      <c r="C10" s="292" t="s">
        <v>1</v>
      </c>
      <c r="D10" s="120"/>
      <c r="E10" s="120"/>
      <c r="F10" s="138">
        <f t="shared" ref="F10:M10" si="1">PTt</f>
        <v>0</v>
      </c>
      <c r="G10" s="138">
        <f t="shared" si="1"/>
        <v>0</v>
      </c>
      <c r="H10" s="137">
        <f t="shared" si="1"/>
        <v>-32.418754657380006</v>
      </c>
      <c r="I10" s="362">
        <f t="shared" si="1"/>
        <v>-32.51197774597501</v>
      </c>
      <c r="J10" s="137">
        <f t="shared" si="1"/>
        <v>-33.453121801230004</v>
      </c>
      <c r="K10" s="137">
        <f t="shared" si="1"/>
        <v>-34.525351815948007</v>
      </c>
      <c r="L10" s="137">
        <f t="shared" si="1"/>
        <v>-35.592641064120002</v>
      </c>
      <c r="M10" s="137">
        <f t="shared" si="1"/>
        <v>-34.219440676400005</v>
      </c>
      <c r="N10" s="178" t="s">
        <v>318</v>
      </c>
      <c r="P10" s="241"/>
      <c r="R10" s="363"/>
    </row>
    <row r="11" spans="1:19" ht="13.5">
      <c r="A11" s="120" t="s">
        <v>9</v>
      </c>
      <c r="B11" s="120" t="s">
        <v>319</v>
      </c>
      <c r="C11" s="292" t="s">
        <v>1</v>
      </c>
      <c r="D11" s="120"/>
      <c r="E11" s="120"/>
      <c r="F11" s="138">
        <f t="shared" ref="F11:M11" si="2">OIP</f>
        <v>1.0039499999999999</v>
      </c>
      <c r="G11" s="138">
        <f t="shared" si="2"/>
        <v>0</v>
      </c>
      <c r="H11" s="137">
        <f t="shared" si="2"/>
        <v>3.1445685392727274</v>
      </c>
      <c r="I11" s="362">
        <f t="shared" si="2"/>
        <v>3.0737727791772151</v>
      </c>
      <c r="J11" s="137">
        <f t="shared" si="2"/>
        <v>3.1232167656750001</v>
      </c>
      <c r="K11" s="137">
        <f t="shared" si="2"/>
        <v>0.71285941940481123</v>
      </c>
      <c r="L11" s="137">
        <f t="shared" si="2"/>
        <v>0.31583526499554671</v>
      </c>
      <c r="M11" s="137">
        <f t="shared" si="2"/>
        <v>-0.10213486275725714</v>
      </c>
      <c r="N11" s="178" t="s">
        <v>319</v>
      </c>
      <c r="P11" s="241"/>
      <c r="R11" s="363"/>
    </row>
    <row r="12" spans="1:19" ht="13.5">
      <c r="A12" s="120" t="s">
        <v>29</v>
      </c>
      <c r="B12" s="120" t="s">
        <v>223</v>
      </c>
      <c r="C12" s="292" t="s">
        <v>1</v>
      </c>
      <c r="D12" s="120"/>
      <c r="E12" s="120"/>
      <c r="F12" s="138">
        <f t="shared" ref="F12:M12" si="3">NIA</f>
        <v>0</v>
      </c>
      <c r="G12" s="138">
        <f t="shared" si="3"/>
        <v>0</v>
      </c>
      <c r="H12" s="137">
        <f t="shared" si="3"/>
        <v>0</v>
      </c>
      <c r="I12" s="362">
        <f t="shared" si="3"/>
        <v>0</v>
      </c>
      <c r="J12" s="137">
        <f t="shared" si="3"/>
        <v>0</v>
      </c>
      <c r="K12" s="137">
        <f t="shared" si="3"/>
        <v>0</v>
      </c>
      <c r="L12" s="137">
        <f t="shared" si="3"/>
        <v>0</v>
      </c>
      <c r="M12" s="137">
        <f t="shared" si="3"/>
        <v>0</v>
      </c>
      <c r="N12" s="178" t="s">
        <v>223</v>
      </c>
      <c r="P12" s="241"/>
      <c r="R12" s="363"/>
    </row>
    <row r="13" spans="1:19" ht="13.5">
      <c r="A13" s="120" t="s">
        <v>599</v>
      </c>
      <c r="B13" s="120" t="s">
        <v>320</v>
      </c>
      <c r="C13" s="292" t="s">
        <v>1</v>
      </c>
      <c r="D13" s="120"/>
      <c r="E13" s="120"/>
      <c r="F13" s="138">
        <f t="shared" ref="F13:M13" si="4">TIRG</f>
        <v>26.21188008</v>
      </c>
      <c r="G13" s="138">
        <f t="shared" si="4"/>
        <v>21.199189039999997</v>
      </c>
      <c r="H13" s="137">
        <f t="shared" si="4"/>
        <v>19.893881064000002</v>
      </c>
      <c r="I13" s="362">
        <f t="shared" si="4"/>
        <v>6.6779280000000005</v>
      </c>
      <c r="J13" s="137">
        <f t="shared" si="4"/>
        <v>33.040580456000001</v>
      </c>
      <c r="K13" s="137">
        <f t="shared" si="4"/>
        <v>33.036188543999998</v>
      </c>
      <c r="L13" s="137">
        <f t="shared" si="4"/>
        <v>32.982636848000006</v>
      </c>
      <c r="M13" s="137">
        <f t="shared" si="4"/>
        <v>24.553445280000002</v>
      </c>
      <c r="N13" s="174" t="s">
        <v>320</v>
      </c>
      <c r="P13" s="241"/>
      <c r="R13" s="363"/>
    </row>
    <row r="14" spans="1:19" ht="13.5">
      <c r="A14" s="120" t="s">
        <v>5</v>
      </c>
      <c r="B14" s="120" t="s">
        <v>321</v>
      </c>
      <c r="C14" s="292" t="s">
        <v>110</v>
      </c>
      <c r="D14" s="120"/>
      <c r="E14" s="120"/>
      <c r="F14" s="138">
        <f t="shared" ref="F14:M14" si="5">Kt</f>
        <v>11.181499999999987</v>
      </c>
      <c r="G14" s="138">
        <f t="shared" si="5"/>
        <v>0</v>
      </c>
      <c r="H14" s="137">
        <f t="shared" si="5"/>
        <v>-286.22148396440997</v>
      </c>
      <c r="I14" s="362">
        <f t="shared" si="5"/>
        <v>-323.57581658652941</v>
      </c>
      <c r="J14" s="137">
        <f t="shared" si="5"/>
        <v>-586.68835479370421</v>
      </c>
      <c r="K14" s="137">
        <f t="shared" si="5"/>
        <v>-586.57296218758734</v>
      </c>
      <c r="L14" s="137">
        <f t="shared" si="5"/>
        <v>-909.32715361731823</v>
      </c>
      <c r="M14" s="137">
        <f t="shared" si="5"/>
        <v>-936.77141265361001</v>
      </c>
      <c r="N14" s="178" t="s">
        <v>321</v>
      </c>
      <c r="P14" s="241"/>
      <c r="R14" s="363"/>
    </row>
    <row r="15" spans="1:19" ht="13.5">
      <c r="A15" s="120"/>
      <c r="B15" s="120"/>
      <c r="D15" s="120"/>
      <c r="E15" s="120"/>
      <c r="F15" s="200"/>
      <c r="G15" s="200"/>
      <c r="H15" s="200"/>
      <c r="I15" s="200"/>
      <c r="J15" s="200"/>
      <c r="K15" s="200"/>
      <c r="L15" s="200"/>
      <c r="M15" s="200"/>
      <c r="N15" s="179"/>
    </row>
    <row r="16" spans="1:19" ht="13.5">
      <c r="A16" s="120" t="s">
        <v>6</v>
      </c>
      <c r="B16" s="120" t="s">
        <v>7</v>
      </c>
      <c r="C16" s="292" t="s">
        <v>1</v>
      </c>
      <c r="D16" s="120"/>
      <c r="E16" s="120"/>
      <c r="F16" s="304">
        <f>SUM(F9:F13)-F14</f>
        <v>277.85121608000003</v>
      </c>
      <c r="G16" s="304">
        <f t="shared" ref="G16:M16" si="6">SUM(G9:G13)-G14</f>
        <v>314.11315771050067</v>
      </c>
      <c r="H16" s="60">
        <f t="shared" si="6"/>
        <v>570.42164086126365</v>
      </c>
      <c r="I16" s="60">
        <f t="shared" si="6"/>
        <v>571.16304047195786</v>
      </c>
      <c r="J16" s="60">
        <f>SUM(J9:J13)-J14</f>
        <v>882.59044412765911</v>
      </c>
      <c r="K16" s="60">
        <f t="shared" si="6"/>
        <v>912.29099606519651</v>
      </c>
      <c r="L16" s="60">
        <f t="shared" si="6"/>
        <v>1253.6505449644933</v>
      </c>
      <c r="M16" s="60">
        <f t="shared" si="6"/>
        <v>1258.9720698251276</v>
      </c>
      <c r="N16" s="174" t="s">
        <v>7</v>
      </c>
    </row>
    <row r="17" spans="4:9" ht="13.5">
      <c r="D17" s="120"/>
      <c r="E17" s="120"/>
      <c r="F17" s="361"/>
      <c r="G17" s="361"/>
      <c r="H17" s="361"/>
      <c r="I17" s="361"/>
    </row>
    <row r="18" spans="4:9">
      <c r="F18" s="123"/>
    </row>
  </sheetData>
  <pageMargins left="0.26" right="0.18" top="0.66" bottom="0.67" header="0.31496062992125984" footer="0.31496062992125984"/>
  <pageSetup paperSize="9" scale="88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="85" zoomScaleNormal="60" zoomScaleSheetLayoutView="85" workbookViewId="0">
      <pane ySplit="5" topLeftCell="A6" activePane="bottomLeft" state="frozen"/>
      <selection activeCell="N44" sqref="N44"/>
      <selection pane="bottomLeft" activeCell="A6" sqref="A6"/>
    </sheetView>
  </sheetViews>
  <sheetFormatPr defaultColWidth="0" defaultRowHeight="15" customHeight="1" zeroHeight="1"/>
  <cols>
    <col min="1" max="1" width="8.46875" style="201" customWidth="1"/>
    <col min="2" max="2" width="18.1171875" style="201" customWidth="1"/>
    <col min="3" max="5" width="8" style="201" customWidth="1"/>
    <col min="6" max="6" width="5.87890625" style="201" customWidth="1"/>
    <col min="7" max="7" width="20.3515625" style="201" customWidth="1"/>
    <col min="8" max="8" width="2.3515625" style="201" customWidth="1"/>
    <col min="9" max="9" width="8.46875" style="201" customWidth="1"/>
    <col min="10" max="10" width="2.3515625" style="201" customWidth="1"/>
    <col min="11" max="16384" width="0" style="201" hidden="1"/>
  </cols>
  <sheetData>
    <row r="1" spans="1:8" s="131" customFormat="1" ht="14.65">
      <c r="A1" s="130" t="s">
        <v>253</v>
      </c>
      <c r="E1" s="132"/>
      <c r="H1" s="369"/>
    </row>
    <row r="2" spans="1:8" s="131" customFormat="1" ht="14.65">
      <c r="A2" s="130" t="str">
        <f>CompName</f>
        <v>Scottish Power Transmission plc</v>
      </c>
      <c r="E2" s="132"/>
      <c r="H2" s="369"/>
    </row>
    <row r="3" spans="1:8" s="131" customFormat="1" ht="12.4">
      <c r="A3" s="133" t="str">
        <f>RegYr</f>
        <v>Regulatory Year ending 31 March 2019</v>
      </c>
      <c r="E3" s="132"/>
      <c r="H3" s="369"/>
    </row>
    <row r="4" spans="1:8" ht="15.75" customHeight="1">
      <c r="H4" s="384"/>
    </row>
    <row r="5" spans="1:8" ht="13.9">
      <c r="A5" s="131" t="s">
        <v>392</v>
      </c>
      <c r="H5" s="384"/>
    </row>
    <row r="6" spans="1:8" ht="9" customHeight="1">
      <c r="H6" s="384"/>
    </row>
    <row r="7" spans="1:8" ht="13.9">
      <c r="A7" s="202" t="s">
        <v>523</v>
      </c>
      <c r="H7" s="384"/>
    </row>
    <row r="8" spans="1:8" ht="9" customHeight="1">
      <c r="A8" s="203"/>
      <c r="H8" s="384"/>
    </row>
    <row r="9" spans="1:8" ht="13.9">
      <c r="A9" s="204" t="s">
        <v>75</v>
      </c>
      <c r="B9" s="205"/>
      <c r="C9" s="205"/>
      <c r="D9" s="205"/>
      <c r="E9" s="205"/>
      <c r="F9" s="205"/>
      <c r="G9" s="205"/>
      <c r="H9" s="384"/>
    </row>
    <row r="10" spans="1:8" ht="9" customHeight="1">
      <c r="H10" s="384"/>
    </row>
    <row r="11" spans="1:8" ht="13.9">
      <c r="G11" s="206" t="s">
        <v>2</v>
      </c>
      <c r="H11" s="394"/>
    </row>
    <row r="12" spans="1:8" ht="13.9">
      <c r="B12" s="207" t="s">
        <v>76</v>
      </c>
      <c r="G12" s="208" t="s">
        <v>1</v>
      </c>
      <c r="H12" s="384"/>
    </row>
    <row r="13" spans="1:8" ht="15" customHeight="1">
      <c r="A13" s="206">
        <v>1</v>
      </c>
      <c r="B13" s="417"/>
      <c r="C13" s="419"/>
      <c r="D13" s="419"/>
      <c r="E13" s="419"/>
      <c r="F13" s="420"/>
      <c r="G13" s="209"/>
      <c r="H13" s="383"/>
    </row>
    <row r="14" spans="1:8" ht="13.9">
      <c r="A14" s="206">
        <v>2</v>
      </c>
      <c r="B14" s="417"/>
      <c r="C14" s="418"/>
      <c r="D14" s="418"/>
      <c r="E14" s="418"/>
      <c r="F14" s="418"/>
      <c r="G14" s="209"/>
      <c r="H14" s="383"/>
    </row>
    <row r="15" spans="1:8" ht="13.9">
      <c r="A15" s="206">
        <v>3</v>
      </c>
      <c r="B15" s="417"/>
      <c r="C15" s="418"/>
      <c r="D15" s="418"/>
      <c r="E15" s="418"/>
      <c r="F15" s="418"/>
      <c r="G15" s="209"/>
      <c r="H15" s="383"/>
    </row>
    <row r="16" spans="1:8" ht="13.9">
      <c r="A16" s="206">
        <v>4</v>
      </c>
      <c r="B16" s="417"/>
      <c r="C16" s="418"/>
      <c r="D16" s="418"/>
      <c r="E16" s="418"/>
      <c r="F16" s="418"/>
      <c r="G16" s="209"/>
      <c r="H16" s="383"/>
    </row>
    <row r="17" spans="1:8" ht="13.9">
      <c r="A17" s="206">
        <v>5</v>
      </c>
      <c r="B17" s="417"/>
      <c r="C17" s="418"/>
      <c r="D17" s="418"/>
      <c r="E17" s="418"/>
      <c r="F17" s="418"/>
      <c r="G17" s="209"/>
      <c r="H17" s="383"/>
    </row>
    <row r="18" spans="1:8" ht="13.9">
      <c r="A18" s="206">
        <v>6</v>
      </c>
      <c r="B18" s="417"/>
      <c r="C18" s="418"/>
      <c r="D18" s="418"/>
      <c r="E18" s="418"/>
      <c r="F18" s="418"/>
      <c r="G18" s="209"/>
      <c r="H18" s="383"/>
    </row>
    <row r="19" spans="1:8" ht="13.9">
      <c r="A19" s="206">
        <v>7</v>
      </c>
      <c r="B19" s="417"/>
      <c r="C19" s="418"/>
      <c r="D19" s="418"/>
      <c r="E19" s="418"/>
      <c r="F19" s="418"/>
      <c r="G19" s="209"/>
      <c r="H19" s="383"/>
    </row>
    <row r="20" spans="1:8" ht="13.9">
      <c r="A20" s="206">
        <v>8</v>
      </c>
      <c r="B20" s="417"/>
      <c r="C20" s="418"/>
      <c r="D20" s="418"/>
      <c r="E20" s="418"/>
      <c r="F20" s="418"/>
      <c r="G20" s="209"/>
      <c r="H20" s="383"/>
    </row>
    <row r="21" spans="1:8" ht="13.9">
      <c r="A21" s="206">
        <v>9</v>
      </c>
      <c r="B21" s="417"/>
      <c r="C21" s="418"/>
      <c r="D21" s="418"/>
      <c r="E21" s="418"/>
      <c r="F21" s="418"/>
      <c r="G21" s="209"/>
      <c r="H21" s="383"/>
    </row>
    <row r="22" spans="1:8" ht="13.9">
      <c r="A22" s="206">
        <v>10</v>
      </c>
      <c r="B22" s="417"/>
      <c r="C22" s="418"/>
      <c r="D22" s="418"/>
      <c r="E22" s="418"/>
      <c r="F22" s="418"/>
      <c r="G22" s="209"/>
      <c r="H22" s="384"/>
    </row>
    <row r="23" spans="1:8" ht="13.9">
      <c r="A23" s="206">
        <v>11</v>
      </c>
      <c r="B23" s="417"/>
      <c r="C23" s="418"/>
      <c r="D23" s="418"/>
      <c r="E23" s="418"/>
      <c r="F23" s="418"/>
      <c r="G23" s="209"/>
      <c r="H23" s="384"/>
    </row>
    <row r="24" spans="1:8" ht="13.9">
      <c r="A24" s="206">
        <v>12</v>
      </c>
      <c r="B24" s="417"/>
      <c r="C24" s="418"/>
      <c r="D24" s="418"/>
      <c r="E24" s="418"/>
      <c r="F24" s="418"/>
      <c r="G24" s="209"/>
      <c r="H24" s="384"/>
    </row>
    <row r="25" spans="1:8" ht="13.9">
      <c r="A25" s="206">
        <v>13</v>
      </c>
      <c r="B25" s="417"/>
      <c r="C25" s="418"/>
      <c r="D25" s="418"/>
      <c r="E25" s="418"/>
      <c r="F25" s="418"/>
      <c r="G25" s="209"/>
      <c r="H25" s="384"/>
    </row>
    <row r="26" spans="1:8" ht="13.9">
      <c r="A26" s="206">
        <v>14</v>
      </c>
      <c r="B26" s="417"/>
      <c r="C26" s="418"/>
      <c r="D26" s="418"/>
      <c r="E26" s="418"/>
      <c r="F26" s="418"/>
      <c r="G26" s="209"/>
      <c r="H26" s="384"/>
    </row>
    <row r="27" spans="1:8" ht="13.9">
      <c r="A27" s="206">
        <v>15</v>
      </c>
      <c r="B27" s="417"/>
      <c r="C27" s="418"/>
      <c r="D27" s="418"/>
      <c r="E27" s="418"/>
      <c r="F27" s="418"/>
      <c r="G27" s="209"/>
      <c r="H27" s="384"/>
    </row>
    <row r="28" spans="1:8" ht="9" customHeight="1">
      <c r="A28" s="210"/>
      <c r="B28" s="211"/>
      <c r="C28" s="211"/>
      <c r="D28" s="211"/>
      <c r="E28" s="211"/>
      <c r="F28" s="211"/>
      <c r="G28" s="212"/>
      <c r="H28" s="384"/>
    </row>
    <row r="29" spans="1:8" ht="14.25" thickBot="1">
      <c r="F29" s="131" t="s">
        <v>77</v>
      </c>
      <c r="G29" s="214">
        <f>SUM(G13:G27)</f>
        <v>0</v>
      </c>
      <c r="H29" s="384"/>
    </row>
    <row r="30" spans="1:8" ht="9" customHeight="1" thickTop="1">
      <c r="H30" s="384"/>
    </row>
    <row r="31" spans="1:8" ht="13.9">
      <c r="A31" s="202" t="s">
        <v>78</v>
      </c>
      <c r="H31" s="384"/>
    </row>
    <row r="32" spans="1:8" ht="9" customHeight="1">
      <c r="H32" s="384"/>
    </row>
    <row r="33" spans="1:11" ht="13.9">
      <c r="A33" s="204" t="s">
        <v>79</v>
      </c>
      <c r="B33" s="205"/>
      <c r="C33" s="205"/>
      <c r="D33" s="205"/>
      <c r="E33" s="205"/>
      <c r="F33" s="205"/>
      <c r="G33" s="205"/>
      <c r="H33" s="384"/>
    </row>
    <row r="34" spans="1:11" ht="9" customHeight="1">
      <c r="H34" s="384"/>
    </row>
    <row r="35" spans="1:11" ht="13.9">
      <c r="G35" s="206" t="s">
        <v>2</v>
      </c>
      <c r="H35" s="384"/>
    </row>
    <row r="36" spans="1:11" ht="13.9">
      <c r="B36" s="207" t="s">
        <v>76</v>
      </c>
      <c r="G36" s="208" t="s">
        <v>1</v>
      </c>
      <c r="H36" s="384"/>
    </row>
    <row r="37" spans="1:11" ht="13.9">
      <c r="A37" s="206">
        <v>1</v>
      </c>
      <c r="B37" s="417"/>
      <c r="C37" s="419"/>
      <c r="D37" s="419"/>
      <c r="E37" s="419"/>
      <c r="F37" s="420"/>
      <c r="G37" s="209"/>
      <c r="H37" s="384"/>
    </row>
    <row r="38" spans="1:11" ht="13.9">
      <c r="A38" s="206">
        <v>2</v>
      </c>
      <c r="B38" s="417"/>
      <c r="C38" s="419"/>
      <c r="D38" s="419"/>
      <c r="E38" s="419"/>
      <c r="F38" s="420"/>
      <c r="G38" s="209"/>
      <c r="H38" s="383"/>
    </row>
    <row r="39" spans="1:11" ht="13.9">
      <c r="A39" s="206">
        <v>3</v>
      </c>
      <c r="B39" s="417"/>
      <c r="C39" s="418"/>
      <c r="D39" s="418"/>
      <c r="E39" s="418"/>
      <c r="F39" s="418"/>
      <c r="G39" s="209"/>
      <c r="H39" s="383"/>
    </row>
    <row r="40" spans="1:11" ht="13.9">
      <c r="A40" s="206">
        <v>4</v>
      </c>
      <c r="B40" s="417"/>
      <c r="C40" s="418"/>
      <c r="D40" s="418"/>
      <c r="E40" s="418"/>
      <c r="F40" s="418"/>
      <c r="G40" s="209"/>
      <c r="H40" s="383"/>
    </row>
    <row r="41" spans="1:11" ht="13.9">
      <c r="A41" s="206">
        <v>5</v>
      </c>
      <c r="B41" s="417"/>
      <c r="C41" s="418"/>
      <c r="D41" s="418"/>
      <c r="E41" s="418"/>
      <c r="F41" s="418"/>
      <c r="G41" s="209"/>
      <c r="H41" s="383"/>
    </row>
    <row r="42" spans="1:11" ht="13.9">
      <c r="A42" s="206">
        <v>6</v>
      </c>
      <c r="B42" s="417"/>
      <c r="C42" s="418"/>
      <c r="D42" s="418"/>
      <c r="E42" s="418"/>
      <c r="F42" s="418"/>
      <c r="G42" s="209"/>
      <c r="H42" s="383"/>
      <c r="K42" s="213"/>
    </row>
    <row r="43" spans="1:11" ht="13.9">
      <c r="A43" s="206">
        <v>7</v>
      </c>
      <c r="B43" s="417"/>
      <c r="C43" s="418"/>
      <c r="D43" s="418"/>
      <c r="E43" s="418"/>
      <c r="F43" s="418"/>
      <c r="G43" s="209"/>
      <c r="H43" s="383"/>
      <c r="K43" s="213"/>
    </row>
    <row r="44" spans="1:11" ht="13.9">
      <c r="A44" s="206">
        <v>8</v>
      </c>
      <c r="B44" s="417"/>
      <c r="C44" s="418"/>
      <c r="D44" s="418"/>
      <c r="E44" s="418"/>
      <c r="F44" s="418"/>
      <c r="G44" s="209"/>
      <c r="H44" s="383"/>
      <c r="K44" s="213"/>
    </row>
    <row r="45" spans="1:11" ht="13.9">
      <c r="A45" s="206">
        <v>9</v>
      </c>
      <c r="B45" s="417"/>
      <c r="C45" s="418"/>
      <c r="D45" s="418"/>
      <c r="E45" s="418"/>
      <c r="F45" s="418"/>
      <c r="G45" s="209"/>
      <c r="H45" s="383"/>
      <c r="K45" s="213"/>
    </row>
    <row r="46" spans="1:11" ht="13.9">
      <c r="A46" s="206">
        <v>10</v>
      </c>
      <c r="B46" s="417"/>
      <c r="C46" s="418"/>
      <c r="D46" s="418"/>
      <c r="E46" s="418"/>
      <c r="F46" s="418"/>
      <c r="G46" s="209"/>
      <c r="H46" s="383"/>
      <c r="K46" s="213"/>
    </row>
    <row r="47" spans="1:11" ht="13.9">
      <c r="A47" s="206">
        <v>11</v>
      </c>
      <c r="B47" s="417"/>
      <c r="C47" s="418"/>
      <c r="D47" s="418"/>
      <c r="E47" s="418"/>
      <c r="F47" s="418"/>
      <c r="G47" s="209"/>
      <c r="H47" s="383"/>
    </row>
    <row r="48" spans="1:11" ht="13.9">
      <c r="A48" s="206">
        <v>12</v>
      </c>
      <c r="B48" s="417"/>
      <c r="C48" s="418"/>
      <c r="D48" s="418"/>
      <c r="E48" s="418"/>
      <c r="F48" s="418"/>
      <c r="G48" s="209"/>
      <c r="H48" s="383"/>
    </row>
    <row r="49" spans="1:8" ht="13.9">
      <c r="A49" s="206">
        <v>13</v>
      </c>
      <c r="B49" s="417"/>
      <c r="C49" s="418"/>
      <c r="D49" s="418"/>
      <c r="E49" s="418"/>
      <c r="F49" s="418"/>
      <c r="G49" s="209"/>
      <c r="H49" s="383"/>
    </row>
    <row r="50" spans="1:8" ht="13.9">
      <c r="A50" s="206">
        <v>14</v>
      </c>
      <c r="B50" s="417"/>
      <c r="C50" s="418"/>
      <c r="D50" s="418"/>
      <c r="E50" s="418"/>
      <c r="F50" s="418"/>
      <c r="G50" s="209"/>
      <c r="H50" s="383"/>
    </row>
    <row r="51" spans="1:8" ht="13.9">
      <c r="A51" s="206">
        <v>15</v>
      </c>
      <c r="B51" s="417"/>
      <c r="C51" s="418"/>
      <c r="D51" s="418"/>
      <c r="E51" s="418"/>
      <c r="F51" s="418"/>
      <c r="G51" s="340"/>
      <c r="H51" s="383"/>
    </row>
    <row r="52" spans="1:8" ht="9" customHeight="1">
      <c r="H52" s="384"/>
    </row>
    <row r="53" spans="1:8" ht="14.25" thickBot="1">
      <c r="F53" s="131" t="s">
        <v>77</v>
      </c>
      <c r="G53" s="214">
        <f>SUM(G37:G51)</f>
        <v>0</v>
      </c>
      <c r="H53" s="384"/>
    </row>
    <row r="54" spans="1:8" ht="14.25" thickTop="1">
      <c r="H54" s="384"/>
    </row>
    <row r="55" spans="1:8" ht="15" customHeight="1">
      <c r="H55" s="395" t="s">
        <v>598</v>
      </c>
    </row>
  </sheetData>
  <mergeCells count="30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tabSelected="1" view="pageBreakPreview" zoomScale="85" zoomScaleNormal="60" zoomScaleSheetLayoutView="85" workbookViewId="0">
      <pane ySplit="9" topLeftCell="A10" activePane="bottomLeft" state="frozen"/>
      <selection activeCell="N44" sqref="N44"/>
      <selection pane="bottomLeft" activeCell="A2" sqref="A2"/>
    </sheetView>
  </sheetViews>
  <sheetFormatPr defaultColWidth="0" defaultRowHeight="0" customHeight="1" zeroHeight="1"/>
  <cols>
    <col min="1" max="1" width="2.3515625" style="201" customWidth="1"/>
    <col min="2" max="6" width="8" style="201" customWidth="1"/>
    <col min="7" max="7" width="20.3515625" style="201" customWidth="1"/>
    <col min="8" max="8" width="2.3515625" style="201" customWidth="1"/>
    <col min="9" max="9" width="11.87890625" style="201" bestFit="1" customWidth="1"/>
    <col min="10" max="10" width="2.3515625" style="201" customWidth="1"/>
    <col min="11" max="11" width="11.1171875" style="201" bestFit="1" customWidth="1"/>
    <col min="12" max="12" width="2.3515625" style="201" customWidth="1"/>
    <col min="13" max="16384" width="0" style="201" hidden="1"/>
  </cols>
  <sheetData>
    <row r="1" spans="1:11" s="131" customFormat="1" ht="14.65">
      <c r="A1" s="130" t="s">
        <v>609</v>
      </c>
      <c r="E1" s="132"/>
      <c r="K1" s="369"/>
    </row>
    <row r="2" spans="1:11" s="131" customFormat="1" ht="14.65">
      <c r="A2" s="130" t="str">
        <f>CompName</f>
        <v>Scottish Power Transmission plc</v>
      </c>
      <c r="E2" s="132"/>
      <c r="K2" s="369"/>
    </row>
    <row r="3" spans="1:11" s="131" customFormat="1" ht="12.4">
      <c r="A3" s="133"/>
      <c r="C3" s="131" t="s">
        <v>234</v>
      </c>
      <c r="E3" s="132"/>
      <c r="K3" s="369"/>
    </row>
    <row r="4" spans="1:11" s="131" customFormat="1" ht="14.65">
      <c r="A4" s="130"/>
      <c r="E4" s="132"/>
      <c r="K4" s="369"/>
    </row>
    <row r="5" spans="1:11" ht="5.2" customHeight="1">
      <c r="K5" s="384"/>
    </row>
    <row r="6" spans="1:11" ht="13.9">
      <c r="C6" s="207" t="s">
        <v>233</v>
      </c>
      <c r="D6" s="207" t="str">
        <f>RegYr</f>
        <v>Regulatory Year ending 31 March 2019</v>
      </c>
      <c r="K6" s="384"/>
    </row>
    <row r="7" spans="1:11" ht="5.2" customHeight="1">
      <c r="K7" s="384"/>
    </row>
    <row r="8" spans="1:11" ht="13.9" hidden="1">
      <c r="A8" s="215"/>
      <c r="B8" s="215"/>
      <c r="C8" s="215"/>
      <c r="D8" s="215"/>
      <c r="E8" s="215"/>
      <c r="F8" s="216"/>
      <c r="G8" s="215"/>
      <c r="H8" s="215"/>
      <c r="I8" s="215"/>
      <c r="J8" s="215"/>
      <c r="K8" s="215"/>
    </row>
    <row r="9" spans="1:11" ht="13.9">
      <c r="A9" s="3"/>
      <c r="B9" s="3"/>
      <c r="C9" s="3"/>
      <c r="D9" s="3"/>
      <c r="E9" s="3"/>
      <c r="F9" s="217"/>
      <c r="G9" s="3"/>
      <c r="H9" s="3"/>
      <c r="I9" s="218" t="s">
        <v>1</v>
      </c>
      <c r="J9" s="3"/>
      <c r="K9" s="396" t="s">
        <v>1</v>
      </c>
    </row>
    <row r="10" spans="1:11" ht="13.9">
      <c r="A10" s="3"/>
      <c r="B10" s="219" t="s">
        <v>74</v>
      </c>
      <c r="C10" s="3"/>
      <c r="D10" s="3"/>
      <c r="E10" s="3"/>
      <c r="F10" s="217"/>
      <c r="G10" s="3"/>
      <c r="H10" s="3"/>
      <c r="I10" s="218"/>
      <c r="J10" s="3"/>
      <c r="K10" s="396"/>
    </row>
    <row r="11" spans="1:11" s="221" customFormat="1" ht="13.9">
      <c r="A11" s="3"/>
      <c r="B11" s="201" t="s">
        <v>73</v>
      </c>
      <c r="C11" s="3"/>
      <c r="D11" s="3"/>
      <c r="E11" s="3"/>
      <c r="F11" s="217"/>
      <c r="G11" s="3"/>
      <c r="H11" s="3"/>
      <c r="I11" s="364">
        <f>'R10 Correction'!J10</f>
        <v>0</v>
      </c>
      <c r="J11" s="220"/>
      <c r="K11" s="222"/>
    </row>
    <row r="12" spans="1:11" s="221" customFormat="1" ht="13.9">
      <c r="A12" s="3"/>
      <c r="B12" s="3"/>
      <c r="C12" s="3"/>
      <c r="D12" s="3"/>
      <c r="E12" s="3"/>
      <c r="F12" s="217"/>
      <c r="G12" s="217"/>
      <c r="H12" s="217"/>
      <c r="I12" s="217"/>
      <c r="J12" s="222"/>
      <c r="K12" s="397"/>
    </row>
    <row r="13" spans="1:11" s="221" customFormat="1" ht="13.9">
      <c r="A13" s="3"/>
      <c r="B13" s="3"/>
      <c r="C13" s="223"/>
      <c r="D13" s="3"/>
      <c r="E13" s="3"/>
      <c r="F13" s="217"/>
      <c r="G13" s="217"/>
      <c r="H13" s="3"/>
      <c r="I13" s="222"/>
      <c r="J13" s="222"/>
      <c r="K13" s="398">
        <f>I11</f>
        <v>0</v>
      </c>
    </row>
    <row r="14" spans="1:11" s="221" customFormat="1" ht="5.2" customHeight="1">
      <c r="A14" s="224"/>
      <c r="B14" s="3"/>
      <c r="C14" s="3"/>
      <c r="D14" s="3"/>
      <c r="E14" s="3"/>
      <c r="F14" s="217"/>
      <c r="G14" s="217"/>
      <c r="H14" s="3"/>
      <c r="I14" s="222"/>
      <c r="J14" s="222"/>
      <c r="K14" s="385"/>
    </row>
    <row r="15" spans="1:11" s="221" customFormat="1" ht="13.9" hidden="1">
      <c r="A15" s="3"/>
      <c r="B15" s="3"/>
      <c r="C15" s="3"/>
      <c r="D15" s="3"/>
      <c r="E15" s="3"/>
      <c r="F15" s="217"/>
      <c r="G15" s="3"/>
      <c r="H15" s="3"/>
      <c r="I15" s="222"/>
      <c r="J15" s="222"/>
      <c r="K15" s="385"/>
    </row>
    <row r="16" spans="1:11" s="221" customFormat="1" ht="13.9" hidden="1">
      <c r="A16" s="3"/>
      <c r="B16" s="3"/>
      <c r="C16" s="3"/>
      <c r="D16" s="3"/>
      <c r="E16" s="3"/>
      <c r="F16" s="217"/>
      <c r="G16" s="3"/>
      <c r="H16" s="3"/>
      <c r="I16" s="222"/>
      <c r="J16" s="222"/>
      <c r="K16" s="385"/>
    </row>
    <row r="17" spans="1:11" s="221" customFormat="1" ht="13.9">
      <c r="A17" s="3"/>
      <c r="B17" s="3" t="s">
        <v>72</v>
      </c>
      <c r="C17" s="3"/>
      <c r="D17" s="3"/>
      <c r="E17" s="3"/>
      <c r="F17" s="217"/>
      <c r="G17" s="3"/>
      <c r="H17" s="3"/>
      <c r="I17" s="222"/>
      <c r="J17" s="222"/>
      <c r="K17" s="385"/>
    </row>
    <row r="18" spans="1:11" s="221" customFormat="1" ht="13.9">
      <c r="A18" s="3"/>
      <c r="B18" s="3"/>
      <c r="C18" s="3" t="s">
        <v>71</v>
      </c>
      <c r="D18" s="3"/>
      <c r="E18" s="3"/>
      <c r="F18" s="217"/>
      <c r="G18" s="3"/>
      <c r="H18" s="3"/>
      <c r="I18" s="364">
        <f>'R13 Excluded Revenue'!G29</f>
        <v>0</v>
      </c>
      <c r="J18" s="222"/>
      <c r="K18" s="385"/>
    </row>
    <row r="19" spans="1:11" s="221" customFormat="1" ht="13.9">
      <c r="A19" s="3"/>
      <c r="B19" s="3"/>
      <c r="C19" s="3" t="s">
        <v>70</v>
      </c>
      <c r="D19" s="3"/>
      <c r="E19" s="3"/>
      <c r="F19" s="217"/>
      <c r="G19" s="3"/>
      <c r="H19" s="3"/>
      <c r="I19" s="366"/>
      <c r="J19" s="222"/>
      <c r="K19" s="385"/>
    </row>
    <row r="20" spans="1:11" s="221" customFormat="1" ht="13.9">
      <c r="A20" s="3"/>
      <c r="B20" s="3"/>
      <c r="C20" s="3" t="s">
        <v>69</v>
      </c>
      <c r="D20" s="3"/>
      <c r="E20" s="3"/>
      <c r="F20" s="217"/>
      <c r="G20" s="3"/>
      <c r="H20" s="3"/>
      <c r="I20" s="364">
        <f>'R13 Excluded Revenue'!G53</f>
        <v>0</v>
      </c>
      <c r="J20" s="222"/>
      <c r="K20" s="385"/>
    </row>
    <row r="21" spans="1:11" s="221" customFormat="1" ht="13.9">
      <c r="A21" s="3"/>
      <c r="B21" s="3"/>
      <c r="C21" s="3"/>
      <c r="D21" s="3"/>
      <c r="E21" s="3"/>
      <c r="F21" s="217"/>
      <c r="G21" s="3"/>
      <c r="H21" s="3"/>
      <c r="I21" s="222"/>
      <c r="J21" s="222"/>
      <c r="K21" s="398">
        <f>SUM(I18:I20)</f>
        <v>0</v>
      </c>
    </row>
    <row r="22" spans="1:11" s="221" customFormat="1" ht="9" customHeight="1">
      <c r="A22" s="3"/>
      <c r="B22" s="3"/>
      <c r="C22" s="3"/>
      <c r="D22" s="3"/>
      <c r="E22" s="3"/>
      <c r="F22" s="217"/>
      <c r="G22" s="3"/>
      <c r="H22" s="3"/>
      <c r="I22" s="222"/>
      <c r="J22" s="222"/>
      <c r="K22" s="385"/>
    </row>
    <row r="23" spans="1:11" s="221" customFormat="1" ht="13.9">
      <c r="A23" s="3"/>
      <c r="B23" s="3" t="s">
        <v>68</v>
      </c>
      <c r="C23" s="3"/>
      <c r="D23" s="3"/>
      <c r="E23" s="3"/>
      <c r="F23" s="217"/>
      <c r="G23" s="3"/>
      <c r="H23" s="3"/>
      <c r="I23" s="222"/>
      <c r="J23" s="222"/>
      <c r="K23" s="385"/>
    </row>
    <row r="24" spans="1:11" s="221" customFormat="1" ht="13.9">
      <c r="A24" s="3"/>
      <c r="B24" s="3" t="s">
        <v>67</v>
      </c>
      <c r="C24" s="3"/>
      <c r="D24" s="3"/>
      <c r="E24" s="3"/>
      <c r="F24" s="217"/>
      <c r="G24" s="3"/>
      <c r="H24" s="3"/>
      <c r="I24" s="222"/>
      <c r="J24" s="222"/>
      <c r="K24" s="385"/>
    </row>
    <row r="25" spans="1:11" s="221" customFormat="1" ht="5.2" customHeight="1">
      <c r="A25" s="3"/>
      <c r="B25" s="3"/>
      <c r="C25" s="3"/>
      <c r="D25" s="3"/>
      <c r="E25" s="3"/>
      <c r="F25" s="217"/>
      <c r="G25" s="3"/>
      <c r="H25" s="3"/>
      <c r="I25" s="222"/>
      <c r="J25" s="222"/>
      <c r="K25" s="385"/>
    </row>
    <row r="26" spans="1:11" s="221" customFormat="1" ht="15" customHeight="1">
      <c r="A26" s="3"/>
      <c r="B26" s="421"/>
      <c r="C26" s="422"/>
      <c r="D26" s="422"/>
      <c r="E26" s="422"/>
      <c r="F26" s="422"/>
      <c r="G26" s="422"/>
      <c r="H26" s="3"/>
      <c r="I26" s="365"/>
      <c r="J26" s="222"/>
      <c r="K26" s="385"/>
    </row>
    <row r="27" spans="1:11" s="221" customFormat="1" ht="15" customHeight="1">
      <c r="A27" s="3"/>
      <c r="B27" s="421"/>
      <c r="C27" s="422"/>
      <c r="D27" s="422"/>
      <c r="E27" s="422"/>
      <c r="F27" s="422"/>
      <c r="G27" s="422"/>
      <c r="H27" s="3"/>
      <c r="I27" s="59"/>
      <c r="J27" s="222"/>
      <c r="K27" s="385"/>
    </row>
    <row r="28" spans="1:11" s="221" customFormat="1" ht="15" customHeight="1">
      <c r="A28" s="3"/>
      <c r="B28" s="421"/>
      <c r="C28" s="422"/>
      <c r="D28" s="422"/>
      <c r="E28" s="422"/>
      <c r="F28" s="422"/>
      <c r="G28" s="422"/>
      <c r="H28" s="225"/>
      <c r="I28" s="59"/>
      <c r="J28" s="222"/>
      <c r="K28" s="385"/>
    </row>
    <row r="29" spans="1:11" s="221" customFormat="1" ht="15" customHeight="1">
      <c r="A29" s="3"/>
      <c r="B29" s="421"/>
      <c r="C29" s="424"/>
      <c r="D29" s="424"/>
      <c r="E29" s="424"/>
      <c r="F29" s="424"/>
      <c r="G29" s="424"/>
      <c r="H29" s="225"/>
      <c r="I29" s="59"/>
      <c r="J29" s="222"/>
      <c r="K29" s="385"/>
    </row>
    <row r="30" spans="1:11" s="221" customFormat="1" ht="15" customHeight="1">
      <c r="A30" s="3"/>
      <c r="B30" s="417"/>
      <c r="C30" s="418"/>
      <c r="D30" s="418"/>
      <c r="E30" s="418"/>
      <c r="F30" s="418"/>
      <c r="G30" s="423"/>
      <c r="H30" s="3"/>
      <c r="I30" s="59"/>
      <c r="J30" s="222"/>
      <c r="K30" s="385"/>
    </row>
    <row r="31" spans="1:11" s="221" customFormat="1" ht="15" customHeight="1">
      <c r="A31" s="3"/>
      <c r="B31" s="417"/>
      <c r="C31" s="418"/>
      <c r="D31" s="418"/>
      <c r="E31" s="418"/>
      <c r="F31" s="418"/>
      <c r="G31" s="423"/>
      <c r="H31" s="225"/>
      <c r="I31" s="59"/>
      <c r="J31" s="222"/>
      <c r="K31" s="385"/>
    </row>
    <row r="32" spans="1:11" s="221" customFormat="1" ht="15" customHeight="1">
      <c r="A32" s="3"/>
      <c r="B32" s="417"/>
      <c r="C32" s="418"/>
      <c r="D32" s="418"/>
      <c r="E32" s="418"/>
      <c r="F32" s="418"/>
      <c r="G32" s="423"/>
      <c r="H32" s="3"/>
      <c r="I32" s="59"/>
      <c r="J32" s="222"/>
      <c r="K32" s="385"/>
    </row>
    <row r="33" spans="1:11" s="221" customFormat="1" ht="13.9">
      <c r="A33" s="3"/>
      <c r="B33" s="417"/>
      <c r="C33" s="418"/>
      <c r="D33" s="418"/>
      <c r="E33" s="418"/>
      <c r="F33" s="418"/>
      <c r="G33" s="423"/>
      <c r="H33" s="225"/>
      <c r="I33" s="59"/>
      <c r="J33" s="222"/>
      <c r="K33" s="385"/>
    </row>
    <row r="34" spans="1:11" s="221" customFormat="1" ht="13.9">
      <c r="A34" s="3"/>
      <c r="B34" s="417"/>
      <c r="C34" s="418"/>
      <c r="D34" s="418"/>
      <c r="E34" s="418"/>
      <c r="F34" s="418"/>
      <c r="G34" s="423"/>
      <c r="H34" s="225"/>
      <c r="I34" s="59"/>
      <c r="J34" s="222"/>
      <c r="K34" s="385"/>
    </row>
    <row r="35" spans="1:11" s="221" customFormat="1" ht="15" customHeight="1">
      <c r="A35" s="3"/>
      <c r="B35" s="417"/>
      <c r="C35" s="418"/>
      <c r="D35" s="418"/>
      <c r="E35" s="418"/>
      <c r="F35" s="418"/>
      <c r="G35" s="423"/>
      <c r="H35" s="3"/>
      <c r="I35" s="59"/>
      <c r="J35" s="222"/>
      <c r="K35" s="385"/>
    </row>
    <row r="36" spans="1:11" s="221" customFormat="1" ht="13.9">
      <c r="A36" s="3"/>
      <c r="B36" s="3"/>
      <c r="C36" s="3"/>
      <c r="D36" s="3"/>
      <c r="E36" s="3"/>
      <c r="F36" s="217"/>
      <c r="G36" s="3"/>
      <c r="H36" s="3"/>
      <c r="I36" s="222"/>
      <c r="J36" s="222"/>
      <c r="K36" s="398">
        <f>SUM(I26:I35)</f>
        <v>0</v>
      </c>
    </row>
    <row r="37" spans="1:11" s="221" customFormat="1" ht="13.9">
      <c r="A37" s="3"/>
      <c r="B37" s="3"/>
      <c r="C37" s="3"/>
      <c r="D37" s="3"/>
      <c r="E37" s="3"/>
      <c r="F37" s="3"/>
      <c r="G37" s="3"/>
      <c r="H37" s="3"/>
      <c r="I37" s="220"/>
      <c r="J37" s="222"/>
      <c r="K37" s="385"/>
    </row>
    <row r="38" spans="1:11" s="221" customFormat="1" ht="14.25" thickBot="1">
      <c r="A38" s="3"/>
      <c r="B38" s="3"/>
      <c r="C38" s="219"/>
      <c r="D38" s="219"/>
      <c r="E38" s="3"/>
      <c r="F38" s="217"/>
      <c r="G38" s="226" t="s">
        <v>393</v>
      </c>
      <c r="H38" s="3"/>
      <c r="I38" s="222"/>
      <c r="J38" s="222"/>
      <c r="K38" s="399">
        <f>K13+K21+K36</f>
        <v>0</v>
      </c>
    </row>
    <row r="39" spans="1:11" s="221" customFormat="1" ht="14.25" thickTop="1">
      <c r="A39" s="3"/>
      <c r="B39" s="3"/>
      <c r="C39" s="3"/>
      <c r="D39" s="3"/>
      <c r="E39" s="3"/>
      <c r="F39" s="217"/>
      <c r="G39" s="3"/>
      <c r="H39" s="3"/>
      <c r="I39" s="227"/>
      <c r="J39" s="227"/>
      <c r="K39" s="385"/>
    </row>
    <row r="40" spans="1:11" s="221" customFormat="1" ht="13.9">
      <c r="A40" s="3"/>
      <c r="B40" s="3"/>
      <c r="C40" s="3"/>
      <c r="D40" s="3"/>
      <c r="E40" s="3"/>
      <c r="F40" s="217"/>
      <c r="G40" s="3"/>
      <c r="H40" s="228"/>
      <c r="J40" s="228"/>
      <c r="K40" s="386"/>
    </row>
    <row r="41" spans="1:11" s="221" customFormat="1" ht="13.9">
      <c r="A41" s="3"/>
      <c r="B41" s="3"/>
      <c r="C41" s="3"/>
      <c r="D41" s="3"/>
      <c r="E41" s="3"/>
      <c r="F41" s="217"/>
      <c r="G41" s="3"/>
      <c r="H41" s="3"/>
      <c r="I41" s="228"/>
      <c r="J41" s="228"/>
      <c r="K41" s="386"/>
    </row>
    <row r="42" spans="1:11" s="221" customFormat="1" ht="13.9">
      <c r="A42" s="229" t="s">
        <v>66</v>
      </c>
      <c r="B42" s="3"/>
      <c r="C42" s="3"/>
      <c r="D42" s="3"/>
      <c r="E42" s="3"/>
      <c r="F42" s="217"/>
      <c r="G42" s="3"/>
      <c r="H42" s="3"/>
      <c r="I42" s="228"/>
      <c r="J42" s="228"/>
      <c r="K42" s="387"/>
    </row>
    <row r="43" spans="1:11" ht="13.9">
      <c r="A43" s="3"/>
      <c r="B43" s="3"/>
      <c r="C43" s="3"/>
      <c r="D43" s="3"/>
      <c r="E43" s="3"/>
      <c r="F43" s="217"/>
      <c r="G43" s="3"/>
      <c r="H43" s="3"/>
      <c r="I43" s="3"/>
      <c r="J43" s="3"/>
      <c r="K43" s="215"/>
    </row>
    <row r="44" spans="1:11" ht="13.9">
      <c r="A44" s="425"/>
      <c r="B44" s="425"/>
      <c r="C44" s="425"/>
      <c r="D44" s="425"/>
      <c r="E44" s="425"/>
      <c r="F44" s="425"/>
      <c r="G44" s="426"/>
      <c r="H44" s="426"/>
      <c r="I44" s="426"/>
      <c r="J44" s="426"/>
      <c r="K44" s="427"/>
    </row>
    <row r="45" spans="1:11" ht="13.9">
      <c r="A45" s="425"/>
      <c r="B45" s="425"/>
      <c r="C45" s="425"/>
      <c r="D45" s="425"/>
      <c r="E45" s="425"/>
      <c r="F45" s="425"/>
      <c r="G45" s="426"/>
      <c r="H45" s="426"/>
      <c r="I45" s="426"/>
      <c r="J45" s="426"/>
      <c r="K45" s="427"/>
    </row>
    <row r="46" spans="1:11" ht="13.9">
      <c r="A46" s="425"/>
      <c r="B46" s="425"/>
      <c r="C46" s="425"/>
      <c r="D46" s="425"/>
      <c r="E46" s="425"/>
      <c r="F46" s="425"/>
      <c r="G46" s="426"/>
      <c r="H46" s="426"/>
      <c r="I46" s="426"/>
      <c r="J46" s="426"/>
      <c r="K46" s="427"/>
    </row>
    <row r="47" spans="1:11" ht="13.9">
      <c r="A47" s="425"/>
      <c r="B47" s="425"/>
      <c r="C47" s="425"/>
      <c r="D47" s="425"/>
      <c r="E47" s="425"/>
      <c r="F47" s="425"/>
      <c r="G47" s="426"/>
      <c r="H47" s="426"/>
      <c r="I47" s="426"/>
      <c r="J47" s="426"/>
      <c r="K47" s="427"/>
    </row>
    <row r="48" spans="1:11" ht="13.9">
      <c r="A48" s="425"/>
      <c r="B48" s="425"/>
      <c r="C48" s="425"/>
      <c r="D48" s="425"/>
      <c r="E48" s="425"/>
      <c r="F48" s="425"/>
      <c r="G48" s="426"/>
      <c r="H48" s="426"/>
      <c r="I48" s="426"/>
      <c r="J48" s="426"/>
      <c r="K48" s="427"/>
    </row>
    <row r="49" spans="1:11" ht="13.9">
      <c r="A49" s="425"/>
      <c r="B49" s="425"/>
      <c r="C49" s="425"/>
      <c r="D49" s="425"/>
      <c r="E49" s="425"/>
      <c r="F49" s="425"/>
      <c r="G49" s="426"/>
      <c r="H49" s="426"/>
      <c r="I49" s="426"/>
      <c r="J49" s="426"/>
      <c r="K49" s="427"/>
    </row>
    <row r="50" spans="1:11" ht="13.9">
      <c r="A50" s="425"/>
      <c r="B50" s="425"/>
      <c r="C50" s="425"/>
      <c r="D50" s="425"/>
      <c r="E50" s="425"/>
      <c r="F50" s="425"/>
      <c r="G50" s="426"/>
      <c r="H50" s="426"/>
      <c r="I50" s="426"/>
      <c r="J50" s="426"/>
      <c r="K50" s="427"/>
    </row>
    <row r="51" spans="1:11" ht="13.9"/>
    <row r="52" spans="1:11" ht="13.9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A49:K49"/>
    <mergeCell ref="A44:K44"/>
    <mergeCell ref="A50:K50"/>
    <mergeCell ref="A45:K45"/>
    <mergeCell ref="A46:K46"/>
    <mergeCell ref="A47:K47"/>
    <mergeCell ref="A48:K48"/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</mergeCells>
  <pageMargins left="0.15748031496062992" right="0.15748031496062992" top="0.59055118110236227" bottom="0.59055118110236227" header="0.11811023622047245" footer="0.11811023622047245"/>
  <pageSetup paperSize="9" scale="98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0" defaultRowHeight="12.75" customHeight="1" zeroHeight="1"/>
  <cols>
    <col min="1" max="1" width="20.3515625" style="27" customWidth="1"/>
    <col min="2" max="4" width="9" style="27" customWidth="1"/>
    <col min="5" max="5" width="9" style="28" customWidth="1"/>
    <col min="6" max="14" width="9" style="27" customWidth="1"/>
    <col min="15" max="16384" width="9" style="27" hidden="1"/>
  </cols>
  <sheetData>
    <row r="1" spans="1:14" s="22" customFormat="1" ht="17.649999999999999">
      <c r="A1" s="21" t="s">
        <v>89</v>
      </c>
      <c r="C1" s="23"/>
      <c r="E1" s="24"/>
    </row>
    <row r="2" spans="1:14" s="22" customFormat="1" ht="17.649999999999999">
      <c r="A2" s="21" t="str">
        <f>CompName</f>
        <v>Scottish Power Transmission plc</v>
      </c>
      <c r="C2" s="23"/>
      <c r="E2" s="24"/>
    </row>
    <row r="3" spans="1:14" s="22" customFormat="1" ht="12.4">
      <c r="A3" s="8" t="str">
        <f>'R5 Input page'!F7</f>
        <v>Regulatory Year ending 31 March 2019</v>
      </c>
      <c r="E3" s="24"/>
    </row>
    <row r="4" spans="1:14" ht="12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</row>
    <row r="5" spans="1:14" ht="12.4">
      <c r="A5" s="25"/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2.4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1:14" ht="12.4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</row>
    <row r="8" spans="1:14" ht="12.4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</row>
    <row r="9" spans="1:14" ht="12.4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ht="12.4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4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4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4">
      <c r="A13" s="25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4">
      <c r="A14" s="25"/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4">
      <c r="A15" s="25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4">
      <c r="A16" s="25"/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9">
      <c r="A17" s="25"/>
      <c r="B17" s="25"/>
      <c r="C17" s="25"/>
      <c r="D17" s="25"/>
      <c r="E17" s="26"/>
      <c r="F17" s="25"/>
      <c r="G17" s="25"/>
      <c r="H17" s="25"/>
      <c r="I17" s="25"/>
      <c r="J17" s="25"/>
      <c r="K17" s="51"/>
      <c r="L17" s="25"/>
      <c r="M17" s="25"/>
      <c r="N17" s="25"/>
    </row>
    <row r="18" spans="1:14" ht="12.4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4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4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4">
      <c r="A21" s="25"/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4">
      <c r="A22" s="25"/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4">
      <c r="A23" s="25"/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4">
      <c r="A24" s="25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4">
      <c r="A25" s="25"/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4">
      <c r="A26" s="25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4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4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4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4" hidden="1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4" hidden="1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4" hidden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4" hidden="1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4" hidden="1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4" hidden="1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4" hidden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4" hidden="1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4" hidden="1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4" hidden="1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4" hidden="1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4" hidden="1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4" hidden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4" hidden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.4" hidden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4" hidden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4" hidden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.4" hidden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4" hidden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4" hidden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4" hidden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4" hidden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4" hidden="1">
      <c r="A52" s="25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4" hidden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4" hidden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4" hidden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2.4" hidden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2.4" hidden="1">
      <c r="A57" s="25"/>
      <c r="B57" s="25"/>
      <c r="C57" s="25"/>
      <c r="D57" s="25"/>
      <c r="E57" s="26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2.4" hidden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4" hidden="1">
      <c r="A59" s="25"/>
      <c r="B59" s="25"/>
      <c r="C59" s="25"/>
      <c r="D59" s="25"/>
      <c r="E59" s="26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2.4" hidden="1">
      <c r="A60" s="25"/>
      <c r="B60" s="25"/>
      <c r="C60" s="25"/>
      <c r="D60" s="25"/>
      <c r="E60" s="26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2.4" hidden="1">
      <c r="A61" s="25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4" hidden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4" hidden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4" hidden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4" hidden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4" hidden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4" hidden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4" hidden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4" hidden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4" hidden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4" hidden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4" hidden="1">
      <c r="A72" s="25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4" hidden="1">
      <c r="A73" s="25"/>
      <c r="B73" s="25"/>
      <c r="C73" s="25"/>
      <c r="D73" s="25"/>
      <c r="E73" s="26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4" hidden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4" hidden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4" hidden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4" hidden="1">
      <c r="A77" s="25"/>
      <c r="B77" s="25"/>
      <c r="C77" s="25"/>
      <c r="D77" s="25"/>
      <c r="E77" s="26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4" hidden="1">
      <c r="A78" s="25"/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4" hidden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4" hidden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4" hidden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topLeftCell="A10" workbookViewId="0">
      <selection activeCell="C13" sqref="C13"/>
    </sheetView>
  </sheetViews>
  <sheetFormatPr defaultColWidth="0" defaultRowHeight="12.75" customHeight="1" zeroHeight="1"/>
  <cols>
    <col min="1" max="1" width="10.3515625" style="27" bestFit="1" customWidth="1"/>
    <col min="2" max="2" width="9.3515625" style="27" bestFit="1" customWidth="1"/>
    <col min="3" max="3" width="80.64453125" style="27" customWidth="1"/>
    <col min="4" max="4" width="2.64453125" style="25" customWidth="1"/>
    <col min="5" max="5" width="9" style="28" hidden="1" customWidth="1"/>
    <col min="6" max="16384" width="9" style="27" hidden="1"/>
  </cols>
  <sheetData>
    <row r="1" spans="1:5" s="21" customFormat="1" ht="14.65">
      <c r="A1" s="21" t="s">
        <v>90</v>
      </c>
      <c r="E1" s="29"/>
    </row>
    <row r="2" spans="1:5" s="21" customFormat="1" ht="14.65">
      <c r="A2" s="21" t="str">
        <f>CompName</f>
        <v>Scottish Power Transmission plc</v>
      </c>
      <c r="E2" s="29"/>
    </row>
    <row r="3" spans="1:5" s="21" customFormat="1" ht="14.65">
      <c r="A3" s="8" t="str">
        <f>'R5 Input page'!F7</f>
        <v>Regulatory Year ending 31 March 2019</v>
      </c>
      <c r="B3" s="30"/>
      <c r="C3" s="30"/>
      <c r="D3" s="30"/>
      <c r="E3" s="29"/>
    </row>
    <row r="4" spans="1:5" s="21" customFormat="1" ht="14.65">
      <c r="A4" s="30"/>
      <c r="B4" s="30"/>
      <c r="C4" s="30"/>
      <c r="D4" s="30"/>
      <c r="E4" s="29"/>
    </row>
    <row r="5" spans="1:5" s="21" customFormat="1" ht="14.65">
      <c r="A5" s="30"/>
      <c r="B5" s="30"/>
      <c r="C5" s="30"/>
      <c r="D5" s="30"/>
      <c r="E5" s="29"/>
    </row>
    <row r="6" spans="1:5" s="21" customFormat="1" ht="14.65">
      <c r="A6" s="21" t="s">
        <v>91</v>
      </c>
      <c r="B6" s="21" t="s">
        <v>92</v>
      </c>
      <c r="C6" s="21" t="s">
        <v>93</v>
      </c>
      <c r="E6" s="29"/>
    </row>
    <row r="7" spans="1:5" ht="49.5">
      <c r="A7" s="299">
        <v>42788</v>
      </c>
      <c r="B7" s="19" t="s">
        <v>433</v>
      </c>
      <c r="C7" s="331" t="s">
        <v>577</v>
      </c>
    </row>
    <row r="8" spans="1:5" ht="61.9">
      <c r="A8" s="299">
        <v>42837</v>
      </c>
      <c r="B8" s="19" t="s">
        <v>578</v>
      </c>
      <c r="C8" s="331" t="s">
        <v>579</v>
      </c>
    </row>
    <row r="9" spans="1:5" ht="321.75">
      <c r="A9" s="299">
        <v>43139</v>
      </c>
      <c r="B9" s="19" t="s">
        <v>601</v>
      </c>
      <c r="C9" s="331" t="s">
        <v>600</v>
      </c>
    </row>
    <row r="10" spans="1:5" ht="24.75">
      <c r="A10" s="299">
        <v>43173</v>
      </c>
      <c r="B10" s="19" t="s">
        <v>602</v>
      </c>
      <c r="C10" s="331" t="s">
        <v>603</v>
      </c>
    </row>
    <row r="11" spans="1:5" ht="99">
      <c r="A11" s="299">
        <v>43508</v>
      </c>
      <c r="B11" s="19" t="s">
        <v>604</v>
      </c>
      <c r="C11" s="331" t="s">
        <v>606</v>
      </c>
    </row>
    <row r="12" spans="1:5" ht="12.4">
      <c r="A12" s="403">
        <v>43518</v>
      </c>
      <c r="B12" s="19" t="s">
        <v>604</v>
      </c>
      <c r="C12" s="350" t="s">
        <v>608</v>
      </c>
    </row>
    <row r="13" spans="1:5" ht="12.4">
      <c r="A13" s="299"/>
      <c r="B13" s="346"/>
      <c r="C13" s="350"/>
    </row>
    <row r="14" spans="1:5" ht="12.4">
      <c r="A14" s="19"/>
      <c r="B14" s="19"/>
      <c r="C14" s="31"/>
    </row>
    <row r="15" spans="1:5" ht="12.4">
      <c r="A15" s="19"/>
      <c r="B15" s="19"/>
      <c r="C15" s="31"/>
    </row>
    <row r="16" spans="1:5" ht="12.4">
      <c r="A16" s="19"/>
      <c r="B16" s="19"/>
      <c r="C16" s="31"/>
    </row>
    <row r="17" spans="1:5" s="25" customFormat="1" ht="12.4">
      <c r="E17" s="26"/>
    </row>
    <row r="18" spans="1:5" ht="12.75" customHeight="1">
      <c r="A18" s="402"/>
      <c r="B18" s="402"/>
      <c r="C18" s="402"/>
    </row>
    <row r="19" spans="1:5" ht="12.75" hidden="1" customHeight="1">
      <c r="A19" s="402"/>
      <c r="B19" s="402"/>
      <c r="C19" s="402"/>
    </row>
    <row r="20" spans="1:5" ht="12.4" hidden="1">
      <c r="A20" s="402"/>
      <c r="B20" s="402"/>
      <c r="C20" s="402"/>
    </row>
    <row r="21" spans="1:5" ht="12.75" hidden="1" customHeight="1">
      <c r="A21" s="401"/>
      <c r="B21" s="401"/>
      <c r="C21" s="401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12"/>
  <sheetViews>
    <sheetView showGridLines="0" topLeftCell="A115" zoomScale="85" zoomScaleNormal="85" zoomScaleSheetLayoutView="100" workbookViewId="0"/>
  </sheetViews>
  <sheetFormatPr defaultColWidth="0" defaultRowHeight="12.75" customHeight="1" zeroHeight="1"/>
  <cols>
    <col min="1" max="1" width="45.64453125" style="32" customWidth="1"/>
    <col min="2" max="2" width="12.1171875" style="32" customWidth="1"/>
    <col min="3" max="3" width="6.64453125" style="33" bestFit="1" customWidth="1"/>
    <col min="4" max="4" width="7" style="43" customWidth="1"/>
    <col min="5" max="5" width="8.1171875" style="43" customWidth="1"/>
    <col min="6" max="6" width="9.703125" style="32" customWidth="1"/>
    <col min="7" max="13" width="8.17578125" style="36" customWidth="1"/>
    <col min="14" max="14" width="13.3515625" style="36" bestFit="1" customWidth="1"/>
    <col min="15" max="15" width="9" style="36" hidden="1" customWidth="1"/>
    <col min="16" max="27" width="0" style="36" hidden="1" customWidth="1"/>
    <col min="28" max="16384" width="9" style="36" hidden="1"/>
  </cols>
  <sheetData>
    <row r="1" spans="1:17" s="32" customFormat="1" ht="14.65">
      <c r="A1" s="82" t="s">
        <v>94</v>
      </c>
      <c r="C1" s="33"/>
      <c r="D1" s="33"/>
      <c r="E1" s="33"/>
      <c r="N1" s="373"/>
    </row>
    <row r="2" spans="1:17" s="32" customFormat="1" ht="14.65">
      <c r="A2" s="82" t="str">
        <f>CompName</f>
        <v>Scottish Power Transmission plc</v>
      </c>
      <c r="C2" s="33"/>
      <c r="D2" s="33"/>
      <c r="E2" s="33"/>
      <c r="N2" s="373"/>
    </row>
    <row r="3" spans="1:17" s="32" customFormat="1" ht="12.4">
      <c r="A3" s="83" t="str">
        <f>'R5 Input page'!F7</f>
        <v>Regulatory Year ending 31 March 2019</v>
      </c>
      <c r="C3" s="33"/>
      <c r="D3" s="33"/>
      <c r="E3" s="33"/>
      <c r="N3" s="373"/>
    </row>
    <row r="4" spans="1:17" ht="14.65">
      <c r="A4" s="82"/>
      <c r="C4" s="35"/>
      <c r="D4" s="35"/>
      <c r="E4" s="35"/>
      <c r="F4" s="35"/>
      <c r="G4" s="35"/>
      <c r="H4" s="35"/>
      <c r="I4" s="404" t="s">
        <v>95</v>
      </c>
      <c r="J4" s="404"/>
      <c r="K4" s="405"/>
      <c r="L4" s="35"/>
      <c r="M4" s="35"/>
      <c r="N4" s="374"/>
    </row>
    <row r="5" spans="1:17" ht="14.65">
      <c r="A5" s="82" t="s">
        <v>96</v>
      </c>
      <c r="C5" s="35" t="s">
        <v>0</v>
      </c>
      <c r="D5" s="47">
        <v>2012</v>
      </c>
      <c r="E5" s="47">
        <v>2013</v>
      </c>
      <c r="F5" s="47">
        <v>2014</v>
      </c>
      <c r="G5" s="47">
        <v>2015</v>
      </c>
      <c r="H5" s="47">
        <v>2016</v>
      </c>
      <c r="I5" s="47">
        <v>2017</v>
      </c>
      <c r="J5" s="47">
        <v>2018</v>
      </c>
      <c r="K5" s="47">
        <v>2019</v>
      </c>
      <c r="L5" s="47">
        <v>2020</v>
      </c>
      <c r="M5" s="47">
        <v>2021</v>
      </c>
      <c r="N5" s="374" t="s">
        <v>97</v>
      </c>
    </row>
    <row r="6" spans="1:17" s="39" customFormat="1" ht="12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5"/>
      <c r="O6" s="37"/>
      <c r="P6" s="38"/>
      <c r="Q6" s="37"/>
    </row>
    <row r="7" spans="1:17" ht="13.5">
      <c r="B7" s="40"/>
      <c r="C7" s="41"/>
      <c r="D7" s="41"/>
      <c r="E7" s="41"/>
      <c r="F7" s="40"/>
      <c r="G7" s="40"/>
      <c r="I7" s="35"/>
      <c r="J7" s="35"/>
      <c r="K7" s="35"/>
      <c r="L7" s="35"/>
      <c r="M7" s="35"/>
      <c r="N7" s="374"/>
    </row>
    <row r="8" spans="1:17" ht="14.65">
      <c r="A8" s="82" t="s">
        <v>99</v>
      </c>
      <c r="B8" s="40"/>
      <c r="C8" s="41"/>
      <c r="D8" s="41"/>
      <c r="E8" s="41"/>
      <c r="F8" s="40"/>
      <c r="G8" s="40"/>
      <c r="I8" s="35"/>
      <c r="J8" s="35"/>
      <c r="K8" s="35"/>
      <c r="L8" s="35"/>
      <c r="M8" s="35"/>
      <c r="N8" s="374"/>
    </row>
    <row r="9" spans="1:17" ht="12.4">
      <c r="A9" s="32" t="s">
        <v>510</v>
      </c>
      <c r="B9" s="32" t="s">
        <v>100</v>
      </c>
      <c r="C9" s="310" t="s">
        <v>524</v>
      </c>
      <c r="D9" s="33"/>
      <c r="E9" s="33"/>
      <c r="F9" s="68">
        <v>225.12200000000001</v>
      </c>
      <c r="G9" s="68">
        <v>236.95</v>
      </c>
      <c r="H9" s="68">
        <v>258.63299999999998</v>
      </c>
      <c r="I9" s="68">
        <v>244.655</v>
      </c>
      <c r="J9" s="68">
        <v>249.43899999999999</v>
      </c>
      <c r="K9" s="68">
        <v>253.065</v>
      </c>
      <c r="L9" s="68">
        <v>256.44499999999999</v>
      </c>
      <c r="M9" s="68">
        <v>254.238</v>
      </c>
      <c r="N9" s="374" t="s">
        <v>100</v>
      </c>
      <c r="O9" s="34"/>
      <c r="P9" s="34"/>
      <c r="Q9" s="34"/>
    </row>
    <row r="10" spans="1:17" ht="12.4">
      <c r="F10" s="33"/>
      <c r="G10" s="43"/>
      <c r="H10" s="43"/>
      <c r="I10" s="43"/>
      <c r="J10" s="43"/>
      <c r="K10" s="43"/>
      <c r="L10" s="43"/>
      <c r="M10" s="43"/>
      <c r="N10" s="376"/>
    </row>
    <row r="11" spans="1:17" ht="14.65">
      <c r="A11" s="82" t="s">
        <v>101</v>
      </c>
      <c r="D11" s="33"/>
      <c r="E11" s="33"/>
      <c r="G11" s="32"/>
      <c r="H11" s="32"/>
      <c r="I11" s="32"/>
      <c r="J11" s="32"/>
      <c r="K11" s="32"/>
      <c r="L11" s="32"/>
      <c r="M11" s="32"/>
      <c r="N11" s="374"/>
    </row>
    <row r="12" spans="1:17" ht="12.4">
      <c r="A12" s="32" t="s">
        <v>511</v>
      </c>
      <c r="B12" s="32" t="s">
        <v>114</v>
      </c>
      <c r="C12" s="310" t="s">
        <v>524</v>
      </c>
      <c r="F12" s="68">
        <v>24.1</v>
      </c>
      <c r="G12" s="68">
        <v>24.1</v>
      </c>
      <c r="H12" s="68">
        <v>24.1</v>
      </c>
      <c r="I12" s="68">
        <v>24.1</v>
      </c>
      <c r="J12" s="68">
        <v>24.1</v>
      </c>
      <c r="K12" s="68">
        <v>24.1</v>
      </c>
      <c r="L12" s="68">
        <v>24.1</v>
      </c>
      <c r="M12" s="68">
        <v>24.1</v>
      </c>
      <c r="N12" s="374" t="s">
        <v>114</v>
      </c>
    </row>
    <row r="13" spans="1:17" ht="12.4" hidden="1">
      <c r="C13" s="44"/>
      <c r="F13" s="42"/>
      <c r="G13" s="42"/>
      <c r="H13" s="42"/>
      <c r="I13" s="42"/>
      <c r="J13" s="42"/>
      <c r="K13" s="42"/>
      <c r="L13" s="42"/>
      <c r="M13" s="42"/>
      <c r="N13" s="368"/>
    </row>
    <row r="14" spans="1:17" ht="12.4" hidden="1">
      <c r="C14" s="44"/>
      <c r="F14" s="42"/>
      <c r="G14" s="42"/>
      <c r="H14" s="42"/>
      <c r="I14" s="42"/>
      <c r="J14" s="42"/>
      <c r="K14" s="42"/>
      <c r="L14" s="42"/>
      <c r="M14" s="42"/>
      <c r="N14" s="368"/>
    </row>
    <row r="15" spans="1:17" ht="12.4" hidden="1">
      <c r="A15" s="37"/>
      <c r="C15" s="44"/>
      <c r="F15" s="42"/>
      <c r="G15" s="42"/>
      <c r="H15" s="42"/>
      <c r="I15" s="42"/>
      <c r="J15" s="42"/>
      <c r="K15" s="42"/>
      <c r="L15" s="42"/>
      <c r="M15" s="42"/>
      <c r="N15" s="368"/>
    </row>
    <row r="16" spans="1:17" ht="12.4" hidden="1">
      <c r="G16" s="32"/>
      <c r="H16" s="32"/>
      <c r="I16" s="32"/>
      <c r="J16" s="32"/>
      <c r="K16" s="32"/>
      <c r="L16" s="32"/>
      <c r="M16" s="32"/>
      <c r="N16" s="368"/>
    </row>
    <row r="17" spans="1:17" ht="12.4" hidden="1">
      <c r="B17" s="45"/>
      <c r="G17" s="32"/>
      <c r="H17" s="32"/>
      <c r="I17" s="32"/>
      <c r="J17" s="32"/>
      <c r="K17" s="32"/>
      <c r="L17" s="32"/>
      <c r="M17" s="32"/>
      <c r="N17" s="368"/>
    </row>
    <row r="18" spans="1:17" ht="12.75" customHeight="1">
      <c r="N18" s="355"/>
    </row>
    <row r="19" spans="1:17" ht="12.75" customHeight="1">
      <c r="A19" s="84" t="s">
        <v>185</v>
      </c>
      <c r="N19" s="355"/>
    </row>
    <row r="20" spans="1:17" ht="12.75" customHeight="1">
      <c r="N20" s="355"/>
    </row>
    <row r="21" spans="1:17" ht="12.75" customHeight="1">
      <c r="A21" s="83" t="s">
        <v>186</v>
      </c>
      <c r="N21" s="355"/>
    </row>
    <row r="22" spans="1:17" ht="12.75" customHeight="1">
      <c r="A22" s="32" t="s">
        <v>512</v>
      </c>
      <c r="B22" s="32" t="s">
        <v>187</v>
      </c>
      <c r="C22" s="33" t="s">
        <v>1</v>
      </c>
      <c r="F22" s="69">
        <v>1.6E-2</v>
      </c>
      <c r="G22" s="69">
        <v>1.6E-2</v>
      </c>
      <c r="H22" s="69">
        <v>1.6E-2</v>
      </c>
      <c r="I22" s="69">
        <v>1.6E-2</v>
      </c>
      <c r="J22" s="69">
        <v>1.6E-2</v>
      </c>
      <c r="K22" s="69">
        <v>1.6E-2</v>
      </c>
      <c r="L22" s="69">
        <v>1.6E-2</v>
      </c>
      <c r="M22" s="69">
        <v>1.6E-2</v>
      </c>
      <c r="N22" s="379" t="s">
        <v>187</v>
      </c>
    </row>
    <row r="23" spans="1:17" s="49" customFormat="1" ht="12.4">
      <c r="A23" s="52" t="s">
        <v>513</v>
      </c>
      <c r="B23" s="52" t="s">
        <v>189</v>
      </c>
      <c r="C23" s="50" t="s">
        <v>188</v>
      </c>
      <c r="D23" s="43"/>
      <c r="E23" s="43"/>
      <c r="F23" s="70">
        <v>225</v>
      </c>
      <c r="G23" s="70">
        <v>225</v>
      </c>
      <c r="H23" s="70">
        <v>225</v>
      </c>
      <c r="I23" s="70">
        <v>225</v>
      </c>
      <c r="J23" s="70">
        <v>225</v>
      </c>
      <c r="K23" s="70">
        <v>225</v>
      </c>
      <c r="L23" s="70">
        <v>225</v>
      </c>
      <c r="M23" s="70">
        <v>225</v>
      </c>
      <c r="N23" s="378" t="s">
        <v>189</v>
      </c>
      <c r="O23" s="46"/>
      <c r="P23" s="46"/>
      <c r="Q23" s="46"/>
    </row>
    <row r="24" spans="1:17" s="49" customFormat="1" ht="12.4">
      <c r="A24" s="52" t="s">
        <v>514</v>
      </c>
      <c r="B24" s="52" t="s">
        <v>190</v>
      </c>
      <c r="C24" s="50" t="s">
        <v>98</v>
      </c>
      <c r="D24" s="43"/>
      <c r="E24" s="43"/>
      <c r="F24" s="71">
        <v>0.03</v>
      </c>
      <c r="G24" s="71">
        <v>0.03</v>
      </c>
      <c r="H24" s="71">
        <v>0.03</v>
      </c>
      <c r="I24" s="71">
        <v>0.03</v>
      </c>
      <c r="J24" s="71">
        <v>0.03</v>
      </c>
      <c r="K24" s="71">
        <v>0.03</v>
      </c>
      <c r="L24" s="71">
        <v>0.03</v>
      </c>
      <c r="M24" s="71">
        <v>0.03</v>
      </c>
      <c r="N24" s="378" t="s">
        <v>190</v>
      </c>
      <c r="O24" s="46"/>
      <c r="P24" s="46"/>
      <c r="Q24" s="46"/>
    </row>
    <row r="25" spans="1:17" ht="12.75" customHeight="1">
      <c r="N25" s="355"/>
    </row>
    <row r="26" spans="1:17" ht="12.75" hidden="1" customHeight="1">
      <c r="N26" s="355"/>
    </row>
    <row r="27" spans="1:17" ht="12.75" hidden="1" customHeight="1">
      <c r="N27" s="355"/>
    </row>
    <row r="28" spans="1:17" ht="12.75" customHeight="1">
      <c r="N28" s="355"/>
    </row>
    <row r="29" spans="1:17" s="1" customFormat="1" ht="13.9">
      <c r="A29" s="85" t="s">
        <v>415</v>
      </c>
      <c r="C29" s="253"/>
      <c r="D29" s="78"/>
      <c r="E29" s="79"/>
      <c r="F29" s="80"/>
      <c r="G29" s="80"/>
      <c r="N29" s="400"/>
      <c r="P29" s="81"/>
    </row>
    <row r="30" spans="1:17" s="1" customFormat="1" ht="13.5">
      <c r="C30" s="253"/>
      <c r="D30" s="78"/>
      <c r="E30" s="79"/>
      <c r="F30" s="80"/>
      <c r="G30" s="80"/>
      <c r="H30" s="80"/>
      <c r="I30" s="80"/>
      <c r="J30" s="80"/>
      <c r="K30" s="80"/>
      <c r="N30" s="400"/>
      <c r="P30" s="81"/>
    </row>
    <row r="31" spans="1:17" s="1" customFormat="1" ht="13.5">
      <c r="A31" s="53" t="s">
        <v>416</v>
      </c>
      <c r="B31" s="86" t="s">
        <v>411</v>
      </c>
      <c r="C31" s="254" t="s">
        <v>417</v>
      </c>
      <c r="D31" s="77"/>
      <c r="E31" s="77"/>
      <c r="F31" s="89">
        <v>8</v>
      </c>
      <c r="G31" s="80"/>
      <c r="H31" s="80"/>
      <c r="I31" s="80"/>
      <c r="J31" s="80"/>
      <c r="K31" s="80"/>
      <c r="N31" s="400"/>
      <c r="P31" s="81" t="s">
        <v>411</v>
      </c>
    </row>
    <row r="32" spans="1:17" s="1" customFormat="1" ht="13.5">
      <c r="A32" s="53" t="s">
        <v>418</v>
      </c>
      <c r="B32" s="86" t="s">
        <v>408</v>
      </c>
      <c r="C32" s="254" t="s">
        <v>417</v>
      </c>
      <c r="D32" s="77"/>
      <c r="E32" s="77"/>
      <c r="F32" s="89">
        <v>10</v>
      </c>
      <c r="G32" s="80"/>
      <c r="H32" s="80"/>
      <c r="I32" s="80"/>
      <c r="J32" s="80"/>
      <c r="K32" s="80"/>
      <c r="N32" s="400"/>
      <c r="P32" s="81" t="s">
        <v>408</v>
      </c>
    </row>
    <row r="33" spans="1:16" s="1" customFormat="1" ht="13.9">
      <c r="A33" s="87"/>
      <c r="B33" s="88"/>
      <c r="C33" s="254"/>
      <c r="D33" s="77"/>
      <c r="E33" s="77"/>
      <c r="F33" s="53"/>
      <c r="G33" s="80"/>
      <c r="H33" s="80"/>
      <c r="I33" s="80"/>
      <c r="J33" s="80"/>
      <c r="K33" s="80"/>
      <c r="N33" s="400"/>
      <c r="P33" s="81"/>
    </row>
    <row r="34" spans="1:16" s="1" customFormat="1" ht="13.5">
      <c r="A34" s="53" t="s">
        <v>419</v>
      </c>
      <c r="B34" s="86" t="s">
        <v>407</v>
      </c>
      <c r="C34" s="254" t="s">
        <v>98</v>
      </c>
      <c r="D34" s="77"/>
      <c r="E34" s="77"/>
      <c r="F34" s="94">
        <v>5.0000000000000001E-3</v>
      </c>
      <c r="G34" s="80"/>
      <c r="H34" s="80"/>
      <c r="I34" s="80"/>
      <c r="J34" s="80"/>
      <c r="K34" s="80"/>
      <c r="N34" s="400"/>
      <c r="P34" s="81" t="s">
        <v>407</v>
      </c>
    </row>
    <row r="35" spans="1:16" s="1" customFormat="1" ht="13.5">
      <c r="A35" s="53" t="s">
        <v>420</v>
      </c>
      <c r="B35" s="86" t="s">
        <v>190</v>
      </c>
      <c r="C35" s="254" t="s">
        <v>98</v>
      </c>
      <c r="D35" s="77"/>
      <c r="E35" s="77"/>
      <c r="F35" s="94">
        <v>-7.4999999999999997E-3</v>
      </c>
      <c r="G35" s="80"/>
      <c r="H35" s="80"/>
      <c r="I35" s="80"/>
      <c r="J35" s="80"/>
      <c r="K35" s="80"/>
      <c r="N35" s="400"/>
      <c r="P35" s="81" t="s">
        <v>190</v>
      </c>
    </row>
    <row r="36" spans="1:16" s="1" customFormat="1" ht="13.5">
      <c r="A36" s="53"/>
      <c r="B36" s="88"/>
      <c r="C36" s="254"/>
      <c r="D36" s="77"/>
      <c r="E36" s="77"/>
      <c r="F36" s="53"/>
      <c r="G36" s="80"/>
      <c r="H36" s="80"/>
      <c r="I36" s="80"/>
      <c r="J36" s="80"/>
      <c r="K36" s="80"/>
      <c r="N36" s="400"/>
      <c r="P36" s="81"/>
    </row>
    <row r="37" spans="1:16" s="1" customFormat="1" ht="13.5">
      <c r="A37" s="53" t="s">
        <v>421</v>
      </c>
      <c r="B37" s="86" t="s">
        <v>409</v>
      </c>
      <c r="C37" s="254" t="s">
        <v>417</v>
      </c>
      <c r="D37" s="77"/>
      <c r="E37" s="77"/>
      <c r="F37" s="89">
        <v>22</v>
      </c>
      <c r="G37" s="80"/>
      <c r="H37" s="80"/>
      <c r="I37" s="80"/>
      <c r="J37" s="80"/>
      <c r="K37" s="80"/>
      <c r="N37" s="400"/>
      <c r="P37" s="81" t="s">
        <v>409</v>
      </c>
    </row>
    <row r="38" spans="1:16" ht="12.75" customHeight="1">
      <c r="N38" s="355"/>
    </row>
    <row r="39" spans="1:16" ht="12.75" customHeight="1">
      <c r="N39" s="355"/>
    </row>
    <row r="40" spans="1:16" ht="12.75" customHeight="1">
      <c r="A40" s="32" t="s">
        <v>515</v>
      </c>
      <c r="B40" s="32" t="s">
        <v>201</v>
      </c>
      <c r="C40" s="33" t="s">
        <v>98</v>
      </c>
      <c r="F40" s="71">
        <v>0.5</v>
      </c>
      <c r="G40" s="71">
        <v>0.5</v>
      </c>
      <c r="H40" s="71">
        <v>0.5</v>
      </c>
      <c r="I40" s="71">
        <v>0.5</v>
      </c>
      <c r="J40" s="71">
        <v>0.5</v>
      </c>
      <c r="K40" s="71">
        <v>0.5</v>
      </c>
      <c r="L40" s="71">
        <v>0.5</v>
      </c>
      <c r="M40" s="71">
        <v>0.5</v>
      </c>
      <c r="N40" s="379" t="s">
        <v>201</v>
      </c>
    </row>
    <row r="41" spans="1:16" ht="12.75" customHeight="1">
      <c r="N41" s="355"/>
    </row>
    <row r="42" spans="1:16" ht="12.75" customHeight="1">
      <c r="A42" s="52" t="s">
        <v>516</v>
      </c>
      <c r="B42" s="52" t="s">
        <v>49</v>
      </c>
      <c r="C42" s="254" t="s">
        <v>98</v>
      </c>
      <c r="D42"/>
      <c r="E42"/>
      <c r="F42" s="71">
        <v>5.0000000000000001E-3</v>
      </c>
      <c r="G42" s="71">
        <v>5.0000000000000001E-3</v>
      </c>
      <c r="H42" s="71">
        <v>5.0000000000000001E-3</v>
      </c>
      <c r="I42" s="71">
        <v>5.0000000000000001E-3</v>
      </c>
      <c r="J42" s="71">
        <v>5.0000000000000001E-3</v>
      </c>
      <c r="K42" s="71">
        <v>5.0000000000000001E-3</v>
      </c>
      <c r="L42" s="71">
        <v>5.0000000000000001E-3</v>
      </c>
      <c r="M42" s="71">
        <v>5.0000000000000001E-3</v>
      </c>
      <c r="N42" s="379" t="s">
        <v>49</v>
      </c>
    </row>
    <row r="43" spans="1:16" ht="12.75" customHeight="1">
      <c r="A43" s="52"/>
      <c r="B43" s="52"/>
      <c r="C43" s="254"/>
      <c r="D43"/>
      <c r="E43"/>
      <c r="F43" s="65"/>
      <c r="G43" s="65"/>
      <c r="H43" s="65"/>
      <c r="I43" s="65"/>
      <c r="J43" s="65"/>
      <c r="K43" s="65"/>
      <c r="L43" s="65"/>
      <c r="M43" s="65"/>
      <c r="N43" s="379"/>
    </row>
    <row r="44" spans="1:16" ht="12.75" customHeight="1">
      <c r="A44" s="56" t="s">
        <v>206</v>
      </c>
      <c r="B44" s="52"/>
      <c r="C44" s="254"/>
      <c r="D44"/>
      <c r="E44"/>
      <c r="F44" s="65"/>
      <c r="G44" s="65"/>
      <c r="H44" s="65"/>
      <c r="I44" s="65"/>
      <c r="J44" s="65"/>
      <c r="K44" s="65"/>
      <c r="L44" s="65"/>
      <c r="M44" s="65"/>
      <c r="N44" s="379"/>
    </row>
    <row r="45" spans="1:16" s="61" customFormat="1" ht="12.4">
      <c r="A45" s="52" t="s">
        <v>517</v>
      </c>
      <c r="B45" s="52" t="s">
        <v>37</v>
      </c>
      <c r="C45" s="254" t="s">
        <v>110</v>
      </c>
      <c r="F45" s="90">
        <v>23.9</v>
      </c>
      <c r="G45" s="90">
        <v>23.9</v>
      </c>
      <c r="H45" s="90">
        <v>23.9</v>
      </c>
      <c r="I45" s="90">
        <v>23.9</v>
      </c>
      <c r="J45" s="90">
        <v>23.9</v>
      </c>
      <c r="K45" s="90">
        <v>23.9</v>
      </c>
      <c r="L45" s="90">
        <v>23.9</v>
      </c>
      <c r="M45" s="90">
        <v>23.9</v>
      </c>
      <c r="N45" s="381" t="s">
        <v>37</v>
      </c>
    </row>
    <row r="46" spans="1:16" ht="12.75" customHeight="1">
      <c r="A46" s="32" t="s">
        <v>518</v>
      </c>
      <c r="B46" s="76" t="s">
        <v>213</v>
      </c>
      <c r="C46" s="50" t="s">
        <v>389</v>
      </c>
      <c r="D46" s="67"/>
      <c r="E46" s="67"/>
      <c r="F46" s="91">
        <v>50</v>
      </c>
      <c r="G46" s="91">
        <v>51</v>
      </c>
      <c r="H46" s="91">
        <v>52</v>
      </c>
      <c r="I46" s="91">
        <v>53</v>
      </c>
      <c r="J46" s="91">
        <v>54</v>
      </c>
      <c r="K46" s="91">
        <v>55</v>
      </c>
      <c r="L46" s="91">
        <v>56</v>
      </c>
      <c r="M46" s="91">
        <v>57</v>
      </c>
      <c r="N46" s="378" t="s">
        <v>213</v>
      </c>
    </row>
    <row r="47" spans="1:16" ht="12.75" customHeight="1">
      <c r="A47" s="353"/>
      <c r="B47" s="52"/>
      <c r="C47" s="254"/>
      <c r="D47"/>
      <c r="E47"/>
      <c r="F47" s="65"/>
      <c r="G47" s="65"/>
      <c r="H47" s="65"/>
      <c r="I47" s="65"/>
      <c r="J47" s="65"/>
      <c r="K47" s="65"/>
      <c r="L47" s="65"/>
      <c r="M47" s="65"/>
      <c r="N47" s="379"/>
    </row>
    <row r="48" spans="1:16" ht="12.75" customHeight="1">
      <c r="A48" s="354" t="s">
        <v>387</v>
      </c>
      <c r="B48" s="52"/>
      <c r="C48" s="254"/>
      <c r="D48"/>
      <c r="E48"/>
      <c r="F48" s="65"/>
      <c r="G48" s="65"/>
      <c r="H48" s="65"/>
      <c r="I48" s="65"/>
      <c r="J48" s="65"/>
      <c r="K48" s="65"/>
      <c r="L48" s="65"/>
      <c r="M48" s="65"/>
      <c r="N48" s="379"/>
    </row>
    <row r="49" spans="1:14" ht="12.75" customHeight="1">
      <c r="A49" s="355" t="s">
        <v>542</v>
      </c>
      <c r="B49" s="54" t="s">
        <v>549</v>
      </c>
      <c r="C49" s="33" t="s">
        <v>543</v>
      </c>
      <c r="E49"/>
      <c r="F49" s="318">
        <v>0</v>
      </c>
      <c r="G49" s="318">
        <v>0</v>
      </c>
      <c r="H49" s="318">
        <v>0</v>
      </c>
      <c r="I49" s="318">
        <v>7.4</v>
      </c>
      <c r="J49" s="318">
        <v>7.4</v>
      </c>
      <c r="K49" s="318">
        <v>7.4</v>
      </c>
      <c r="L49" s="318">
        <v>7.4</v>
      </c>
      <c r="M49" s="318">
        <v>7.4</v>
      </c>
      <c r="N49" s="379" t="s">
        <v>549</v>
      </c>
    </row>
    <row r="50" spans="1:14" ht="12.75" customHeight="1">
      <c r="A50" s="355" t="s">
        <v>544</v>
      </c>
      <c r="B50" s="54" t="s">
        <v>550</v>
      </c>
      <c r="C50" s="33" t="s">
        <v>543</v>
      </c>
      <c r="E50"/>
      <c r="F50" s="318">
        <v>0</v>
      </c>
      <c r="G50" s="318">
        <v>0</v>
      </c>
      <c r="H50" s="318">
        <v>0</v>
      </c>
      <c r="I50" s="318">
        <v>9</v>
      </c>
      <c r="J50" s="318">
        <v>9</v>
      </c>
      <c r="K50" s="318">
        <v>9</v>
      </c>
      <c r="L50" s="318">
        <v>9</v>
      </c>
      <c r="M50" s="318">
        <v>9</v>
      </c>
      <c r="N50" s="379" t="s">
        <v>550</v>
      </c>
    </row>
    <row r="51" spans="1:14" ht="12.75" customHeight="1">
      <c r="A51" s="355" t="s">
        <v>546</v>
      </c>
      <c r="B51" s="54" t="s">
        <v>552</v>
      </c>
      <c r="C51" s="33" t="s">
        <v>543</v>
      </c>
      <c r="E51"/>
      <c r="F51" s="318">
        <v>0</v>
      </c>
      <c r="G51" s="318">
        <v>0</v>
      </c>
      <c r="H51" s="318">
        <v>0</v>
      </c>
      <c r="I51" s="318">
        <v>5.8</v>
      </c>
      <c r="J51" s="318">
        <v>5.8</v>
      </c>
      <c r="K51" s="318">
        <v>5.8</v>
      </c>
      <c r="L51" s="318">
        <v>5.8</v>
      </c>
      <c r="M51" s="318">
        <v>5.8</v>
      </c>
      <c r="N51" s="379" t="s">
        <v>552</v>
      </c>
    </row>
    <row r="52" spans="1:14" ht="12.75" customHeight="1">
      <c r="A52" s="355" t="s">
        <v>545</v>
      </c>
      <c r="B52" s="54" t="s">
        <v>551</v>
      </c>
      <c r="C52" s="33" t="s">
        <v>575</v>
      </c>
      <c r="E52"/>
      <c r="F52" s="347">
        <v>1</v>
      </c>
      <c r="G52" s="347">
        <v>1</v>
      </c>
      <c r="H52" s="347">
        <v>1</v>
      </c>
      <c r="I52" s="347">
        <v>1</v>
      </c>
      <c r="J52" s="347">
        <v>1</v>
      </c>
      <c r="K52" s="347">
        <v>1</v>
      </c>
      <c r="L52" s="347">
        <v>1</v>
      </c>
      <c r="M52" s="347">
        <v>1</v>
      </c>
      <c r="N52" s="379" t="s">
        <v>551</v>
      </c>
    </row>
    <row r="53" spans="1:14" ht="12.75" customHeight="1">
      <c r="A53" s="355" t="s">
        <v>547</v>
      </c>
      <c r="B53" s="54" t="s">
        <v>553</v>
      </c>
      <c r="C53" s="33" t="s">
        <v>576</v>
      </c>
      <c r="E53"/>
      <c r="F53" s="347">
        <v>-1</v>
      </c>
      <c r="G53" s="347">
        <v>-1</v>
      </c>
      <c r="H53" s="347">
        <v>-1</v>
      </c>
      <c r="I53" s="347">
        <v>-1</v>
      </c>
      <c r="J53" s="347">
        <v>-1</v>
      </c>
      <c r="K53" s="347">
        <v>-1</v>
      </c>
      <c r="L53" s="347">
        <v>-1</v>
      </c>
      <c r="M53" s="347">
        <v>-1</v>
      </c>
      <c r="N53" s="379" t="s">
        <v>553</v>
      </c>
    </row>
    <row r="54" spans="1:14" ht="12.75" customHeight="1">
      <c r="A54" s="353" t="s">
        <v>386</v>
      </c>
      <c r="B54" s="345" t="s">
        <v>556</v>
      </c>
      <c r="C54" s="33" t="s">
        <v>1</v>
      </c>
      <c r="E54"/>
      <c r="F54" s="90">
        <v>5.0000000000000001E-3</v>
      </c>
      <c r="G54" s="90">
        <v>5.0000000000000001E-3</v>
      </c>
      <c r="H54" s="90">
        <v>5.0000000000000001E-3</v>
      </c>
      <c r="I54" s="90">
        <v>5.0000000000000001E-3</v>
      </c>
      <c r="J54" s="90">
        <v>5.0000000000000001E-3</v>
      </c>
      <c r="K54" s="90">
        <v>5.0000000000000001E-3</v>
      </c>
      <c r="L54" s="90">
        <v>5.0000000000000001E-3</v>
      </c>
      <c r="M54" s="90">
        <v>5.0000000000000001E-3</v>
      </c>
      <c r="N54" s="379" t="s">
        <v>555</v>
      </c>
    </row>
    <row r="55" spans="1:14" ht="12.75" customHeight="1">
      <c r="A55" s="353" t="s">
        <v>554</v>
      </c>
      <c r="B55" s="32" t="s">
        <v>534</v>
      </c>
      <c r="C55" s="33" t="s">
        <v>98</v>
      </c>
      <c r="F55" s="71">
        <v>0</v>
      </c>
      <c r="G55" s="71">
        <v>0</v>
      </c>
      <c r="H55" s="71">
        <v>0</v>
      </c>
      <c r="I55" s="71">
        <v>0.6</v>
      </c>
      <c r="J55" s="71">
        <v>0.6</v>
      </c>
      <c r="K55" s="71">
        <v>0.6</v>
      </c>
      <c r="L55" s="71">
        <v>0.6</v>
      </c>
      <c r="M55" s="71">
        <v>0.6</v>
      </c>
      <c r="N55" s="379" t="s">
        <v>534</v>
      </c>
    </row>
    <row r="56" spans="1:14" ht="12.75" customHeight="1">
      <c r="A56" s="353"/>
      <c r="F56" s="92"/>
      <c r="G56" s="92"/>
      <c r="H56" s="92"/>
      <c r="I56" s="92"/>
      <c r="J56" s="92"/>
      <c r="K56" s="92"/>
      <c r="L56" s="92"/>
      <c r="M56" s="92"/>
      <c r="N56" s="355"/>
    </row>
    <row r="57" spans="1:14" ht="12.75" customHeight="1">
      <c r="A57" s="353"/>
      <c r="F57" s="92"/>
      <c r="G57" s="92"/>
      <c r="H57" s="92"/>
      <c r="I57" s="92"/>
      <c r="J57" s="92"/>
      <c r="K57" s="92"/>
      <c r="L57" s="92"/>
      <c r="M57" s="92"/>
      <c r="N57" s="355"/>
    </row>
    <row r="58" spans="1:14" ht="12.75" customHeight="1">
      <c r="A58" s="351" t="s">
        <v>561</v>
      </c>
      <c r="B58" s="131" t="s">
        <v>560</v>
      </c>
      <c r="C58" s="33" t="s">
        <v>543</v>
      </c>
      <c r="F58" s="318">
        <v>0</v>
      </c>
      <c r="G58" s="318">
        <v>0</v>
      </c>
      <c r="H58" s="318">
        <v>0</v>
      </c>
      <c r="I58" s="318">
        <v>69</v>
      </c>
      <c r="J58" s="318">
        <v>69</v>
      </c>
      <c r="K58" s="318">
        <v>69</v>
      </c>
      <c r="L58" s="318">
        <v>69</v>
      </c>
      <c r="M58" s="318">
        <v>69</v>
      </c>
      <c r="N58" s="380" t="s">
        <v>560</v>
      </c>
    </row>
    <row r="59" spans="1:14" ht="12.75" customHeight="1">
      <c r="A59" s="351" t="s">
        <v>567</v>
      </c>
      <c r="B59" s="131" t="s">
        <v>562</v>
      </c>
      <c r="C59" s="33" t="s">
        <v>543</v>
      </c>
      <c r="F59" s="318">
        <v>0</v>
      </c>
      <c r="G59" s="318">
        <v>0</v>
      </c>
      <c r="H59" s="318">
        <v>0</v>
      </c>
      <c r="I59" s="318">
        <v>85</v>
      </c>
      <c r="J59" s="318">
        <v>85</v>
      </c>
      <c r="K59" s="318">
        <v>85</v>
      </c>
      <c r="L59" s="318">
        <v>85</v>
      </c>
      <c r="M59" s="318">
        <v>85</v>
      </c>
      <c r="N59" s="380" t="s">
        <v>562</v>
      </c>
    </row>
    <row r="60" spans="1:14" ht="12.75" customHeight="1">
      <c r="A60" s="351" t="s">
        <v>568</v>
      </c>
      <c r="B60" s="325" t="s">
        <v>563</v>
      </c>
      <c r="C60" s="33" t="s">
        <v>575</v>
      </c>
      <c r="F60" s="347">
        <v>1</v>
      </c>
      <c r="G60" s="347">
        <v>1</v>
      </c>
      <c r="H60" s="347">
        <v>1</v>
      </c>
      <c r="I60" s="347">
        <v>1</v>
      </c>
      <c r="J60" s="347">
        <v>1</v>
      </c>
      <c r="K60" s="347">
        <v>1</v>
      </c>
      <c r="L60" s="347">
        <v>1</v>
      </c>
      <c r="M60" s="347">
        <v>1</v>
      </c>
      <c r="N60" s="178" t="s">
        <v>563</v>
      </c>
    </row>
    <row r="61" spans="1:14" ht="12.75" customHeight="1">
      <c r="A61" s="351" t="s">
        <v>569</v>
      </c>
      <c r="B61" s="131" t="s">
        <v>564</v>
      </c>
      <c r="C61" s="33" t="s">
        <v>543</v>
      </c>
      <c r="F61" s="318">
        <v>0</v>
      </c>
      <c r="G61" s="318">
        <v>0</v>
      </c>
      <c r="H61" s="318">
        <v>0</v>
      </c>
      <c r="I61" s="318">
        <v>53</v>
      </c>
      <c r="J61" s="318">
        <v>53</v>
      </c>
      <c r="K61" s="318">
        <v>53</v>
      </c>
      <c r="L61" s="318">
        <v>53</v>
      </c>
      <c r="M61" s="318">
        <v>53</v>
      </c>
      <c r="N61" s="380" t="s">
        <v>564</v>
      </c>
    </row>
    <row r="62" spans="1:14" ht="12.75" customHeight="1">
      <c r="A62" s="351" t="s">
        <v>570</v>
      </c>
      <c r="B62" s="131" t="s">
        <v>565</v>
      </c>
      <c r="C62" s="33" t="s">
        <v>575</v>
      </c>
      <c r="F62" s="347">
        <v>-1</v>
      </c>
      <c r="G62" s="347">
        <v>-1</v>
      </c>
      <c r="H62" s="347">
        <v>-1</v>
      </c>
      <c r="I62" s="347">
        <v>-1</v>
      </c>
      <c r="J62" s="347">
        <v>-1</v>
      </c>
      <c r="K62" s="347">
        <v>-1</v>
      </c>
      <c r="L62" s="347">
        <v>-1</v>
      </c>
      <c r="M62" s="347">
        <v>-1</v>
      </c>
      <c r="N62" s="380" t="s">
        <v>565</v>
      </c>
    </row>
    <row r="63" spans="1:14" ht="12.75" customHeight="1">
      <c r="A63" s="351" t="s">
        <v>572</v>
      </c>
      <c r="B63" s="131" t="s">
        <v>536</v>
      </c>
      <c r="C63" s="33" t="s">
        <v>98</v>
      </c>
      <c r="F63" s="71">
        <v>0</v>
      </c>
      <c r="G63" s="71">
        <v>0</v>
      </c>
      <c r="H63" s="71">
        <v>0</v>
      </c>
      <c r="I63" s="71">
        <v>0.3</v>
      </c>
      <c r="J63" s="71">
        <v>0.3</v>
      </c>
      <c r="K63" s="71">
        <v>0.3</v>
      </c>
      <c r="L63" s="71">
        <v>0.3</v>
      </c>
      <c r="M63" s="71">
        <v>0.3</v>
      </c>
      <c r="N63" s="380" t="s">
        <v>536</v>
      </c>
    </row>
    <row r="64" spans="1:14" ht="12.75" customHeight="1">
      <c r="A64" s="353"/>
      <c r="F64" s="92"/>
      <c r="G64" s="92"/>
      <c r="H64" s="92"/>
      <c r="I64" s="92"/>
      <c r="J64" s="92"/>
      <c r="K64" s="92"/>
      <c r="L64" s="92"/>
      <c r="M64" s="92"/>
      <c r="N64" s="355"/>
    </row>
    <row r="65" spans="1:14" ht="12.75" customHeight="1">
      <c r="A65" s="353" t="s">
        <v>574</v>
      </c>
      <c r="B65" s="32" t="s">
        <v>537</v>
      </c>
      <c r="C65" s="33" t="s">
        <v>98</v>
      </c>
      <c r="F65" s="71">
        <v>0.1</v>
      </c>
      <c r="G65" s="71">
        <v>0.1</v>
      </c>
      <c r="H65" s="71">
        <v>0.1</v>
      </c>
      <c r="I65" s="71">
        <v>0.1</v>
      </c>
      <c r="J65" s="71">
        <v>0.1</v>
      </c>
      <c r="K65" s="71">
        <v>0.1</v>
      </c>
      <c r="L65" s="71">
        <v>0.1</v>
      </c>
      <c r="M65" s="71">
        <v>0.1</v>
      </c>
      <c r="N65" s="379" t="s">
        <v>537</v>
      </c>
    </row>
    <row r="66" spans="1:14" ht="12.75" customHeight="1">
      <c r="A66" s="353"/>
      <c r="F66" s="92"/>
      <c r="G66" s="92"/>
      <c r="H66" s="92"/>
      <c r="I66" s="92"/>
      <c r="J66" s="92"/>
      <c r="K66" s="92"/>
      <c r="L66" s="92"/>
      <c r="M66" s="92"/>
      <c r="N66" s="355"/>
    </row>
    <row r="67" spans="1:14" ht="12.75" customHeight="1">
      <c r="A67" s="353"/>
      <c r="F67" s="92"/>
      <c r="G67" s="92"/>
      <c r="H67" s="92"/>
      <c r="I67" s="92"/>
      <c r="J67" s="92"/>
      <c r="K67" s="92"/>
      <c r="L67" s="92"/>
      <c r="M67" s="92"/>
      <c r="N67" s="355"/>
    </row>
    <row r="68" spans="1:14" ht="12.75" customHeight="1">
      <c r="A68" s="52"/>
      <c r="F68" s="92"/>
      <c r="G68" s="92"/>
      <c r="H68" s="92"/>
      <c r="I68" s="92"/>
      <c r="J68" s="92"/>
      <c r="K68" s="92"/>
      <c r="L68" s="92"/>
      <c r="M68" s="92"/>
      <c r="N68" s="355"/>
    </row>
    <row r="69" spans="1:14" ht="12.75" customHeight="1">
      <c r="A69" s="2" t="s">
        <v>388</v>
      </c>
      <c r="F69" s="92"/>
      <c r="G69" s="92"/>
      <c r="H69" s="92"/>
      <c r="I69" s="92"/>
      <c r="J69" s="92"/>
      <c r="K69" s="92"/>
      <c r="L69" s="92"/>
      <c r="M69" s="92"/>
      <c r="N69" s="355"/>
    </row>
    <row r="70" spans="1:14" s="61" customFormat="1" ht="12.4">
      <c r="A70" s="52" t="s">
        <v>519</v>
      </c>
      <c r="B70" s="52" t="s">
        <v>47</v>
      </c>
      <c r="C70" s="52" t="s">
        <v>110</v>
      </c>
      <c r="F70" s="93">
        <v>0.9</v>
      </c>
      <c r="G70" s="93">
        <f t="shared" ref="G70:M70" si="0">F70</f>
        <v>0.9</v>
      </c>
      <c r="H70" s="93">
        <f t="shared" si="0"/>
        <v>0.9</v>
      </c>
      <c r="I70" s="93">
        <f t="shared" si="0"/>
        <v>0.9</v>
      </c>
      <c r="J70" s="93">
        <f t="shared" si="0"/>
        <v>0.9</v>
      </c>
      <c r="K70" s="93">
        <f t="shared" si="0"/>
        <v>0.9</v>
      </c>
      <c r="L70" s="93">
        <f t="shared" si="0"/>
        <v>0.9</v>
      </c>
      <c r="M70" s="93">
        <f t="shared" si="0"/>
        <v>0.9</v>
      </c>
      <c r="N70" s="379" t="s">
        <v>47</v>
      </c>
    </row>
    <row r="71" spans="1:14" ht="12.75" customHeight="1">
      <c r="A71" s="52"/>
      <c r="E71" s="62"/>
      <c r="F71" s="92"/>
      <c r="G71" s="63"/>
      <c r="H71" s="63"/>
      <c r="I71" s="63"/>
      <c r="J71" s="63"/>
      <c r="K71" s="63"/>
      <c r="L71" s="63"/>
      <c r="M71" s="63"/>
      <c r="N71" s="355"/>
    </row>
    <row r="72" spans="1:14" ht="20.25" customHeight="1">
      <c r="A72" s="311" t="s">
        <v>499</v>
      </c>
      <c r="N72" s="355"/>
    </row>
    <row r="73" spans="1:14" ht="12.75" customHeight="1">
      <c r="A73" s="84" t="s">
        <v>356</v>
      </c>
      <c r="N73" s="355"/>
    </row>
    <row r="74" spans="1:14" ht="12.75" customHeight="1">
      <c r="A74" s="32" t="s">
        <v>344</v>
      </c>
      <c r="N74" s="355"/>
    </row>
    <row r="75" spans="1:14" ht="12.75" customHeight="1">
      <c r="A75" s="32" t="s">
        <v>394</v>
      </c>
      <c r="B75" s="32" t="s">
        <v>143</v>
      </c>
      <c r="C75" s="44" t="s">
        <v>1</v>
      </c>
      <c r="F75" s="313">
        <v>0</v>
      </c>
      <c r="G75" s="313">
        <v>0</v>
      </c>
      <c r="H75" s="313">
        <v>0</v>
      </c>
      <c r="I75" s="313">
        <v>0</v>
      </c>
      <c r="J75" s="313">
        <v>0</v>
      </c>
      <c r="K75" s="313">
        <v>0</v>
      </c>
      <c r="L75" s="313">
        <v>0</v>
      </c>
      <c r="M75" s="313">
        <v>0</v>
      </c>
      <c r="N75" s="379" t="s">
        <v>136</v>
      </c>
    </row>
    <row r="76" spans="1:14" ht="12.75" customHeight="1">
      <c r="A76" s="32" t="s">
        <v>235</v>
      </c>
      <c r="B76" s="32" t="s">
        <v>131</v>
      </c>
      <c r="C76" s="44" t="s">
        <v>1</v>
      </c>
      <c r="F76" s="312">
        <v>53.652000000000001</v>
      </c>
      <c r="G76" s="313">
        <v>0</v>
      </c>
      <c r="H76" s="313">
        <v>0</v>
      </c>
      <c r="I76" s="313">
        <v>0</v>
      </c>
      <c r="J76" s="313">
        <v>0</v>
      </c>
      <c r="K76" s="313">
        <v>0</v>
      </c>
      <c r="L76" s="313">
        <v>0</v>
      </c>
      <c r="M76" s="313">
        <v>0</v>
      </c>
      <c r="N76" s="379" t="s">
        <v>131</v>
      </c>
    </row>
    <row r="77" spans="1:14" ht="12.75" customHeight="1">
      <c r="A77" s="32" t="s">
        <v>236</v>
      </c>
      <c r="B77" s="32" t="s">
        <v>145</v>
      </c>
      <c r="C77" s="44" t="s">
        <v>1</v>
      </c>
      <c r="F77" s="312">
        <v>2.855</v>
      </c>
      <c r="G77" s="313">
        <v>0</v>
      </c>
      <c r="H77" s="313">
        <v>0</v>
      </c>
      <c r="I77" s="313">
        <v>0</v>
      </c>
      <c r="J77" s="313">
        <v>0</v>
      </c>
      <c r="K77" s="313">
        <v>0</v>
      </c>
      <c r="L77" s="313">
        <v>0</v>
      </c>
      <c r="M77" s="313">
        <v>0</v>
      </c>
      <c r="N77" s="379" t="s">
        <v>145</v>
      </c>
    </row>
    <row r="78" spans="1:14" ht="12.75" customHeight="1">
      <c r="A78" s="32" t="s">
        <v>237</v>
      </c>
      <c r="B78" s="32" t="s">
        <v>133</v>
      </c>
      <c r="C78" s="44" t="s">
        <v>1</v>
      </c>
      <c r="E78" s="376"/>
      <c r="F78" s="313">
        <v>0</v>
      </c>
      <c r="G78" s="320">
        <v>0</v>
      </c>
      <c r="H78" s="320">
        <v>0</v>
      </c>
      <c r="I78" s="320">
        <v>0</v>
      </c>
      <c r="J78" s="329">
        <v>152.88</v>
      </c>
      <c r="K78" s="320">
        <v>0</v>
      </c>
      <c r="L78" s="320">
        <v>0</v>
      </c>
      <c r="M78" s="320">
        <v>0</v>
      </c>
      <c r="N78" s="379" t="s">
        <v>133</v>
      </c>
    </row>
    <row r="79" spans="1:14" ht="12.75" customHeight="1">
      <c r="A79" s="32" t="s">
        <v>238</v>
      </c>
      <c r="B79" s="32" t="s">
        <v>134</v>
      </c>
      <c r="C79" s="44" t="s">
        <v>1</v>
      </c>
      <c r="E79" s="376"/>
      <c r="F79" s="313">
        <v>0</v>
      </c>
      <c r="G79" s="320">
        <v>0</v>
      </c>
      <c r="H79" s="320">
        <v>0</v>
      </c>
      <c r="I79" s="320">
        <v>0</v>
      </c>
      <c r="J79" s="329">
        <v>7.6440000000000001</v>
      </c>
      <c r="K79" s="329">
        <v>7.6440000000000001</v>
      </c>
      <c r="L79" s="329">
        <v>7.6440000000000001</v>
      </c>
      <c r="M79" s="329">
        <v>7.6440000000000001</v>
      </c>
      <c r="N79" s="379" t="s">
        <v>134</v>
      </c>
    </row>
    <row r="80" spans="1:14" ht="12.75" customHeight="1">
      <c r="A80" s="32" t="s">
        <v>239</v>
      </c>
      <c r="B80" s="32" t="s">
        <v>137</v>
      </c>
      <c r="C80" s="44" t="s">
        <v>1</v>
      </c>
      <c r="E80" s="376"/>
      <c r="F80" s="313">
        <v>0</v>
      </c>
      <c r="G80" s="320">
        <v>0</v>
      </c>
      <c r="H80" s="320">
        <v>0</v>
      </c>
      <c r="I80" s="320">
        <v>0</v>
      </c>
      <c r="J80" s="329">
        <v>149.05799999999999</v>
      </c>
      <c r="K80" s="329">
        <v>141.41399999999999</v>
      </c>
      <c r="L80" s="329">
        <v>133.77000000000001</v>
      </c>
      <c r="M80" s="329">
        <v>126.126</v>
      </c>
      <c r="N80" s="379" t="s">
        <v>137</v>
      </c>
    </row>
    <row r="81" spans="1:14" ht="12.75" customHeight="1">
      <c r="E81" s="376"/>
      <c r="N81" s="355"/>
    </row>
    <row r="82" spans="1:14" ht="12.75" customHeight="1">
      <c r="A82" s="32" t="s">
        <v>150</v>
      </c>
      <c r="B82" s="32" t="s">
        <v>135</v>
      </c>
      <c r="C82" s="33" t="s">
        <v>98</v>
      </c>
      <c r="F82" s="71">
        <v>8.7999999999999995E-2</v>
      </c>
      <c r="G82" s="71">
        <v>8.7999999999999995E-2</v>
      </c>
      <c r="H82" s="71">
        <v>8.7999999999999995E-2</v>
      </c>
      <c r="I82" s="71">
        <v>8.7999999999999995E-2</v>
      </c>
      <c r="J82" s="71">
        <v>8.7999999999999995E-2</v>
      </c>
      <c r="K82" s="71">
        <v>8.7999999999999995E-2</v>
      </c>
      <c r="L82" s="71">
        <v>8.7999999999999995E-2</v>
      </c>
      <c r="M82" s="71">
        <v>8.7999999999999995E-2</v>
      </c>
      <c r="N82" s="379" t="s">
        <v>135</v>
      </c>
    </row>
    <row r="83" spans="1:14" ht="12.75" customHeight="1">
      <c r="N83" s="355"/>
    </row>
    <row r="84" spans="1:14" ht="12.75" customHeight="1">
      <c r="A84" s="84" t="s">
        <v>357</v>
      </c>
      <c r="N84" s="355"/>
    </row>
    <row r="85" spans="1:14" ht="12.75" customHeight="1">
      <c r="A85" s="32" t="s">
        <v>345</v>
      </c>
      <c r="N85" s="355"/>
    </row>
    <row r="86" spans="1:14" ht="12.75" customHeight="1">
      <c r="A86" s="32" t="s">
        <v>394</v>
      </c>
      <c r="B86" s="32" t="s">
        <v>143</v>
      </c>
      <c r="C86" s="44" t="s">
        <v>1</v>
      </c>
      <c r="F86" s="320">
        <v>0</v>
      </c>
      <c r="G86" s="320">
        <v>0</v>
      </c>
      <c r="H86" s="320">
        <v>0</v>
      </c>
      <c r="I86" s="314">
        <v>0</v>
      </c>
      <c r="J86" s="314">
        <v>0</v>
      </c>
      <c r="K86" s="314">
        <v>0</v>
      </c>
      <c r="L86" s="314">
        <v>0</v>
      </c>
      <c r="M86" s="314">
        <v>0</v>
      </c>
      <c r="N86" s="379" t="s">
        <v>136</v>
      </c>
    </row>
    <row r="87" spans="1:14" ht="12.75" customHeight="1">
      <c r="A87" s="32" t="s">
        <v>235</v>
      </c>
      <c r="B87" s="32" t="s">
        <v>140</v>
      </c>
      <c r="C87" s="44" t="s">
        <v>1</v>
      </c>
      <c r="F87" s="320">
        <v>0</v>
      </c>
      <c r="G87" s="320">
        <v>0</v>
      </c>
      <c r="H87" s="320">
        <v>0</v>
      </c>
      <c r="I87" s="314">
        <v>0</v>
      </c>
      <c r="J87" s="314">
        <v>0</v>
      </c>
      <c r="K87" s="314">
        <v>0</v>
      </c>
      <c r="L87" s="314">
        <v>0</v>
      </c>
      <c r="M87" s="314">
        <v>0</v>
      </c>
      <c r="N87" s="379" t="s">
        <v>140</v>
      </c>
    </row>
    <row r="88" spans="1:14" ht="12.75" customHeight="1">
      <c r="A88" s="32" t="s">
        <v>236</v>
      </c>
      <c r="B88" s="32" t="s">
        <v>132</v>
      </c>
      <c r="C88" s="44" t="s">
        <v>1</v>
      </c>
      <c r="F88" s="320">
        <v>0</v>
      </c>
      <c r="G88" s="320">
        <v>0</v>
      </c>
      <c r="H88" s="320">
        <v>0</v>
      </c>
      <c r="I88" s="314">
        <v>0</v>
      </c>
      <c r="J88" s="314">
        <v>0</v>
      </c>
      <c r="K88" s="314">
        <v>0</v>
      </c>
      <c r="L88" s="314">
        <v>0</v>
      </c>
      <c r="M88" s="314">
        <v>0</v>
      </c>
      <c r="N88" s="379" t="s">
        <v>367</v>
      </c>
    </row>
    <row r="89" spans="1:14" ht="12.75" customHeight="1">
      <c r="A89" s="32" t="s">
        <v>237</v>
      </c>
      <c r="B89" s="32" t="s">
        <v>133</v>
      </c>
      <c r="C89" s="44" t="s">
        <v>1</v>
      </c>
      <c r="F89" s="320">
        <v>0</v>
      </c>
      <c r="G89" s="320">
        <v>0</v>
      </c>
      <c r="H89" s="320">
        <v>0</v>
      </c>
      <c r="I89" s="314">
        <v>0</v>
      </c>
      <c r="J89" s="314">
        <v>0</v>
      </c>
      <c r="K89" s="314">
        <v>0</v>
      </c>
      <c r="L89" s="314">
        <v>0</v>
      </c>
      <c r="M89" s="314">
        <v>0</v>
      </c>
      <c r="N89" s="379" t="s">
        <v>368</v>
      </c>
    </row>
    <row r="90" spans="1:14" ht="12.75" customHeight="1">
      <c r="A90" s="32" t="s">
        <v>238</v>
      </c>
      <c r="B90" s="32" t="s">
        <v>134</v>
      </c>
      <c r="C90" s="44" t="s">
        <v>1</v>
      </c>
      <c r="F90" s="318">
        <v>0.57199999999999995</v>
      </c>
      <c r="G90" s="318">
        <v>0.57199999999999995</v>
      </c>
      <c r="H90" s="318">
        <v>0.57199999999999995</v>
      </c>
      <c r="I90" s="314">
        <v>0</v>
      </c>
      <c r="J90" s="314">
        <v>0</v>
      </c>
      <c r="K90" s="314">
        <v>0</v>
      </c>
      <c r="L90" s="314">
        <v>0</v>
      </c>
      <c r="M90" s="314">
        <v>0</v>
      </c>
      <c r="N90" s="379" t="s">
        <v>361</v>
      </c>
    </row>
    <row r="91" spans="1:14" ht="12.75" customHeight="1">
      <c r="A91" s="32" t="s">
        <v>239</v>
      </c>
      <c r="B91" s="32" t="s">
        <v>137</v>
      </c>
      <c r="C91" s="44" t="s">
        <v>1</v>
      </c>
      <c r="F91" s="318">
        <v>10.019</v>
      </c>
      <c r="G91" s="318">
        <v>9.4469999999999992</v>
      </c>
      <c r="H91" s="318">
        <v>8.8740000000000006</v>
      </c>
      <c r="I91" s="314">
        <v>0</v>
      </c>
      <c r="J91" s="314">
        <v>0</v>
      </c>
      <c r="K91" s="314">
        <v>0</v>
      </c>
      <c r="L91" s="314">
        <v>0</v>
      </c>
      <c r="M91" s="314">
        <v>0</v>
      </c>
      <c r="N91" s="379" t="s">
        <v>362</v>
      </c>
    </row>
    <row r="92" spans="1:14" ht="12.75" customHeight="1">
      <c r="N92" s="355"/>
    </row>
    <row r="93" spans="1:14" ht="12.75" customHeight="1">
      <c r="N93" s="355"/>
    </row>
    <row r="94" spans="1:14" ht="12.75" customHeight="1">
      <c r="A94" s="84" t="s">
        <v>358</v>
      </c>
      <c r="N94" s="355"/>
    </row>
    <row r="95" spans="1:14" ht="12.75" customHeight="1">
      <c r="A95" s="32" t="s">
        <v>355</v>
      </c>
      <c r="N95" s="355"/>
    </row>
    <row r="96" spans="1:14" ht="12.75" customHeight="1">
      <c r="A96" s="32" t="s">
        <v>394</v>
      </c>
      <c r="B96" s="32" t="s">
        <v>143</v>
      </c>
      <c r="C96" s="44" t="s">
        <v>1</v>
      </c>
      <c r="F96" s="315">
        <v>0</v>
      </c>
      <c r="G96" s="315">
        <v>0</v>
      </c>
      <c r="H96" s="315">
        <v>0</v>
      </c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79" t="s">
        <v>136</v>
      </c>
    </row>
    <row r="97" spans="1:14" ht="12.75" customHeight="1">
      <c r="A97" s="32" t="s">
        <v>235</v>
      </c>
      <c r="B97" s="32" t="s">
        <v>131</v>
      </c>
      <c r="C97" s="44" t="s">
        <v>1</v>
      </c>
      <c r="F97" s="316">
        <v>13.297000000000001</v>
      </c>
      <c r="G97" s="316">
        <v>33.79</v>
      </c>
      <c r="H97" s="315">
        <v>0</v>
      </c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79" t="s">
        <v>371</v>
      </c>
    </row>
    <row r="98" spans="1:14" ht="12.75" customHeight="1">
      <c r="A98" s="32" t="s">
        <v>236</v>
      </c>
      <c r="B98" s="32" t="s">
        <v>132</v>
      </c>
      <c r="C98" s="44" t="s">
        <v>1</v>
      </c>
      <c r="F98" s="316">
        <v>1.0999999999999999E-2</v>
      </c>
      <c r="G98" s="316">
        <v>1.319</v>
      </c>
      <c r="H98" s="315">
        <v>0</v>
      </c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79" t="s">
        <v>377</v>
      </c>
    </row>
    <row r="99" spans="1:14" ht="12.75" customHeight="1">
      <c r="A99" s="32" t="s">
        <v>237</v>
      </c>
      <c r="B99" s="32" t="s">
        <v>133</v>
      </c>
      <c r="C99" s="44" t="s">
        <v>1</v>
      </c>
      <c r="F99" s="317">
        <v>0</v>
      </c>
      <c r="G99" s="315">
        <v>0</v>
      </c>
      <c r="H99" s="316">
        <v>41.215000000000003</v>
      </c>
      <c r="I99" s="316">
        <v>0</v>
      </c>
      <c r="J99" s="316">
        <v>0</v>
      </c>
      <c r="K99" s="316">
        <v>0</v>
      </c>
      <c r="L99" s="316">
        <v>0</v>
      </c>
      <c r="M99" s="316">
        <v>0</v>
      </c>
      <c r="N99" s="379" t="s">
        <v>374</v>
      </c>
    </row>
    <row r="100" spans="1:14" ht="12.75" customHeight="1">
      <c r="A100" s="32" t="s">
        <v>238</v>
      </c>
      <c r="B100" s="32" t="s">
        <v>134</v>
      </c>
      <c r="C100" s="44" t="s">
        <v>1</v>
      </c>
      <c r="F100" s="315">
        <v>0</v>
      </c>
      <c r="G100" s="315">
        <v>0</v>
      </c>
      <c r="H100" s="316">
        <v>2.0609999999999999</v>
      </c>
      <c r="I100" s="316">
        <v>2.0609999999999999</v>
      </c>
      <c r="J100" s="316">
        <v>2.0609999999999999</v>
      </c>
      <c r="K100" s="316">
        <v>2.0609999999999999</v>
      </c>
      <c r="L100" s="316">
        <v>2.0609999999999999</v>
      </c>
      <c r="M100" s="316">
        <v>0</v>
      </c>
      <c r="N100" s="379" t="s">
        <v>378</v>
      </c>
    </row>
    <row r="101" spans="1:14" ht="12.75" customHeight="1">
      <c r="A101" s="32" t="s">
        <v>239</v>
      </c>
      <c r="B101" s="32" t="s">
        <v>137</v>
      </c>
      <c r="C101" s="44" t="s">
        <v>1</v>
      </c>
      <c r="F101" s="315">
        <v>0</v>
      </c>
      <c r="G101" s="315">
        <v>0</v>
      </c>
      <c r="H101" s="316">
        <v>40.186</v>
      </c>
      <c r="I101" s="316">
        <v>38.125</v>
      </c>
      <c r="J101" s="316">
        <v>36.064</v>
      </c>
      <c r="K101" s="316">
        <v>34.003</v>
      </c>
      <c r="L101" s="316">
        <v>31.942</v>
      </c>
      <c r="M101" s="316">
        <v>0</v>
      </c>
      <c r="N101" s="379" t="s">
        <v>137</v>
      </c>
    </row>
    <row r="102" spans="1:14" ht="12.75" customHeight="1">
      <c r="N102" s="355"/>
    </row>
    <row r="103" spans="1:14" ht="12.75" customHeight="1">
      <c r="N103" s="355"/>
    </row>
    <row r="104" spans="1:14" ht="12.75" customHeight="1">
      <c r="A104" s="84" t="s">
        <v>359</v>
      </c>
      <c r="N104" s="355"/>
    </row>
    <row r="105" spans="1:14" ht="12.75" customHeight="1">
      <c r="A105" s="32" t="s">
        <v>347</v>
      </c>
      <c r="N105" s="355"/>
    </row>
    <row r="106" spans="1:14" ht="12.75" customHeight="1">
      <c r="A106" s="32" t="s">
        <v>394</v>
      </c>
      <c r="B106" s="32" t="s">
        <v>143</v>
      </c>
      <c r="C106" s="44" t="s">
        <v>1</v>
      </c>
      <c r="F106" s="319">
        <v>0</v>
      </c>
      <c r="G106" s="319">
        <v>0</v>
      </c>
      <c r="H106" s="319">
        <v>0</v>
      </c>
      <c r="I106" s="319">
        <v>0</v>
      </c>
      <c r="J106" s="319">
        <v>0</v>
      </c>
      <c r="K106" s="319">
        <v>0</v>
      </c>
      <c r="L106" s="319">
        <v>0</v>
      </c>
      <c r="M106" s="319">
        <v>0</v>
      </c>
      <c r="N106" s="379" t="s">
        <v>136</v>
      </c>
    </row>
    <row r="107" spans="1:14" ht="12.75" customHeight="1">
      <c r="A107" s="32" t="s">
        <v>235</v>
      </c>
      <c r="B107" s="32" t="s">
        <v>131</v>
      </c>
      <c r="C107" s="44" t="s">
        <v>1</v>
      </c>
      <c r="F107" s="319">
        <v>0</v>
      </c>
      <c r="G107" s="319">
        <v>0</v>
      </c>
      <c r="H107" s="319">
        <v>0</v>
      </c>
      <c r="I107" s="319">
        <v>0</v>
      </c>
      <c r="J107" s="319">
        <v>0</v>
      </c>
      <c r="K107" s="319">
        <v>0</v>
      </c>
      <c r="L107" s="319">
        <v>0</v>
      </c>
      <c r="M107" s="319">
        <v>0</v>
      </c>
      <c r="N107" s="379" t="s">
        <v>381</v>
      </c>
    </row>
    <row r="108" spans="1:14" ht="12.75" customHeight="1">
      <c r="A108" s="32" t="s">
        <v>236</v>
      </c>
      <c r="B108" s="32" t="s">
        <v>132</v>
      </c>
      <c r="C108" s="44" t="s">
        <v>1</v>
      </c>
      <c r="F108" s="319">
        <v>0</v>
      </c>
      <c r="G108" s="319">
        <v>0</v>
      </c>
      <c r="H108" s="319">
        <v>0</v>
      </c>
      <c r="I108" s="319">
        <v>0</v>
      </c>
      <c r="J108" s="319">
        <v>0</v>
      </c>
      <c r="K108" s="319">
        <v>0</v>
      </c>
      <c r="L108" s="319">
        <v>0</v>
      </c>
      <c r="M108" s="319">
        <v>0</v>
      </c>
      <c r="N108" s="379" t="s">
        <v>382</v>
      </c>
    </row>
    <row r="109" spans="1:14" ht="12.75" customHeight="1">
      <c r="A109" s="32" t="s">
        <v>237</v>
      </c>
      <c r="B109" s="32" t="s">
        <v>133</v>
      </c>
      <c r="C109" s="44" t="s">
        <v>1</v>
      </c>
      <c r="F109" s="319">
        <v>0</v>
      </c>
      <c r="G109" s="319">
        <v>0</v>
      </c>
      <c r="H109" s="319">
        <v>0</v>
      </c>
      <c r="I109" s="319">
        <v>0</v>
      </c>
      <c r="J109" s="319">
        <v>0</v>
      </c>
      <c r="K109" s="319">
        <v>0</v>
      </c>
      <c r="L109" s="319">
        <v>0</v>
      </c>
      <c r="M109" s="319">
        <v>0</v>
      </c>
      <c r="N109" s="379" t="s">
        <v>383</v>
      </c>
    </row>
    <row r="110" spans="1:14" ht="12.75" customHeight="1">
      <c r="A110" s="32" t="s">
        <v>238</v>
      </c>
      <c r="B110" s="32" t="s">
        <v>134</v>
      </c>
      <c r="C110" s="44" t="s">
        <v>1</v>
      </c>
      <c r="F110" s="318">
        <v>3.919</v>
      </c>
      <c r="G110" s="318">
        <v>3.919</v>
      </c>
      <c r="H110" s="318">
        <v>3.919</v>
      </c>
      <c r="I110" s="319">
        <v>0</v>
      </c>
      <c r="J110" s="319">
        <v>0</v>
      </c>
      <c r="K110" s="319">
        <v>0</v>
      </c>
      <c r="L110" s="319">
        <v>0</v>
      </c>
      <c r="M110" s="319">
        <v>0</v>
      </c>
      <c r="N110" s="379" t="s">
        <v>379</v>
      </c>
    </row>
    <row r="111" spans="1:14" ht="12.75" customHeight="1">
      <c r="A111" s="32" t="s">
        <v>239</v>
      </c>
      <c r="B111" s="32" t="s">
        <v>137</v>
      </c>
      <c r="C111" s="44" t="s">
        <v>1</v>
      </c>
      <c r="F111" s="318">
        <v>68.564999999999998</v>
      </c>
      <c r="G111" s="318">
        <v>64.646000000000001</v>
      </c>
      <c r="H111" s="318">
        <v>60.728999999999999</v>
      </c>
      <c r="I111" s="319">
        <v>0</v>
      </c>
      <c r="J111" s="319">
        <v>0</v>
      </c>
      <c r="K111" s="319">
        <v>0</v>
      </c>
      <c r="L111" s="319">
        <v>0</v>
      </c>
      <c r="M111" s="319">
        <v>0</v>
      </c>
      <c r="N111" s="379" t="s">
        <v>363</v>
      </c>
    </row>
    <row r="112" spans="1:14" ht="12.75" customHeight="1">
      <c r="N112" s="355"/>
    </row>
    <row r="113" spans="1:14" ht="12.75" customHeight="1">
      <c r="C113" s="32"/>
      <c r="G113" s="54"/>
      <c r="H113" s="54"/>
      <c r="I113" s="54"/>
      <c r="J113" s="54"/>
      <c r="K113" s="54"/>
      <c r="L113" s="54"/>
      <c r="M113" s="54"/>
      <c r="N113" s="379"/>
    </row>
    <row r="114" spans="1:14" ht="12.75" customHeight="1">
      <c r="A114" s="84" t="s">
        <v>360</v>
      </c>
      <c r="N114" s="355"/>
    </row>
    <row r="115" spans="1:14" ht="12.75" customHeight="1">
      <c r="A115" s="32" t="s">
        <v>348</v>
      </c>
      <c r="E115" s="376"/>
      <c r="N115" s="355"/>
    </row>
    <row r="116" spans="1:14" ht="12.75" customHeight="1">
      <c r="A116" s="32" t="s">
        <v>394</v>
      </c>
      <c r="B116" s="32" t="s">
        <v>143</v>
      </c>
      <c r="C116" s="44" t="s">
        <v>1</v>
      </c>
      <c r="E116" s="376"/>
      <c r="F116" s="320">
        <v>0</v>
      </c>
      <c r="G116" s="320">
        <v>0</v>
      </c>
      <c r="H116" s="320">
        <v>0</v>
      </c>
      <c r="I116" s="320">
        <v>0</v>
      </c>
      <c r="J116" s="320">
        <v>0</v>
      </c>
      <c r="K116" s="320">
        <v>0</v>
      </c>
      <c r="L116" s="320">
        <v>0</v>
      </c>
      <c r="M116" s="320">
        <v>0</v>
      </c>
      <c r="N116" s="379" t="s">
        <v>136</v>
      </c>
    </row>
    <row r="117" spans="1:14" ht="12.75" customHeight="1">
      <c r="A117" s="32" t="s">
        <v>235</v>
      </c>
      <c r="B117" s="32" t="s">
        <v>131</v>
      </c>
      <c r="C117" s="44" t="s">
        <v>1</v>
      </c>
      <c r="E117" s="376"/>
      <c r="F117" s="320">
        <v>0</v>
      </c>
      <c r="G117" s="320">
        <v>0</v>
      </c>
      <c r="H117" s="320">
        <v>0</v>
      </c>
      <c r="I117" s="320">
        <v>0</v>
      </c>
      <c r="J117" s="320">
        <v>0</v>
      </c>
      <c r="K117" s="320">
        <v>0</v>
      </c>
      <c r="L117" s="320">
        <v>0</v>
      </c>
      <c r="M117" s="320">
        <v>0</v>
      </c>
      <c r="N117" s="379" t="s">
        <v>131</v>
      </c>
    </row>
    <row r="118" spans="1:14" ht="12.75" customHeight="1">
      <c r="A118" s="32" t="s">
        <v>236</v>
      </c>
      <c r="B118" s="32" t="s">
        <v>132</v>
      </c>
      <c r="C118" s="44" t="s">
        <v>1</v>
      </c>
      <c r="E118" s="376"/>
      <c r="F118" s="320">
        <v>0</v>
      </c>
      <c r="G118" s="320">
        <v>0</v>
      </c>
      <c r="H118" s="320">
        <v>0</v>
      </c>
      <c r="I118" s="320">
        <v>0</v>
      </c>
      <c r="J118" s="320">
        <v>0</v>
      </c>
      <c r="K118" s="320">
        <v>0</v>
      </c>
      <c r="L118" s="320">
        <v>0</v>
      </c>
      <c r="M118" s="320">
        <v>0</v>
      </c>
      <c r="N118" s="379" t="s">
        <v>132</v>
      </c>
    </row>
    <row r="119" spans="1:14" ht="12.75" customHeight="1">
      <c r="A119" s="32" t="s">
        <v>237</v>
      </c>
      <c r="B119" s="32" t="s">
        <v>133</v>
      </c>
      <c r="C119" s="44" t="s">
        <v>1</v>
      </c>
      <c r="E119" s="376"/>
      <c r="F119" s="320">
        <v>0</v>
      </c>
      <c r="G119" s="320">
        <v>0</v>
      </c>
      <c r="H119" s="320">
        <v>0</v>
      </c>
      <c r="I119" s="320">
        <v>0</v>
      </c>
      <c r="J119" s="320">
        <v>0</v>
      </c>
      <c r="K119" s="320">
        <v>0</v>
      </c>
      <c r="L119" s="320">
        <v>0</v>
      </c>
      <c r="M119" s="320">
        <v>0</v>
      </c>
      <c r="N119" s="379" t="s">
        <v>133</v>
      </c>
    </row>
    <row r="120" spans="1:14" ht="12.75" customHeight="1">
      <c r="A120" s="32" t="s">
        <v>238</v>
      </c>
      <c r="B120" s="32" t="s">
        <v>134</v>
      </c>
      <c r="C120" s="44" t="s">
        <v>1</v>
      </c>
      <c r="E120" s="376"/>
      <c r="F120" s="318">
        <v>0.96827999999999981</v>
      </c>
      <c r="G120" s="318">
        <v>0.96827999999999981</v>
      </c>
      <c r="H120" s="320">
        <v>0</v>
      </c>
      <c r="I120" s="320">
        <v>0</v>
      </c>
      <c r="J120" s="320">
        <v>0</v>
      </c>
      <c r="K120" s="320">
        <v>0</v>
      </c>
      <c r="L120" s="320">
        <v>0</v>
      </c>
      <c r="M120" s="320">
        <v>0</v>
      </c>
      <c r="N120" s="379" t="s">
        <v>380</v>
      </c>
    </row>
    <row r="121" spans="1:14" ht="12.75" customHeight="1">
      <c r="A121" s="32" t="s">
        <v>239</v>
      </c>
      <c r="B121" s="32" t="s">
        <v>137</v>
      </c>
      <c r="C121" s="44" t="s">
        <v>1</v>
      </c>
      <c r="E121" s="376"/>
      <c r="F121" s="318">
        <v>15.977</v>
      </c>
      <c r="G121" s="318">
        <v>15.007999999999999</v>
      </c>
      <c r="H121" s="320">
        <v>0</v>
      </c>
      <c r="I121" s="320">
        <v>0</v>
      </c>
      <c r="J121" s="320">
        <v>0</v>
      </c>
      <c r="K121" s="320">
        <v>0</v>
      </c>
      <c r="L121" s="320">
        <v>0</v>
      </c>
      <c r="M121" s="320">
        <v>0</v>
      </c>
      <c r="N121" s="379" t="s">
        <v>364</v>
      </c>
    </row>
    <row r="122" spans="1:14" ht="12.75" customHeight="1">
      <c r="E122" s="376"/>
      <c r="N122" s="355"/>
    </row>
    <row r="123" spans="1:14" ht="12.75" customHeight="1">
      <c r="E123" s="376"/>
      <c r="N123" s="355"/>
    </row>
    <row r="124" spans="1:14" ht="12.75" customHeight="1">
      <c r="E124" s="376"/>
      <c r="N124" s="355"/>
    </row>
    <row r="125" spans="1:14" ht="12.75" customHeight="1">
      <c r="E125" s="376"/>
      <c r="N125" s="355"/>
    </row>
    <row r="126" spans="1:14" ht="12.75" customHeight="1">
      <c r="N126" s="355"/>
    </row>
    <row r="127" spans="1:14" ht="12.75" customHeight="1">
      <c r="N127" s="355"/>
    </row>
    <row r="128" spans="1:14" ht="12.75" customHeight="1">
      <c r="N128" s="355"/>
    </row>
    <row r="129" spans="3:14" ht="12.75" customHeight="1">
      <c r="N129" s="355"/>
    </row>
    <row r="130" spans="3:14" ht="12.75" customHeight="1">
      <c r="N130" s="355"/>
    </row>
    <row r="131" spans="3:14" ht="12.75" customHeight="1">
      <c r="C131" s="32"/>
      <c r="D131" s="36"/>
      <c r="E131" s="36"/>
      <c r="N131" s="355"/>
    </row>
    <row r="132" spans="3:14" ht="12.75" customHeight="1">
      <c r="C132" s="32"/>
      <c r="D132" s="36"/>
      <c r="E132" s="36"/>
      <c r="N132" s="355"/>
    </row>
    <row r="133" spans="3:14" ht="12.75" customHeight="1">
      <c r="C133" s="32"/>
      <c r="D133" s="36"/>
      <c r="E133" s="36"/>
      <c r="N133" s="355"/>
    </row>
    <row r="134" spans="3:14" ht="12.75" customHeight="1">
      <c r="C134" s="32"/>
      <c r="D134" s="36"/>
      <c r="E134" s="36"/>
      <c r="N134" s="355"/>
    </row>
    <row r="135" spans="3:14" ht="12.75" customHeight="1">
      <c r="C135" s="32"/>
      <c r="D135" s="36"/>
      <c r="E135" s="36"/>
      <c r="N135" s="355"/>
    </row>
    <row r="136" spans="3:14" ht="12.75" customHeight="1">
      <c r="C136" s="32"/>
      <c r="D136" s="36"/>
      <c r="E136" s="36"/>
      <c r="N136" s="355"/>
    </row>
    <row r="137" spans="3:14" ht="12.75" customHeight="1">
      <c r="C137" s="32"/>
      <c r="D137" s="36"/>
      <c r="E137" s="36"/>
      <c r="N137" s="355"/>
    </row>
    <row r="138" spans="3:14" ht="12.75" customHeight="1">
      <c r="C138" s="32"/>
      <c r="D138" s="36"/>
      <c r="E138" s="36"/>
      <c r="N138" s="355"/>
    </row>
    <row r="139" spans="3:14" ht="12.75" customHeight="1">
      <c r="C139" s="32"/>
      <c r="D139" s="36"/>
      <c r="E139" s="36"/>
      <c r="N139" s="355"/>
    </row>
    <row r="140" spans="3:14" ht="12.75" customHeight="1">
      <c r="C140" s="32"/>
      <c r="D140" s="36"/>
      <c r="E140" s="36"/>
      <c r="N140" s="355"/>
    </row>
    <row r="141" spans="3:14" ht="12.75" customHeight="1">
      <c r="C141" s="32"/>
      <c r="D141" s="36"/>
      <c r="E141" s="36"/>
      <c r="N141" s="355"/>
    </row>
    <row r="142" spans="3:14" ht="12.75" customHeight="1">
      <c r="C142" s="32"/>
      <c r="D142" s="36"/>
      <c r="E142" s="36"/>
      <c r="N142" s="355"/>
    </row>
    <row r="143" spans="3:14" ht="12.75" customHeight="1">
      <c r="C143" s="32"/>
      <c r="D143" s="36"/>
      <c r="E143" s="36"/>
      <c r="N143" s="355"/>
    </row>
    <row r="144" spans="3:14" ht="12.75" customHeight="1">
      <c r="C144" s="32"/>
      <c r="D144" s="36"/>
      <c r="E144" s="36"/>
      <c r="N144" s="355"/>
    </row>
    <row r="145" spans="3:14" ht="12.75" customHeight="1">
      <c r="C145" s="32"/>
      <c r="D145" s="36"/>
      <c r="E145" s="36"/>
      <c r="N145" s="355"/>
    </row>
    <row r="146" spans="3:14" ht="12.75" customHeight="1">
      <c r="C146" s="32"/>
      <c r="D146" s="36"/>
      <c r="E146" s="36"/>
      <c r="N146" s="355"/>
    </row>
    <row r="147" spans="3:14" ht="12.75" customHeight="1">
      <c r="C147" s="32"/>
      <c r="D147" s="36"/>
      <c r="E147" s="36"/>
      <c r="N147" s="355"/>
    </row>
    <row r="148" spans="3:14" ht="12.75" customHeight="1">
      <c r="C148" s="32"/>
      <c r="D148" s="36"/>
      <c r="E148" s="36"/>
      <c r="N148" s="355"/>
    </row>
    <row r="149" spans="3:14" ht="12.75" customHeight="1">
      <c r="C149" s="32"/>
      <c r="D149" s="36"/>
      <c r="E149" s="36"/>
      <c r="N149" s="355"/>
    </row>
    <row r="150" spans="3:14" ht="12.75" customHeight="1">
      <c r="C150" s="32"/>
      <c r="D150" s="36"/>
      <c r="E150" s="36"/>
      <c r="N150" s="355"/>
    </row>
    <row r="151" spans="3:14" ht="12.75" customHeight="1">
      <c r="C151" s="32"/>
      <c r="D151" s="36"/>
      <c r="E151" s="36"/>
      <c r="N151" s="355"/>
    </row>
    <row r="152" spans="3:14" ht="12.75" customHeight="1">
      <c r="C152" s="32"/>
      <c r="D152" s="36"/>
      <c r="E152" s="36"/>
      <c r="N152" s="355"/>
    </row>
    <row r="153" spans="3:14" ht="12.75" customHeight="1">
      <c r="C153" s="32"/>
      <c r="D153" s="36"/>
      <c r="E153" s="36"/>
      <c r="N153" s="355"/>
    </row>
    <row r="154" spans="3:14" ht="12.75" customHeight="1">
      <c r="C154" s="32"/>
      <c r="D154" s="36"/>
      <c r="E154" s="36"/>
      <c r="N154" s="355"/>
    </row>
    <row r="155" spans="3:14" ht="12.75" customHeight="1">
      <c r="C155" s="32"/>
      <c r="D155" s="36"/>
      <c r="E155" s="36"/>
      <c r="N155" s="355"/>
    </row>
    <row r="156" spans="3:14" ht="12.75" customHeight="1">
      <c r="C156" s="32"/>
      <c r="D156" s="36"/>
      <c r="E156" s="36"/>
      <c r="N156" s="355"/>
    </row>
    <row r="157" spans="3:14" ht="12.75" customHeight="1">
      <c r="C157" s="32"/>
      <c r="D157" s="36"/>
      <c r="E157" s="36"/>
      <c r="N157" s="355"/>
    </row>
    <row r="158" spans="3:14" ht="12.75" customHeight="1">
      <c r="C158" s="32"/>
      <c r="D158" s="36"/>
      <c r="E158" s="36"/>
      <c r="N158" s="355"/>
    </row>
    <row r="159" spans="3:14" ht="12.75" customHeight="1">
      <c r="C159" s="32"/>
      <c r="D159" s="36"/>
      <c r="E159" s="36"/>
      <c r="N159" s="355"/>
    </row>
    <row r="160" spans="3:14" ht="12.75" customHeight="1">
      <c r="C160" s="32"/>
      <c r="D160" s="36"/>
      <c r="E160" s="36"/>
      <c r="N160" s="355"/>
    </row>
    <row r="161" spans="3:14" ht="12.75" customHeight="1">
      <c r="C161" s="32"/>
      <c r="D161" s="36"/>
      <c r="E161" s="36"/>
      <c r="N161" s="355"/>
    </row>
    <row r="162" spans="3:14" ht="12.75" customHeight="1">
      <c r="C162" s="32"/>
      <c r="D162" s="36"/>
      <c r="E162" s="36"/>
      <c r="N162" s="355"/>
    </row>
    <row r="163" spans="3:14" ht="12.75" customHeight="1">
      <c r="C163" s="32"/>
      <c r="D163" s="36"/>
      <c r="E163" s="36"/>
      <c r="N163" s="355"/>
    </row>
    <row r="164" spans="3:14" ht="12.75" customHeight="1">
      <c r="C164" s="32"/>
      <c r="D164" s="36"/>
      <c r="E164" s="36"/>
      <c r="N164" s="355"/>
    </row>
    <row r="165" spans="3:14" ht="12.75" customHeight="1">
      <c r="C165" s="32"/>
      <c r="D165" s="36"/>
      <c r="E165" s="36"/>
      <c r="N165" s="355"/>
    </row>
    <row r="166" spans="3:14" ht="12.75" customHeight="1">
      <c r="C166" s="32"/>
      <c r="D166" s="36"/>
      <c r="E166" s="36"/>
      <c r="N166" s="355"/>
    </row>
    <row r="167" spans="3:14" ht="12.75" customHeight="1">
      <c r="C167" s="32"/>
      <c r="D167" s="36"/>
      <c r="E167" s="36"/>
      <c r="N167" s="355"/>
    </row>
    <row r="168" spans="3:14" ht="12.75" customHeight="1">
      <c r="C168" s="32"/>
      <c r="D168" s="36"/>
      <c r="E168" s="36"/>
      <c r="N168" s="355"/>
    </row>
    <row r="169" spans="3:14" ht="12.75" customHeight="1">
      <c r="C169" s="32"/>
      <c r="D169" s="36"/>
      <c r="E169" s="36"/>
      <c r="N169" s="355"/>
    </row>
    <row r="170" spans="3:14" ht="12.75" customHeight="1">
      <c r="C170" s="32"/>
      <c r="D170" s="36"/>
      <c r="E170" s="36"/>
    </row>
    <row r="171" spans="3:14" ht="12.75" customHeight="1">
      <c r="C171" s="32"/>
      <c r="D171" s="36"/>
      <c r="E171" s="36"/>
    </row>
    <row r="172" spans="3:14" ht="12.75" customHeight="1">
      <c r="C172" s="32"/>
      <c r="D172" s="36"/>
      <c r="E172" s="36"/>
    </row>
    <row r="173" spans="3:14" ht="12.75" customHeight="1">
      <c r="C173" s="32"/>
      <c r="D173" s="36"/>
      <c r="E173" s="36"/>
    </row>
    <row r="174" spans="3:14" ht="12.75" customHeight="1">
      <c r="C174" s="32"/>
      <c r="D174" s="36"/>
      <c r="E174" s="36"/>
    </row>
    <row r="175" spans="3:14" ht="12.75" customHeight="1">
      <c r="C175" s="32"/>
      <c r="D175" s="36"/>
      <c r="E175" s="36"/>
    </row>
    <row r="176" spans="3:14" ht="12.75" customHeight="1">
      <c r="C176" s="32"/>
      <c r="D176" s="36"/>
      <c r="E176" s="36"/>
    </row>
    <row r="177" spans="3:5" ht="12.75" customHeight="1">
      <c r="C177" s="32"/>
      <c r="D177" s="36"/>
      <c r="E177" s="36"/>
    </row>
    <row r="178" spans="3:5" ht="12.75" customHeight="1">
      <c r="C178" s="32"/>
      <c r="D178" s="36"/>
      <c r="E178" s="36"/>
    </row>
    <row r="179" spans="3:5" ht="12.75" customHeight="1">
      <c r="C179" s="32"/>
      <c r="D179" s="36"/>
      <c r="E179" s="36"/>
    </row>
    <row r="180" spans="3:5" ht="12.75" customHeight="1">
      <c r="C180" s="32"/>
      <c r="D180" s="36"/>
      <c r="E180" s="36"/>
    </row>
    <row r="181" spans="3:5" ht="12.75" customHeight="1">
      <c r="C181" s="32"/>
      <c r="D181" s="36"/>
      <c r="E181" s="36"/>
    </row>
    <row r="182" spans="3:5" ht="12.75" customHeight="1">
      <c r="C182" s="32"/>
      <c r="D182" s="36"/>
      <c r="E182" s="36"/>
    </row>
    <row r="183" spans="3:5" ht="12.75" customHeight="1">
      <c r="C183" s="32"/>
      <c r="D183" s="36"/>
      <c r="E183" s="36"/>
    </row>
    <row r="184" spans="3:5" ht="12.75" customHeight="1">
      <c r="C184" s="32"/>
      <c r="D184" s="36"/>
      <c r="E184" s="36"/>
    </row>
    <row r="185" spans="3:5" ht="12.75" customHeight="1">
      <c r="C185" s="32"/>
      <c r="D185" s="36"/>
      <c r="E185" s="36"/>
    </row>
    <row r="186" spans="3:5" ht="12.75" customHeight="1">
      <c r="C186" s="32"/>
      <c r="D186" s="36"/>
      <c r="E186" s="36"/>
    </row>
    <row r="187" spans="3:5" ht="12.75" customHeight="1">
      <c r="C187" s="32"/>
      <c r="D187" s="36"/>
      <c r="E187" s="36"/>
    </row>
    <row r="188" spans="3:5" ht="12.75" customHeight="1">
      <c r="C188" s="32"/>
      <c r="D188" s="36"/>
      <c r="E188" s="36"/>
    </row>
    <row r="189" spans="3:5" ht="12.75" customHeight="1">
      <c r="C189" s="32"/>
      <c r="D189" s="36"/>
      <c r="E189" s="36"/>
    </row>
    <row r="190" spans="3:5" ht="12.75" customHeight="1">
      <c r="C190" s="32"/>
      <c r="D190" s="36"/>
      <c r="E190" s="36"/>
    </row>
    <row r="191" spans="3:5" ht="12.75" customHeight="1">
      <c r="C191" s="32"/>
      <c r="D191" s="36"/>
      <c r="E191" s="36"/>
    </row>
    <row r="192" spans="3:5" ht="12.75" customHeight="1">
      <c r="C192" s="32"/>
      <c r="D192" s="36"/>
      <c r="E192" s="36"/>
    </row>
    <row r="193" spans="3:5" ht="12.75" customHeight="1">
      <c r="C193" s="32"/>
      <c r="D193" s="36"/>
      <c r="E193" s="36"/>
    </row>
    <row r="194" spans="3:5" ht="12.75" customHeight="1">
      <c r="C194" s="32"/>
      <c r="D194" s="36"/>
      <c r="E194" s="36"/>
    </row>
    <row r="195" spans="3:5" ht="12.75" customHeight="1">
      <c r="C195" s="32"/>
      <c r="D195" s="36"/>
      <c r="E195" s="36"/>
    </row>
    <row r="196" spans="3:5" ht="12.75" customHeight="1">
      <c r="C196" s="32"/>
      <c r="D196" s="36"/>
      <c r="E196" s="36"/>
    </row>
    <row r="197" spans="3:5" ht="12.75" customHeight="1">
      <c r="C197" s="32"/>
      <c r="D197" s="36"/>
      <c r="E197" s="36"/>
    </row>
    <row r="198" spans="3:5" ht="12.75" customHeight="1">
      <c r="C198" s="32"/>
      <c r="D198" s="36"/>
      <c r="E198" s="36"/>
    </row>
    <row r="199" spans="3:5" ht="12.75" customHeight="1">
      <c r="C199" s="32"/>
      <c r="D199" s="36"/>
      <c r="E199" s="36"/>
    </row>
    <row r="200" spans="3:5" ht="12.75" customHeight="1">
      <c r="C200" s="32"/>
      <c r="D200" s="36"/>
      <c r="E200" s="36"/>
    </row>
    <row r="201" spans="3:5" ht="12.75" customHeight="1">
      <c r="C201" s="32"/>
      <c r="D201" s="36"/>
      <c r="E201" s="36"/>
    </row>
    <row r="202" spans="3:5" ht="12.75" customHeight="1">
      <c r="C202" s="32"/>
      <c r="D202" s="36"/>
      <c r="E202" s="36"/>
    </row>
    <row r="203" spans="3:5" ht="12.75" customHeight="1">
      <c r="C203" s="32"/>
      <c r="D203" s="36"/>
      <c r="E203" s="36"/>
    </row>
    <row r="204" spans="3:5" ht="12.75" customHeight="1">
      <c r="C204" s="32"/>
      <c r="D204" s="36"/>
      <c r="E204" s="36"/>
    </row>
    <row r="205" spans="3:5" ht="12.75" customHeight="1">
      <c r="C205" s="32"/>
      <c r="D205" s="36"/>
      <c r="E205" s="36"/>
    </row>
    <row r="206" spans="3:5" ht="12.75" customHeight="1">
      <c r="C206" s="32"/>
      <c r="D206" s="36"/>
      <c r="E206" s="36"/>
    </row>
    <row r="207" spans="3:5" ht="12.75" customHeight="1">
      <c r="C207" s="32"/>
      <c r="D207" s="36"/>
      <c r="E207" s="36"/>
    </row>
    <row r="208" spans="3:5" ht="12.75" customHeight="1">
      <c r="C208" s="32"/>
      <c r="D208" s="36"/>
      <c r="E208" s="36"/>
    </row>
    <row r="209" spans="3:5" ht="12.75" customHeight="1">
      <c r="C209" s="32"/>
      <c r="D209" s="36"/>
      <c r="E209" s="36"/>
    </row>
    <row r="210" spans="3:5" ht="12.75" customHeight="1">
      <c r="C210" s="32"/>
      <c r="D210" s="36"/>
      <c r="E210" s="36"/>
    </row>
    <row r="211" spans="3:5" ht="12.75" customHeight="1">
      <c r="C211" s="32"/>
      <c r="D211" s="36"/>
      <c r="E211" s="36"/>
    </row>
    <row r="212" spans="3:5" ht="12.75" customHeight="1">
      <c r="C212" s="32"/>
      <c r="D212" s="36"/>
      <c r="E212" s="36"/>
    </row>
    <row r="213" spans="3:5" ht="12.75" customHeight="1">
      <c r="C213" s="32"/>
      <c r="D213" s="36"/>
      <c r="E213" s="36"/>
    </row>
    <row r="214" spans="3:5" ht="12.75" customHeight="1">
      <c r="C214" s="32"/>
      <c r="D214" s="36"/>
      <c r="E214" s="36"/>
    </row>
    <row r="215" spans="3:5" ht="12.75" customHeight="1">
      <c r="C215" s="32"/>
      <c r="D215" s="36"/>
      <c r="E215" s="36"/>
    </row>
    <row r="216" spans="3:5" ht="12.75" customHeight="1">
      <c r="C216" s="32"/>
      <c r="D216" s="36"/>
      <c r="E216" s="36"/>
    </row>
    <row r="217" spans="3:5" ht="12.75" customHeight="1">
      <c r="C217" s="32"/>
      <c r="D217" s="36"/>
      <c r="E217" s="36"/>
    </row>
    <row r="218" spans="3:5" ht="12.75" customHeight="1">
      <c r="C218" s="32"/>
      <c r="D218" s="36"/>
      <c r="E218" s="36"/>
    </row>
    <row r="219" spans="3:5" ht="12.75" customHeight="1">
      <c r="C219" s="32"/>
      <c r="D219" s="36"/>
      <c r="E219" s="36"/>
    </row>
    <row r="220" spans="3:5" ht="12.75" customHeight="1">
      <c r="C220" s="32"/>
      <c r="D220" s="36"/>
      <c r="E220" s="36"/>
    </row>
    <row r="221" spans="3:5" ht="12.75" customHeight="1">
      <c r="C221" s="32"/>
      <c r="D221" s="36"/>
      <c r="E221" s="36"/>
    </row>
    <row r="222" spans="3:5" ht="12.75" customHeight="1">
      <c r="C222" s="32"/>
      <c r="D222" s="36"/>
      <c r="E222" s="36"/>
    </row>
    <row r="223" spans="3:5" ht="12.75" customHeight="1">
      <c r="C223" s="32"/>
      <c r="D223" s="36"/>
      <c r="E223" s="36"/>
    </row>
    <row r="224" spans="3:5" ht="12.75" customHeight="1">
      <c r="C224" s="32"/>
      <c r="D224" s="36"/>
      <c r="E224" s="36"/>
    </row>
    <row r="225" spans="3:5" ht="12.75" customHeight="1">
      <c r="C225" s="32"/>
      <c r="D225" s="36"/>
      <c r="E225" s="36"/>
    </row>
    <row r="226" spans="3:5" ht="12.75" customHeight="1">
      <c r="C226" s="32"/>
      <c r="D226" s="36"/>
      <c r="E226" s="36"/>
    </row>
    <row r="227" spans="3:5" ht="12.75" customHeight="1">
      <c r="C227" s="32"/>
      <c r="D227" s="36"/>
      <c r="E227" s="36"/>
    </row>
    <row r="228" spans="3:5" ht="12.75" customHeight="1">
      <c r="C228" s="32"/>
      <c r="D228" s="36"/>
      <c r="E228" s="36"/>
    </row>
    <row r="229" spans="3:5" ht="12.75" customHeight="1">
      <c r="C229" s="32"/>
      <c r="D229" s="36"/>
      <c r="E229" s="36"/>
    </row>
    <row r="230" spans="3:5" ht="12.75" customHeight="1">
      <c r="C230" s="32"/>
      <c r="D230" s="36"/>
      <c r="E230" s="36"/>
    </row>
    <row r="231" spans="3:5" ht="12.75" customHeight="1">
      <c r="C231" s="32"/>
      <c r="D231" s="36"/>
      <c r="E231" s="36"/>
    </row>
    <row r="232" spans="3:5" ht="12.75" customHeight="1">
      <c r="C232" s="32"/>
      <c r="D232" s="36"/>
      <c r="E232" s="36"/>
    </row>
    <row r="233" spans="3:5" ht="12.75" customHeight="1">
      <c r="C233" s="32"/>
      <c r="D233" s="36"/>
      <c r="E233" s="36"/>
    </row>
    <row r="234" spans="3:5" ht="12.75" customHeight="1">
      <c r="C234" s="32"/>
      <c r="D234" s="36"/>
      <c r="E234" s="36"/>
    </row>
    <row r="235" spans="3:5" ht="12.75" customHeight="1">
      <c r="C235" s="32"/>
      <c r="D235" s="36"/>
      <c r="E235" s="36"/>
    </row>
    <row r="236" spans="3:5" ht="12.75" customHeight="1">
      <c r="C236" s="32"/>
      <c r="D236" s="36"/>
      <c r="E236" s="36"/>
    </row>
    <row r="237" spans="3:5" ht="12.75" customHeight="1">
      <c r="C237" s="32"/>
      <c r="D237" s="36"/>
      <c r="E237" s="36"/>
    </row>
    <row r="238" spans="3:5" ht="12.75" customHeight="1">
      <c r="C238" s="32"/>
      <c r="D238" s="36"/>
      <c r="E238" s="36"/>
    </row>
    <row r="239" spans="3:5" ht="12.75" customHeight="1">
      <c r="C239" s="32"/>
      <c r="D239" s="36"/>
      <c r="E239" s="36"/>
    </row>
    <row r="240" spans="3:5" ht="12.75" customHeight="1">
      <c r="C240" s="32"/>
      <c r="D240" s="36"/>
      <c r="E240" s="36"/>
    </row>
    <row r="241" spans="3:5" ht="12.75" customHeight="1">
      <c r="C241" s="32"/>
      <c r="D241" s="36"/>
      <c r="E241" s="36"/>
    </row>
    <row r="242" spans="3:5" ht="12.75" customHeight="1">
      <c r="C242" s="32"/>
      <c r="D242" s="36"/>
      <c r="E242" s="36"/>
    </row>
    <row r="243" spans="3:5" ht="12.75" customHeight="1">
      <c r="C243" s="32"/>
      <c r="D243" s="36"/>
      <c r="E243" s="36"/>
    </row>
    <row r="244" spans="3:5" ht="12.75" customHeight="1">
      <c r="C244" s="32"/>
      <c r="D244" s="36"/>
      <c r="E244" s="36"/>
    </row>
    <row r="245" spans="3:5" ht="12.75" customHeight="1">
      <c r="C245" s="32"/>
      <c r="D245" s="36"/>
      <c r="E245" s="36"/>
    </row>
    <row r="246" spans="3:5" ht="12.75" customHeight="1">
      <c r="C246" s="32"/>
      <c r="D246" s="36"/>
      <c r="E246" s="36"/>
    </row>
    <row r="247" spans="3:5" ht="12.75" customHeight="1">
      <c r="C247" s="32"/>
      <c r="D247" s="36"/>
      <c r="E247" s="36"/>
    </row>
    <row r="248" spans="3:5" ht="12.75" customHeight="1">
      <c r="C248" s="32"/>
      <c r="D248" s="36"/>
      <c r="E248" s="36"/>
    </row>
    <row r="249" spans="3:5" ht="12.75" customHeight="1">
      <c r="C249" s="32"/>
      <c r="D249" s="36"/>
      <c r="E249" s="36"/>
    </row>
    <row r="250" spans="3:5" ht="12.75" customHeight="1">
      <c r="C250" s="32"/>
      <c r="D250" s="36"/>
      <c r="E250" s="36"/>
    </row>
    <row r="251" spans="3:5" ht="12.75" customHeight="1">
      <c r="C251" s="32"/>
      <c r="D251" s="36"/>
      <c r="E251" s="36"/>
    </row>
    <row r="252" spans="3:5" ht="12.75" customHeight="1">
      <c r="C252" s="32"/>
      <c r="D252" s="36"/>
      <c r="E252" s="36"/>
    </row>
    <row r="253" spans="3:5" ht="12.75" customHeight="1">
      <c r="C253" s="32"/>
      <c r="D253" s="36"/>
      <c r="E253" s="36"/>
    </row>
    <row r="254" spans="3:5" ht="12.75" customHeight="1">
      <c r="C254" s="32"/>
      <c r="D254" s="36"/>
      <c r="E254" s="36"/>
    </row>
    <row r="255" spans="3:5" ht="12.75" customHeight="1">
      <c r="C255" s="32"/>
      <c r="D255" s="36"/>
      <c r="E255" s="36"/>
    </row>
    <row r="256" spans="3:5" ht="12.75" customHeight="1">
      <c r="C256" s="32"/>
      <c r="D256" s="36"/>
      <c r="E256" s="36"/>
    </row>
    <row r="257" spans="3:5" ht="12.75" customHeight="1">
      <c r="C257" s="32"/>
      <c r="D257" s="36"/>
      <c r="E257" s="36"/>
    </row>
    <row r="258" spans="3:5" ht="12.75" customHeight="1">
      <c r="C258" s="32"/>
      <c r="D258" s="36"/>
      <c r="E258" s="36"/>
    </row>
    <row r="259" spans="3:5" ht="12.75" customHeight="1">
      <c r="C259" s="32"/>
      <c r="D259" s="36"/>
      <c r="E259" s="36"/>
    </row>
    <row r="260" spans="3:5" ht="12.75" customHeight="1">
      <c r="C260" s="32"/>
      <c r="D260" s="36"/>
      <c r="E260" s="36"/>
    </row>
    <row r="261" spans="3:5" ht="12.75" customHeight="1">
      <c r="C261" s="32"/>
      <c r="D261" s="36"/>
      <c r="E261" s="36"/>
    </row>
    <row r="262" spans="3:5" ht="12.75" customHeight="1">
      <c r="C262" s="32"/>
      <c r="D262" s="36"/>
      <c r="E262" s="36"/>
    </row>
    <row r="263" spans="3:5" ht="12.75" customHeight="1">
      <c r="C263" s="32"/>
      <c r="D263" s="36"/>
      <c r="E263" s="36"/>
    </row>
    <row r="264" spans="3:5" ht="12.75" customHeight="1">
      <c r="C264" s="32"/>
      <c r="D264" s="36"/>
      <c r="E264" s="36"/>
    </row>
    <row r="265" spans="3:5" ht="12.75" customHeight="1">
      <c r="C265" s="32"/>
      <c r="D265" s="36"/>
      <c r="E265" s="36"/>
    </row>
    <row r="266" spans="3:5" ht="12.75" customHeight="1">
      <c r="C266" s="32"/>
      <c r="D266" s="36"/>
      <c r="E266" s="36"/>
    </row>
    <row r="267" spans="3:5" ht="12.75" customHeight="1">
      <c r="C267" s="32"/>
      <c r="D267" s="36"/>
      <c r="E267" s="36"/>
    </row>
    <row r="268" spans="3:5" ht="12.75" customHeight="1">
      <c r="C268" s="32"/>
      <c r="D268" s="36"/>
      <c r="E268" s="36"/>
    </row>
    <row r="269" spans="3:5" ht="12.75" customHeight="1">
      <c r="C269" s="32"/>
      <c r="D269" s="36"/>
      <c r="E269" s="36"/>
    </row>
    <row r="270" spans="3:5" ht="12.75" customHeight="1">
      <c r="C270" s="32"/>
      <c r="D270" s="36"/>
      <c r="E270" s="36"/>
    </row>
    <row r="271" spans="3:5" ht="12.75" customHeight="1">
      <c r="C271" s="32"/>
      <c r="D271" s="36"/>
      <c r="E271" s="36"/>
    </row>
    <row r="272" spans="3:5" ht="12.75" customHeight="1">
      <c r="C272" s="32"/>
      <c r="D272" s="36"/>
      <c r="E272" s="36"/>
    </row>
    <row r="273" spans="3:5" ht="12.75" customHeight="1">
      <c r="C273" s="32"/>
      <c r="D273" s="36"/>
      <c r="E273" s="36"/>
    </row>
    <row r="274" spans="3:5" ht="12.75" customHeight="1">
      <c r="C274" s="32"/>
      <c r="D274" s="36"/>
      <c r="E274" s="36"/>
    </row>
    <row r="275" spans="3:5" ht="12.75" customHeight="1">
      <c r="C275" s="32"/>
      <c r="D275" s="36"/>
      <c r="E275" s="36"/>
    </row>
    <row r="276" spans="3:5" ht="12.75" customHeight="1">
      <c r="C276" s="32"/>
      <c r="D276" s="36"/>
      <c r="E276" s="36"/>
    </row>
    <row r="277" spans="3:5" ht="12.75" customHeight="1">
      <c r="C277" s="32"/>
      <c r="D277" s="36"/>
      <c r="E277" s="36"/>
    </row>
    <row r="278" spans="3:5" ht="12.75" customHeight="1">
      <c r="C278" s="32"/>
      <c r="D278" s="36"/>
      <c r="E278" s="36"/>
    </row>
    <row r="279" spans="3:5" ht="12.75" customHeight="1">
      <c r="C279" s="32"/>
      <c r="D279" s="36"/>
      <c r="E279" s="36"/>
    </row>
    <row r="280" spans="3:5" ht="12.75" customHeight="1">
      <c r="C280" s="32"/>
      <c r="D280" s="36"/>
      <c r="E280" s="36"/>
    </row>
    <row r="281" spans="3:5" ht="12.75" customHeight="1">
      <c r="C281" s="32"/>
      <c r="D281" s="36"/>
      <c r="E281" s="36"/>
    </row>
    <row r="282" spans="3:5" ht="12.75" customHeight="1">
      <c r="C282" s="32"/>
      <c r="D282" s="36"/>
      <c r="E282" s="36"/>
    </row>
    <row r="283" spans="3:5" ht="12.75" customHeight="1">
      <c r="C283" s="32"/>
      <c r="D283" s="36"/>
      <c r="E283" s="36"/>
    </row>
    <row r="284" spans="3:5" ht="12.75" customHeight="1">
      <c r="C284" s="32"/>
      <c r="D284" s="36"/>
      <c r="E284" s="36"/>
    </row>
    <row r="285" spans="3:5" ht="12.75" customHeight="1">
      <c r="C285" s="32"/>
      <c r="D285" s="36"/>
      <c r="E285" s="36"/>
    </row>
    <row r="286" spans="3:5" ht="12.75" customHeight="1">
      <c r="C286" s="32"/>
      <c r="D286" s="36"/>
      <c r="E286" s="36"/>
    </row>
    <row r="287" spans="3:5" ht="12.75" customHeight="1">
      <c r="C287" s="32"/>
      <c r="D287" s="36"/>
      <c r="E287" s="36"/>
    </row>
    <row r="288" spans="3:5" ht="12.75" customHeight="1">
      <c r="C288" s="32"/>
      <c r="D288" s="36"/>
      <c r="E288" s="36"/>
    </row>
    <row r="289" spans="3:5" ht="12.75" customHeight="1">
      <c r="C289" s="32"/>
      <c r="D289" s="36"/>
      <c r="E289" s="36"/>
    </row>
    <row r="290" spans="3:5" ht="12.75" customHeight="1">
      <c r="C290" s="32"/>
      <c r="D290" s="36"/>
      <c r="E290" s="36"/>
    </row>
    <row r="291" spans="3:5" ht="12.75" customHeight="1">
      <c r="C291" s="32"/>
      <c r="D291" s="36"/>
      <c r="E291" s="36"/>
    </row>
    <row r="292" spans="3:5" ht="12.75" customHeight="1">
      <c r="C292" s="32"/>
      <c r="D292" s="36"/>
      <c r="E292" s="36"/>
    </row>
    <row r="293" spans="3:5" ht="12.75" customHeight="1">
      <c r="C293" s="32"/>
      <c r="D293" s="36"/>
      <c r="E293" s="36"/>
    </row>
    <row r="294" spans="3:5" ht="12.75" customHeight="1">
      <c r="C294" s="32"/>
      <c r="D294" s="36"/>
      <c r="E294" s="36"/>
    </row>
    <row r="295" spans="3:5" ht="12.75" customHeight="1">
      <c r="C295" s="32"/>
      <c r="D295" s="36"/>
      <c r="E295" s="36"/>
    </row>
    <row r="296" spans="3:5" ht="12.75" customHeight="1">
      <c r="C296" s="32"/>
      <c r="D296" s="36"/>
      <c r="E296" s="36"/>
    </row>
    <row r="297" spans="3:5" ht="12.75" customHeight="1"/>
    <row r="298" spans="3:5" ht="12.75" customHeight="1"/>
    <row r="299" spans="3:5" ht="12.75" customHeight="1"/>
    <row r="300" spans="3:5" ht="12.75" customHeight="1"/>
    <row r="301" spans="3:5" ht="12.75" customHeight="1"/>
    <row r="302" spans="3:5" ht="12.75" customHeight="1"/>
    <row r="303" spans="3:5" ht="12.75" customHeight="1"/>
    <row r="304" spans="3:5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9" scale="49" orientation="portrait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B421"/>
  <sheetViews>
    <sheetView showGridLines="0" zoomScale="85" zoomScaleNormal="85" zoomScaleSheetLayoutView="90" workbookViewId="0">
      <pane xSplit="1" ySplit="4" topLeftCell="B51" activePane="bottomRight" state="frozen"/>
      <selection activeCell="N44" sqref="N44"/>
      <selection pane="topRight" activeCell="N44" sqref="N44"/>
      <selection pane="bottomLeft" activeCell="N44" sqref="N44"/>
      <selection pane="bottomRight" activeCell="F70" sqref="F70:M70"/>
    </sheetView>
  </sheetViews>
  <sheetFormatPr defaultColWidth="0" defaultRowHeight="12.75" customHeight="1" zeroHeight="1"/>
  <cols>
    <col min="1" max="1" width="56.46875" style="105" customWidth="1"/>
    <col min="2" max="2" width="20" style="98" customWidth="1"/>
    <col min="3" max="5" width="9.1171875" style="121" customWidth="1"/>
    <col min="6" max="6" width="9.1171875" style="103" customWidth="1"/>
    <col min="7" max="13" width="9.3515625" style="103" customWidth="1"/>
    <col min="14" max="14" width="14.64453125" style="98" customWidth="1"/>
    <col min="15" max="15" width="11.46875" style="98" hidden="1" customWidth="1"/>
    <col min="16" max="16" width="6.64453125" style="98" hidden="1" customWidth="1"/>
    <col min="17" max="17" width="18.17578125" style="98" hidden="1" customWidth="1"/>
    <col min="18" max="18" width="18.17578125" style="103" hidden="1" customWidth="1"/>
    <col min="19" max="19" width="11.46875" style="103" hidden="1" customWidth="1"/>
    <col min="20" max="20" width="6.64453125" style="103" hidden="1" customWidth="1"/>
    <col min="21" max="28" width="18.17578125" style="103" hidden="1" customWidth="1"/>
    <col min="29" max="16384" width="9" style="103" hidden="1"/>
  </cols>
  <sheetData>
    <row r="1" spans="1:23" s="98" customFormat="1" ht="14.65">
      <c r="A1" s="95" t="s">
        <v>102</v>
      </c>
      <c r="B1" s="96"/>
      <c r="C1" s="97"/>
      <c r="D1" s="97"/>
      <c r="E1" s="97"/>
      <c r="N1" s="357"/>
    </row>
    <row r="2" spans="1:23" s="98" customFormat="1" ht="12.4">
      <c r="A2" s="99" t="str">
        <f>CompName</f>
        <v>Scottish Power Transmission plc</v>
      </c>
      <c r="C2" s="97"/>
      <c r="D2" s="97"/>
      <c r="E2" s="97"/>
      <c r="N2" s="357"/>
    </row>
    <row r="3" spans="1:23" ht="29.25" customHeight="1">
      <c r="A3" s="100" t="str">
        <f>'R5 Input page'!F7</f>
        <v>Regulatory Year ending 31 March 2019</v>
      </c>
      <c r="B3" s="101"/>
      <c r="C3" s="102"/>
      <c r="D3" s="102"/>
      <c r="E3" s="102"/>
      <c r="G3" s="406" t="s">
        <v>95</v>
      </c>
      <c r="H3" s="406"/>
      <c r="I3" s="360"/>
      <c r="J3" s="104"/>
      <c r="K3" s="104"/>
      <c r="L3" s="104"/>
      <c r="M3" s="104"/>
      <c r="N3" s="388"/>
      <c r="P3" s="101"/>
    </row>
    <row r="4" spans="1:23" s="98" customFormat="1" ht="12.4">
      <c r="A4" s="105"/>
      <c r="B4" s="106"/>
      <c r="C4" s="107" t="s">
        <v>0</v>
      </c>
      <c r="D4" s="108">
        <v>2012</v>
      </c>
      <c r="E4" s="108">
        <v>2013</v>
      </c>
      <c r="F4" s="108">
        <v>2014</v>
      </c>
      <c r="G4" s="108">
        <v>2015</v>
      </c>
      <c r="H4" s="108">
        <v>2016</v>
      </c>
      <c r="I4" s="108">
        <v>2017</v>
      </c>
      <c r="J4" s="108">
        <v>2018</v>
      </c>
      <c r="K4" s="108">
        <v>2019</v>
      </c>
      <c r="L4" s="108">
        <v>2020</v>
      </c>
      <c r="M4" s="108">
        <v>2021</v>
      </c>
      <c r="N4" s="371" t="s">
        <v>97</v>
      </c>
      <c r="R4" s="103"/>
      <c r="S4" s="103"/>
      <c r="T4" s="103"/>
      <c r="U4" s="103"/>
      <c r="V4" s="103"/>
      <c r="W4" s="103"/>
    </row>
    <row r="5" spans="1:23" ht="14.65">
      <c r="A5" s="95" t="s">
        <v>103</v>
      </c>
      <c r="B5" s="109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N5" s="371"/>
      <c r="P5" s="101"/>
    </row>
    <row r="6" spans="1:23" ht="14.65">
      <c r="A6" s="105" t="s">
        <v>245</v>
      </c>
      <c r="C6" s="97"/>
      <c r="D6" s="97"/>
      <c r="E6" s="410" t="s">
        <v>503</v>
      </c>
      <c r="F6" s="411"/>
      <c r="G6" s="411"/>
      <c r="H6" s="411"/>
      <c r="I6" s="411"/>
      <c r="J6" s="412"/>
      <c r="K6" s="112"/>
      <c r="L6" s="112"/>
      <c r="M6" s="112"/>
      <c r="N6" s="371" t="s">
        <v>104</v>
      </c>
    </row>
    <row r="7" spans="1:23" ht="14.65">
      <c r="A7" s="105" t="s">
        <v>105</v>
      </c>
      <c r="C7" s="97"/>
      <c r="D7" s="97"/>
      <c r="E7" s="97"/>
      <c r="F7" s="407" t="s">
        <v>605</v>
      </c>
      <c r="G7" s="408"/>
      <c r="H7" s="408"/>
      <c r="I7" s="409"/>
      <c r="J7" s="112"/>
      <c r="K7" s="112"/>
      <c r="L7" s="112"/>
      <c r="M7" s="112"/>
      <c r="N7" s="371" t="s">
        <v>129</v>
      </c>
    </row>
    <row r="8" spans="1:23" s="98" customFormat="1" ht="12.4">
      <c r="A8" s="99"/>
      <c r="C8" s="97"/>
      <c r="D8" s="97"/>
      <c r="E8" s="97"/>
      <c r="F8" s="106"/>
      <c r="N8" s="371"/>
      <c r="R8" s="103"/>
      <c r="S8" s="103"/>
      <c r="T8" s="103"/>
      <c r="U8" s="103"/>
      <c r="V8" s="103"/>
      <c r="W8" s="103"/>
    </row>
    <row r="9" spans="1:23" s="98" customFormat="1" ht="12.4">
      <c r="A9" s="99"/>
      <c r="N9" s="371"/>
      <c r="R9" s="103"/>
      <c r="S9" s="103"/>
      <c r="T9" s="103"/>
      <c r="U9" s="103"/>
      <c r="V9" s="103"/>
      <c r="W9" s="103"/>
    </row>
    <row r="10" spans="1:23" s="98" customFormat="1" ht="12.4">
      <c r="A10" s="99" t="s">
        <v>118</v>
      </c>
      <c r="C10" s="97" t="s">
        <v>110</v>
      </c>
      <c r="D10" s="301">
        <f>ROUND(D11/$B$11,3)</f>
        <v>1.1000000000000001</v>
      </c>
      <c r="E10" s="301">
        <f t="shared" ref="E10:M10" si="0">ROUND(E11/$B$11,3)</f>
        <v>1.1339999999999999</v>
      </c>
      <c r="F10" s="301">
        <f t="shared" si="0"/>
        <v>1.167</v>
      </c>
      <c r="G10" s="301">
        <f t="shared" si="0"/>
        <v>1.19</v>
      </c>
      <c r="H10" s="301">
        <f t="shared" si="0"/>
        <v>1.202</v>
      </c>
      <c r="I10" s="301">
        <f t="shared" si="0"/>
        <v>1.228</v>
      </c>
      <c r="J10" s="301">
        <f t="shared" si="0"/>
        <v>1.274</v>
      </c>
      <c r="K10" s="301">
        <f t="shared" si="0"/>
        <v>1.31</v>
      </c>
      <c r="L10" s="301">
        <f t="shared" si="0"/>
        <v>1.3460000000000001</v>
      </c>
      <c r="M10" s="301">
        <f t="shared" si="0"/>
        <v>1.3839999999999999</v>
      </c>
      <c r="N10" s="371" t="s">
        <v>116</v>
      </c>
      <c r="R10" s="103"/>
      <c r="S10" s="103"/>
      <c r="T10" s="103"/>
      <c r="U10" s="103"/>
      <c r="V10" s="103"/>
      <c r="W10" s="103"/>
    </row>
    <row r="11" spans="1:23" s="98" customFormat="1" ht="24.75">
      <c r="A11" s="99" t="s">
        <v>119</v>
      </c>
      <c r="B11" s="298">
        <v>215.767</v>
      </c>
      <c r="C11" s="298">
        <v>226.47499999999999</v>
      </c>
      <c r="D11" s="298">
        <v>237.34200000000001</v>
      </c>
      <c r="E11" s="298">
        <v>244.67500000000001</v>
      </c>
      <c r="F11" s="298">
        <v>251.733</v>
      </c>
      <c r="G11" s="298">
        <v>256.66699999999997</v>
      </c>
      <c r="H11" s="298">
        <v>259.43299999999999</v>
      </c>
      <c r="I11" s="298">
        <v>264.99200000000002</v>
      </c>
      <c r="J11" s="298">
        <v>274.90800000000002</v>
      </c>
      <c r="K11" s="389">
        <f>ROUND(J11*1.028,3)</f>
        <v>282.60500000000002</v>
      </c>
      <c r="L11" s="389">
        <f t="shared" ref="L11:M11" si="1">ROUND(K11*1.028,3)</f>
        <v>290.51799999999997</v>
      </c>
      <c r="M11" s="389">
        <f t="shared" si="1"/>
        <v>298.65300000000002</v>
      </c>
      <c r="N11" s="371" t="s">
        <v>595</v>
      </c>
      <c r="R11" s="103"/>
      <c r="S11" s="103"/>
      <c r="T11" s="103"/>
      <c r="U11" s="103"/>
      <c r="V11" s="103"/>
      <c r="W11" s="103"/>
    </row>
    <row r="12" spans="1:23" s="98" customFormat="1" ht="12.4">
      <c r="A12" s="99"/>
      <c r="C12" s="97"/>
      <c r="D12" s="106"/>
      <c r="E12" s="106"/>
      <c r="F12" s="106"/>
      <c r="H12" s="300"/>
      <c r="M12" s="357"/>
      <c r="N12" s="371"/>
      <c r="R12" s="103"/>
      <c r="S12" s="103"/>
      <c r="T12" s="103"/>
      <c r="U12" s="103"/>
      <c r="V12" s="103"/>
      <c r="W12" s="103"/>
    </row>
    <row r="13" spans="1:23" s="114" customFormat="1" ht="12.4">
      <c r="A13" s="113" t="s">
        <v>166</v>
      </c>
      <c r="M13" s="179"/>
      <c r="N13" s="179"/>
    </row>
    <row r="14" spans="1:23" s="114" customFormat="1" ht="14.25">
      <c r="A14" s="115"/>
      <c r="C14" s="116" t="s">
        <v>167</v>
      </c>
      <c r="D14" s="117">
        <v>2012</v>
      </c>
      <c r="E14" s="117">
        <v>2013</v>
      </c>
      <c r="F14" s="117">
        <v>2014</v>
      </c>
      <c r="G14" s="117">
        <v>2015</v>
      </c>
      <c r="H14" s="117">
        <v>2016</v>
      </c>
      <c r="I14" s="117">
        <v>2017</v>
      </c>
      <c r="J14" s="117">
        <v>2018</v>
      </c>
      <c r="K14" s="117">
        <v>2019</v>
      </c>
      <c r="L14" s="117">
        <v>2020</v>
      </c>
      <c r="M14" s="117">
        <v>2021</v>
      </c>
      <c r="N14" s="179"/>
    </row>
    <row r="15" spans="1:23" s="114" customFormat="1" ht="12.4">
      <c r="A15" s="115" t="s">
        <v>168</v>
      </c>
      <c r="B15" s="114" t="s">
        <v>169</v>
      </c>
      <c r="D15" s="74">
        <v>3.3000000000000002E-2</v>
      </c>
      <c r="E15" s="74">
        <v>2.5999999999999999E-2</v>
      </c>
      <c r="N15" s="179"/>
    </row>
    <row r="16" spans="1:23" s="114" customFormat="1" ht="12.4">
      <c r="A16" s="115" t="s">
        <v>168</v>
      </c>
      <c r="B16" s="114" t="s">
        <v>170</v>
      </c>
      <c r="D16" s="74">
        <v>3.1E-2</v>
      </c>
      <c r="E16" s="297">
        <v>2.7E-2</v>
      </c>
      <c r="F16" s="297">
        <v>2.5000000000000001E-2</v>
      </c>
      <c r="N16" s="179"/>
    </row>
    <row r="17" spans="1:23" s="114" customFormat="1" ht="12.4">
      <c r="A17" s="115" t="s">
        <v>168</v>
      </c>
      <c r="B17" s="114" t="s">
        <v>171</v>
      </c>
      <c r="E17" s="297">
        <v>3.1E-2</v>
      </c>
      <c r="F17" s="297">
        <v>3.1E-2</v>
      </c>
      <c r="G17" s="297">
        <v>0.03</v>
      </c>
      <c r="N17" s="179"/>
    </row>
    <row r="18" spans="1:23" s="114" customFormat="1" ht="12.4">
      <c r="A18" s="115" t="s">
        <v>168</v>
      </c>
      <c r="B18" s="114" t="s">
        <v>172</v>
      </c>
      <c r="F18" s="297">
        <v>2.5000000000000001E-2</v>
      </c>
      <c r="G18" s="297">
        <v>2.4E-2</v>
      </c>
      <c r="H18" s="297">
        <v>3.2000000000000001E-2</v>
      </c>
      <c r="N18" s="179"/>
    </row>
    <row r="19" spans="1:23" s="114" customFormat="1" ht="12.4">
      <c r="A19" s="115" t="s">
        <v>168</v>
      </c>
      <c r="B19" s="114" t="s">
        <v>173</v>
      </c>
      <c r="G19" s="297">
        <v>0.01</v>
      </c>
      <c r="H19" s="297">
        <v>2.1000000000000001E-2</v>
      </c>
      <c r="I19" s="297">
        <v>0.03</v>
      </c>
      <c r="N19" s="179"/>
    </row>
    <row r="20" spans="1:23" s="114" customFormat="1" ht="12.4">
      <c r="A20" s="115" t="s">
        <v>168</v>
      </c>
      <c r="B20" s="114" t="s">
        <v>174</v>
      </c>
      <c r="H20" s="297">
        <v>1.7999999999999999E-2</v>
      </c>
      <c r="I20" s="297">
        <v>3.5000000000000003E-2</v>
      </c>
      <c r="J20" s="297">
        <v>3.1E-2</v>
      </c>
      <c r="N20" s="179"/>
    </row>
    <row r="21" spans="1:23" s="114" customFormat="1" ht="12.4">
      <c r="A21" s="115" t="s">
        <v>168</v>
      </c>
      <c r="B21" s="114" t="s">
        <v>175</v>
      </c>
      <c r="I21" s="297">
        <v>3.5999999999999997E-2</v>
      </c>
      <c r="J21" s="297">
        <v>3.4000000000000002E-2</v>
      </c>
      <c r="K21" s="297">
        <v>3.1E-2</v>
      </c>
      <c r="N21" s="179"/>
    </row>
    <row r="22" spans="1:23" s="114" customFormat="1" ht="12.4">
      <c r="A22" s="115" t="s">
        <v>168</v>
      </c>
      <c r="B22" s="114" t="s">
        <v>176</v>
      </c>
      <c r="J22" s="297">
        <v>3.4000000000000002E-2</v>
      </c>
      <c r="K22" s="297">
        <v>3.2000000000000001E-2</v>
      </c>
      <c r="L22" s="297">
        <v>3.1E-2</v>
      </c>
      <c r="N22" s="179"/>
    </row>
    <row r="23" spans="1:23" s="114" customFormat="1" ht="12.4">
      <c r="A23" s="115" t="s">
        <v>168</v>
      </c>
      <c r="B23" s="114" t="s">
        <v>177</v>
      </c>
      <c r="K23" s="48"/>
      <c r="L23" s="48"/>
      <c r="M23" s="48"/>
      <c r="N23" s="179"/>
    </row>
    <row r="24" spans="1:23" s="114" customFormat="1" ht="12.4">
      <c r="A24" s="115"/>
      <c r="N24" s="179"/>
    </row>
    <row r="25" spans="1:23" s="98" customFormat="1" ht="12.4">
      <c r="A25" s="99" t="s">
        <v>111</v>
      </c>
      <c r="B25" s="98" t="s">
        <v>283</v>
      </c>
      <c r="C25" s="97" t="s">
        <v>1</v>
      </c>
      <c r="D25" s="114"/>
      <c r="E25" s="114"/>
      <c r="F25" s="75">
        <v>0</v>
      </c>
      <c r="G25" s="75">
        <v>6.2</v>
      </c>
      <c r="H25" s="75">
        <v>-20.3</v>
      </c>
      <c r="I25" s="75">
        <v>-21.8</v>
      </c>
      <c r="J25" s="75">
        <v>-13.5</v>
      </c>
      <c r="K25" s="75">
        <v>-3.7</v>
      </c>
      <c r="L25" s="75">
        <v>-1.8</v>
      </c>
      <c r="M25" s="48"/>
      <c r="N25" s="371" t="s">
        <v>283</v>
      </c>
      <c r="R25" s="103"/>
      <c r="S25" s="103"/>
      <c r="T25" s="103"/>
      <c r="U25" s="103"/>
      <c r="V25" s="103"/>
      <c r="W25" s="103"/>
    </row>
    <row r="26" spans="1:23" s="98" customFormat="1" ht="12.4">
      <c r="A26" s="99"/>
      <c r="C26" s="97"/>
      <c r="D26" s="106"/>
      <c r="E26" s="106"/>
      <c r="F26" s="106"/>
      <c r="N26" s="371"/>
      <c r="R26" s="103"/>
      <c r="S26" s="103"/>
      <c r="T26" s="103"/>
      <c r="U26" s="103"/>
      <c r="V26" s="103"/>
      <c r="W26" s="103"/>
    </row>
    <row r="27" spans="1:23" s="98" customFormat="1" ht="12.4">
      <c r="A27" s="105"/>
      <c r="G27" s="390"/>
      <c r="H27" s="390"/>
      <c r="I27" s="390"/>
      <c r="J27" s="390"/>
      <c r="N27" s="357"/>
      <c r="R27" s="103"/>
      <c r="S27" s="103"/>
      <c r="T27" s="103"/>
      <c r="U27" s="103"/>
      <c r="V27" s="103"/>
      <c r="W27" s="103"/>
    </row>
    <row r="28" spans="1:23" s="98" customFormat="1" ht="12.4">
      <c r="A28" s="99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391"/>
      <c r="R28" s="103"/>
      <c r="S28" s="103"/>
      <c r="T28" s="103"/>
      <c r="U28" s="103"/>
      <c r="V28" s="103"/>
      <c r="W28" s="103"/>
    </row>
    <row r="29" spans="1:23" s="98" customFormat="1" ht="12.4">
      <c r="A29" s="99" t="s">
        <v>5</v>
      </c>
      <c r="C29" s="97"/>
      <c r="D29" s="106"/>
      <c r="E29" s="106"/>
      <c r="F29" s="106"/>
      <c r="N29" s="371"/>
      <c r="R29" s="103"/>
      <c r="S29" s="103"/>
      <c r="T29" s="103"/>
      <c r="U29" s="103"/>
      <c r="V29" s="103"/>
      <c r="W29" s="103"/>
    </row>
    <row r="30" spans="1:23" s="98" customFormat="1" ht="12.4">
      <c r="A30" s="99"/>
      <c r="C30" s="97"/>
      <c r="D30" s="106"/>
      <c r="E30" s="106"/>
      <c r="F30" s="106"/>
      <c r="N30" s="371"/>
      <c r="R30" s="103"/>
      <c r="S30" s="103"/>
      <c r="T30" s="103"/>
      <c r="U30" s="103"/>
      <c r="V30" s="103"/>
      <c r="W30" s="103"/>
    </row>
    <row r="31" spans="1:23" s="98" customFormat="1" ht="12.4">
      <c r="A31" s="99" t="s">
        <v>247</v>
      </c>
      <c r="C31" s="97"/>
      <c r="D31" s="106"/>
      <c r="F31" s="106"/>
      <c r="N31" s="371"/>
      <c r="R31" s="103"/>
      <c r="S31" s="103"/>
      <c r="T31" s="103"/>
      <c r="U31" s="103"/>
      <c r="V31" s="103"/>
      <c r="W31" s="103"/>
    </row>
    <row r="32" spans="1:23" s="98" customFormat="1" ht="12.4">
      <c r="A32" s="105" t="s">
        <v>289</v>
      </c>
      <c r="C32" s="97"/>
      <c r="D32" s="106"/>
      <c r="E32" s="75">
        <v>200.79</v>
      </c>
      <c r="F32" s="106"/>
      <c r="N32" s="371"/>
      <c r="R32" s="103"/>
      <c r="S32" s="103"/>
      <c r="T32" s="103"/>
      <c r="U32" s="103"/>
      <c r="V32" s="103"/>
      <c r="W32" s="103"/>
    </row>
    <row r="33" spans="1:23" s="98" customFormat="1" ht="12.4">
      <c r="A33" s="105" t="s">
        <v>25</v>
      </c>
      <c r="B33" s="98" t="s">
        <v>251</v>
      </c>
      <c r="C33" s="97" t="s">
        <v>1</v>
      </c>
      <c r="D33" s="106"/>
      <c r="E33" s="75">
        <v>240.17</v>
      </c>
      <c r="F33" s="337"/>
      <c r="G33" s="337"/>
      <c r="H33" s="337"/>
      <c r="I33" s="337"/>
      <c r="J33" s="48"/>
      <c r="K33" s="48"/>
      <c r="L33" s="48"/>
      <c r="M33" s="48"/>
      <c r="N33" s="371" t="s">
        <v>251</v>
      </c>
      <c r="R33" s="103"/>
      <c r="S33" s="103"/>
      <c r="T33" s="103"/>
      <c r="U33" s="103"/>
      <c r="V33" s="103"/>
      <c r="W33" s="103"/>
    </row>
    <row r="34" spans="1:23" s="98" customFormat="1" ht="12.4">
      <c r="A34" s="105" t="s">
        <v>252</v>
      </c>
      <c r="B34" s="98" t="s">
        <v>7</v>
      </c>
      <c r="C34" s="97" t="s">
        <v>1</v>
      </c>
      <c r="D34" s="106"/>
      <c r="E34" s="75">
        <v>229.47</v>
      </c>
      <c r="F34" s="106"/>
      <c r="N34" s="371"/>
      <c r="R34" s="103"/>
      <c r="S34" s="103"/>
      <c r="T34" s="103"/>
      <c r="U34" s="103"/>
      <c r="V34" s="103"/>
      <c r="W34" s="103"/>
    </row>
    <row r="35" spans="1:23" s="293" customFormat="1" ht="12.4">
      <c r="A35" s="237" t="s">
        <v>440</v>
      </c>
      <c r="B35" s="280" t="s">
        <v>441</v>
      </c>
      <c r="C35" s="288" t="s">
        <v>1</v>
      </c>
      <c r="D35" s="106"/>
      <c r="E35" s="75">
        <v>0.91</v>
      </c>
      <c r="F35" s="106"/>
      <c r="N35" s="371"/>
      <c r="R35" s="103"/>
      <c r="S35" s="103"/>
      <c r="T35" s="103"/>
      <c r="U35" s="103"/>
      <c r="V35" s="103"/>
      <c r="W35" s="103"/>
    </row>
    <row r="36" spans="1:23" s="293" customFormat="1" ht="12.4">
      <c r="A36" s="238" t="s">
        <v>444</v>
      </c>
      <c r="B36" s="280" t="s">
        <v>445</v>
      </c>
      <c r="C36" s="288" t="s">
        <v>1</v>
      </c>
      <c r="D36" s="106"/>
      <c r="E36" s="75">
        <v>6.78</v>
      </c>
      <c r="F36" s="106"/>
      <c r="N36" s="371"/>
      <c r="R36" s="103"/>
      <c r="S36" s="103"/>
      <c r="T36" s="103"/>
      <c r="U36" s="103"/>
      <c r="V36" s="103"/>
      <c r="W36" s="103"/>
    </row>
    <row r="37" spans="1:23" s="322" customFormat="1" ht="12.4">
      <c r="A37" s="326" t="s">
        <v>525</v>
      </c>
      <c r="B37" s="325"/>
      <c r="C37" s="327" t="s">
        <v>1</v>
      </c>
      <c r="D37" s="324"/>
      <c r="E37" s="75">
        <v>17.760000000000002</v>
      </c>
      <c r="F37" s="392"/>
      <c r="G37" s="392"/>
      <c r="H37" s="392"/>
      <c r="I37" s="392"/>
      <c r="J37" s="392"/>
      <c r="K37" s="392"/>
      <c r="L37" s="392"/>
      <c r="M37" s="392"/>
      <c r="N37" s="371"/>
      <c r="R37" s="323"/>
      <c r="S37" s="323"/>
      <c r="T37" s="323"/>
      <c r="U37" s="323"/>
      <c r="V37" s="323"/>
      <c r="W37" s="323"/>
    </row>
    <row r="38" spans="1:23" s="293" customFormat="1" ht="12.4">
      <c r="A38" s="140" t="s">
        <v>448</v>
      </c>
      <c r="B38" s="280" t="s">
        <v>449</v>
      </c>
      <c r="C38" s="288" t="s">
        <v>1</v>
      </c>
      <c r="D38" s="106"/>
      <c r="E38" s="75">
        <v>24.1</v>
      </c>
      <c r="F38" s="106"/>
      <c r="G38" s="324"/>
      <c r="H38" s="324"/>
      <c r="I38" s="324"/>
      <c r="J38" s="324"/>
      <c r="K38" s="324"/>
      <c r="L38" s="324"/>
      <c r="M38" s="324"/>
      <c r="N38" s="371"/>
      <c r="R38" s="103"/>
      <c r="S38" s="103"/>
      <c r="T38" s="103"/>
      <c r="U38" s="103"/>
      <c r="V38" s="103"/>
      <c r="W38" s="103"/>
    </row>
    <row r="39" spans="1:23" s="98" customFormat="1" ht="12.4">
      <c r="A39" s="99"/>
      <c r="C39" s="97"/>
      <c r="D39" s="106"/>
      <c r="F39" s="392"/>
      <c r="G39" s="392"/>
      <c r="H39" s="392"/>
      <c r="I39" s="392"/>
      <c r="J39" s="392"/>
      <c r="K39" s="392"/>
      <c r="L39" s="392"/>
      <c r="M39" s="392"/>
      <c r="N39" s="371"/>
      <c r="R39" s="103"/>
      <c r="S39" s="103"/>
      <c r="T39" s="103"/>
      <c r="U39" s="103"/>
      <c r="V39" s="103"/>
      <c r="W39" s="103"/>
    </row>
    <row r="40" spans="1:23" s="98" customFormat="1" ht="12.4">
      <c r="A40" s="99" t="s">
        <v>112</v>
      </c>
      <c r="C40" s="97"/>
      <c r="D40" s="106"/>
      <c r="E40" s="393"/>
      <c r="F40" s="393"/>
      <c r="G40" s="393"/>
      <c r="H40" s="393"/>
      <c r="I40" s="393"/>
      <c r="J40" s="393"/>
      <c r="K40" s="393"/>
      <c r="L40" s="393"/>
      <c r="M40" s="393"/>
      <c r="N40" s="371"/>
      <c r="R40" s="103"/>
      <c r="S40" s="103"/>
      <c r="T40" s="103"/>
      <c r="U40" s="103"/>
      <c r="V40" s="103"/>
      <c r="W40" s="103"/>
    </row>
    <row r="41" spans="1:23" s="98" customFormat="1" ht="12.4">
      <c r="A41" s="105" t="s">
        <v>243</v>
      </c>
      <c r="B41" s="98" t="s">
        <v>244</v>
      </c>
      <c r="C41" s="97" t="s">
        <v>1</v>
      </c>
      <c r="D41" s="97"/>
      <c r="E41" s="74">
        <v>4.7500000000000001E-2</v>
      </c>
      <c r="F41" s="74">
        <v>4.7600000000000003E-2</v>
      </c>
      <c r="G41" s="297">
        <v>4.65E-2</v>
      </c>
      <c r="H41" s="297">
        <v>4.5499999999999999E-2</v>
      </c>
      <c r="I41" s="297">
        <v>4.4600000000000001E-2</v>
      </c>
      <c r="J41" s="297">
        <v>4.3700000000000003E-2</v>
      </c>
      <c r="K41" s="297">
        <v>4.2000000000000003E-2</v>
      </c>
      <c r="L41" s="297">
        <v>4.02E-2</v>
      </c>
      <c r="M41" s="297">
        <v>4.02E-2</v>
      </c>
      <c r="N41" s="371" t="s">
        <v>244</v>
      </c>
      <c r="R41" s="103"/>
      <c r="S41" s="103"/>
      <c r="T41" s="103"/>
      <c r="U41" s="103"/>
      <c r="V41" s="103"/>
      <c r="W41" s="103"/>
    </row>
    <row r="42" spans="1:23" s="98" customFormat="1" ht="12.4">
      <c r="A42" s="270" t="s">
        <v>493</v>
      </c>
      <c r="B42" s="98" t="s">
        <v>120</v>
      </c>
      <c r="C42" s="271" t="s">
        <v>110</v>
      </c>
      <c r="D42" s="106"/>
      <c r="E42" s="129">
        <f>1+E41</f>
        <v>1.0475000000000001</v>
      </c>
      <c r="F42" s="129">
        <f t="shared" ref="F42:M42" si="2">1+F41</f>
        <v>1.0476000000000001</v>
      </c>
      <c r="G42" s="129">
        <f t="shared" si="2"/>
        <v>1.0465</v>
      </c>
      <c r="H42" s="129">
        <f t="shared" si="2"/>
        <v>1.0455000000000001</v>
      </c>
      <c r="I42" s="129">
        <f t="shared" si="2"/>
        <v>1.0446</v>
      </c>
      <c r="J42" s="129">
        <f t="shared" si="2"/>
        <v>1.0437000000000001</v>
      </c>
      <c r="K42" s="129">
        <f t="shared" si="2"/>
        <v>1.042</v>
      </c>
      <c r="L42" s="129">
        <f t="shared" si="2"/>
        <v>1.0402</v>
      </c>
      <c r="M42" s="129">
        <f t="shared" si="2"/>
        <v>1.0402</v>
      </c>
      <c r="N42" s="371" t="s">
        <v>120</v>
      </c>
      <c r="R42" s="103"/>
      <c r="S42" s="103"/>
      <c r="T42" s="103"/>
      <c r="U42" s="103"/>
      <c r="V42" s="103"/>
      <c r="W42" s="103"/>
    </row>
    <row r="43" spans="1:23" s="98" customFormat="1" ht="12.4">
      <c r="A43" s="99"/>
      <c r="C43" s="97"/>
      <c r="D43" s="106"/>
      <c r="E43" s="106"/>
      <c r="F43" s="106"/>
      <c r="N43" s="371"/>
      <c r="R43" s="103"/>
      <c r="S43" s="103"/>
      <c r="T43" s="103"/>
      <c r="U43" s="103"/>
      <c r="V43" s="103"/>
      <c r="W43" s="103"/>
    </row>
    <row r="44" spans="1:23" s="98" customFormat="1" ht="12.4">
      <c r="A44" s="105"/>
      <c r="C44" s="9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71"/>
      <c r="R44" s="103"/>
      <c r="S44" s="103"/>
      <c r="T44" s="103"/>
      <c r="U44" s="103"/>
      <c r="V44" s="103"/>
      <c r="W44" s="103"/>
    </row>
    <row r="45" spans="1:23" s="98" customFormat="1" ht="12.4">
      <c r="A45" s="99" t="s">
        <v>182</v>
      </c>
      <c r="B45" s="98" t="s">
        <v>23</v>
      </c>
      <c r="C45" s="272" t="s">
        <v>98</v>
      </c>
      <c r="D45" s="106"/>
      <c r="E45" s="72">
        <v>0.5</v>
      </c>
      <c r="F45" s="72">
        <v>0.5</v>
      </c>
      <c r="G45" s="72">
        <v>0.5</v>
      </c>
      <c r="H45" s="72">
        <v>0.5</v>
      </c>
      <c r="I45" s="72">
        <v>0.34</v>
      </c>
      <c r="J45" s="72">
        <v>0.35</v>
      </c>
      <c r="K45" s="72">
        <v>0.67</v>
      </c>
      <c r="L45" s="72"/>
      <c r="M45" s="72"/>
      <c r="N45" s="371" t="s">
        <v>23</v>
      </c>
      <c r="R45" s="103"/>
      <c r="S45" s="103"/>
      <c r="T45" s="103"/>
      <c r="U45" s="103"/>
      <c r="V45" s="103"/>
      <c r="W45" s="103"/>
    </row>
    <row r="46" spans="1:23" s="98" customFormat="1" ht="12.4">
      <c r="A46" s="99"/>
      <c r="C46" s="97"/>
      <c r="D46" s="106"/>
      <c r="E46" s="106"/>
      <c r="F46" s="106"/>
      <c r="N46" s="371"/>
      <c r="R46" s="103"/>
      <c r="S46" s="103"/>
      <c r="T46" s="103"/>
      <c r="U46" s="103"/>
      <c r="V46" s="103"/>
      <c r="W46" s="103"/>
    </row>
    <row r="47" spans="1:23" s="98" customFormat="1" ht="12.4">
      <c r="A47" s="99"/>
      <c r="C47" s="97"/>
      <c r="D47" s="106"/>
      <c r="E47" s="106"/>
      <c r="F47" s="106"/>
      <c r="N47" s="371"/>
      <c r="R47" s="103"/>
      <c r="S47" s="103"/>
      <c r="T47" s="103"/>
      <c r="U47" s="103"/>
      <c r="V47" s="103"/>
      <c r="W47" s="103"/>
    </row>
    <row r="48" spans="1:23" s="98" customFormat="1" ht="14.65">
      <c r="A48" s="95" t="s">
        <v>101</v>
      </c>
      <c r="C48" s="97"/>
      <c r="D48" s="97"/>
      <c r="E48" s="97"/>
      <c r="N48" s="371"/>
      <c r="R48" s="103"/>
      <c r="S48" s="103"/>
      <c r="T48" s="103"/>
      <c r="U48" s="103"/>
      <c r="V48" s="103"/>
      <c r="W48" s="103"/>
    </row>
    <row r="49" spans="1:23" s="98" customFormat="1" ht="12.4">
      <c r="A49" s="105" t="s">
        <v>509</v>
      </c>
      <c r="B49" s="98" t="s">
        <v>115</v>
      </c>
      <c r="C49" s="97" t="s">
        <v>1</v>
      </c>
      <c r="E49" s="272"/>
      <c r="F49" s="337"/>
      <c r="G49" s="337"/>
      <c r="H49" s="337"/>
      <c r="I49" s="337"/>
      <c r="J49" s="48"/>
      <c r="K49" s="48"/>
      <c r="L49" s="48"/>
      <c r="M49" s="48"/>
      <c r="N49" s="371" t="s">
        <v>115</v>
      </c>
      <c r="R49" s="103"/>
      <c r="S49" s="103"/>
      <c r="T49" s="103"/>
      <c r="U49" s="103"/>
      <c r="V49" s="103"/>
      <c r="W49" s="103"/>
    </row>
    <row r="50" spans="1:23" s="98" customFormat="1" ht="12.4">
      <c r="A50" s="105"/>
      <c r="E50" s="272"/>
      <c r="N50" s="371"/>
      <c r="R50" s="103"/>
      <c r="S50" s="103"/>
      <c r="T50" s="103"/>
      <c r="U50" s="103"/>
      <c r="V50" s="103"/>
      <c r="W50" s="103"/>
    </row>
    <row r="51" spans="1:23" s="98" customFormat="1" ht="12.4">
      <c r="A51" s="105" t="s">
        <v>520</v>
      </c>
      <c r="B51" s="98" t="s">
        <v>124</v>
      </c>
      <c r="C51" s="97" t="s">
        <v>1</v>
      </c>
      <c r="E51" s="321"/>
      <c r="F51" s="48"/>
      <c r="G51" s="48"/>
      <c r="H51" s="48"/>
      <c r="I51" s="48"/>
      <c r="J51" s="48"/>
      <c r="K51" s="48"/>
      <c r="L51" s="48"/>
      <c r="M51" s="48"/>
      <c r="N51" s="371" t="s">
        <v>124</v>
      </c>
      <c r="R51" s="103"/>
      <c r="S51" s="103"/>
      <c r="T51" s="103"/>
      <c r="U51" s="103"/>
      <c r="V51" s="103"/>
      <c r="W51" s="103"/>
    </row>
    <row r="52" spans="1:23" s="98" customFormat="1" ht="12.4">
      <c r="A52" s="105"/>
      <c r="E52" s="272"/>
      <c r="N52" s="357"/>
      <c r="R52" s="103"/>
      <c r="S52" s="103"/>
      <c r="T52" s="103"/>
      <c r="U52" s="103"/>
      <c r="V52" s="103"/>
      <c r="W52" s="103"/>
    </row>
    <row r="53" spans="1:23" s="98" customFormat="1" ht="14.65">
      <c r="A53" s="95" t="s">
        <v>126</v>
      </c>
      <c r="C53" s="97"/>
      <c r="D53" s="97"/>
      <c r="E53" s="272"/>
      <c r="F53" s="106"/>
      <c r="N53" s="371"/>
      <c r="R53" s="103"/>
      <c r="S53" s="103"/>
      <c r="T53" s="103"/>
      <c r="U53" s="103"/>
      <c r="V53" s="103"/>
      <c r="W53" s="103"/>
    </row>
    <row r="54" spans="1:23" s="98" customFormat="1" ht="12.4">
      <c r="A54" s="99"/>
      <c r="C54" s="97"/>
      <c r="D54" s="97"/>
      <c r="E54" s="272"/>
      <c r="F54" s="106"/>
      <c r="N54" s="371"/>
      <c r="R54" s="103"/>
      <c r="S54" s="103"/>
      <c r="T54" s="103"/>
      <c r="U54" s="103"/>
      <c r="V54" s="103"/>
      <c r="W54" s="103"/>
    </row>
    <row r="55" spans="1:23" s="98" customFormat="1" ht="12.4">
      <c r="A55" s="99" t="s">
        <v>183</v>
      </c>
      <c r="C55" s="97"/>
      <c r="D55" s="97"/>
      <c r="E55" s="272"/>
      <c r="F55" s="106"/>
      <c r="N55" s="382" t="s">
        <v>184</v>
      </c>
      <c r="R55" s="103"/>
      <c r="S55" s="103"/>
      <c r="T55" s="103"/>
      <c r="U55" s="103"/>
      <c r="V55" s="103"/>
      <c r="W55" s="103"/>
    </row>
    <row r="56" spans="1:23" s="98" customFormat="1" ht="12.4">
      <c r="A56" s="99"/>
      <c r="C56" s="97"/>
      <c r="D56" s="97"/>
      <c r="E56" s="272"/>
      <c r="F56" s="106"/>
      <c r="N56" s="382"/>
      <c r="R56" s="103"/>
      <c r="S56" s="103"/>
      <c r="T56" s="103"/>
      <c r="U56" s="103"/>
      <c r="V56" s="103"/>
      <c r="W56" s="103"/>
    </row>
    <row r="57" spans="1:23" s="98" customFormat="1" ht="13.5">
      <c r="A57" s="119" t="s">
        <v>422</v>
      </c>
      <c r="B57" s="119" t="s">
        <v>410</v>
      </c>
      <c r="C57" s="266" t="s">
        <v>491</v>
      </c>
      <c r="D57" s="120"/>
      <c r="E57" s="272"/>
      <c r="F57" s="48"/>
      <c r="N57" s="382"/>
      <c r="R57" s="103"/>
      <c r="S57" s="103"/>
      <c r="T57" s="103"/>
      <c r="U57" s="103"/>
      <c r="V57" s="103"/>
      <c r="W57" s="103"/>
    </row>
    <row r="58" spans="1:23" s="98" customFormat="1" ht="12.4">
      <c r="A58" s="99"/>
      <c r="C58" s="97"/>
      <c r="D58" s="97"/>
      <c r="E58" s="272"/>
      <c r="F58" s="106"/>
      <c r="N58" s="382"/>
      <c r="R58" s="103"/>
      <c r="S58" s="103"/>
      <c r="T58" s="103"/>
      <c r="U58" s="103"/>
      <c r="V58" s="103"/>
      <c r="W58" s="103"/>
    </row>
    <row r="59" spans="1:23" ht="12.4">
      <c r="E59" s="272"/>
      <c r="F59" s="121"/>
      <c r="G59" s="121"/>
      <c r="H59" s="121"/>
      <c r="I59" s="121"/>
      <c r="J59" s="121"/>
      <c r="K59" s="121"/>
      <c r="L59" s="121"/>
      <c r="M59" s="121"/>
      <c r="N59" s="357"/>
    </row>
    <row r="60" spans="1:23" ht="13.5">
      <c r="A60" s="356" t="s">
        <v>494</v>
      </c>
      <c r="E60" s="272"/>
      <c r="F60" s="121"/>
      <c r="G60" s="121"/>
      <c r="H60" s="108"/>
      <c r="I60" s="108"/>
      <c r="J60" s="108"/>
      <c r="K60" s="108"/>
      <c r="L60" s="108"/>
      <c r="M60" s="108"/>
      <c r="N60" s="357"/>
    </row>
    <row r="61" spans="1:23" ht="12.4">
      <c r="A61" s="179" t="s">
        <v>58</v>
      </c>
      <c r="B61" s="114" t="s">
        <v>191</v>
      </c>
      <c r="C61" s="267" t="s">
        <v>492</v>
      </c>
      <c r="E61" s="272"/>
      <c r="F61" s="337"/>
      <c r="G61" s="337"/>
      <c r="H61" s="337"/>
      <c r="I61" s="337"/>
      <c r="J61" s="48"/>
      <c r="K61" s="48"/>
      <c r="L61" s="48"/>
      <c r="M61" s="48"/>
      <c r="N61" s="382" t="s">
        <v>191</v>
      </c>
    </row>
    <row r="62" spans="1:23" ht="12.75" customHeight="1">
      <c r="A62" s="357"/>
      <c r="E62" s="272"/>
      <c r="N62" s="357"/>
    </row>
    <row r="63" spans="1:23" ht="12.4">
      <c r="A63" s="358" t="s">
        <v>495</v>
      </c>
      <c r="B63" s="114"/>
      <c r="E63" s="272"/>
      <c r="N63" s="357"/>
    </row>
    <row r="64" spans="1:23" ht="12.4">
      <c r="A64" s="179" t="s">
        <v>504</v>
      </c>
      <c r="B64" s="114" t="s">
        <v>314</v>
      </c>
      <c r="C64" s="121" t="s">
        <v>465</v>
      </c>
      <c r="E64" s="272"/>
      <c r="F64" s="337"/>
      <c r="G64" s="337"/>
      <c r="H64" s="338"/>
      <c r="I64" s="337"/>
      <c r="J64" s="48"/>
      <c r="K64" s="48"/>
      <c r="L64" s="48"/>
      <c r="M64" s="48"/>
      <c r="N64" s="382" t="s">
        <v>314</v>
      </c>
    </row>
    <row r="65" spans="1:17" ht="12.4">
      <c r="A65" s="179" t="s">
        <v>505</v>
      </c>
      <c r="B65" s="114" t="s">
        <v>315</v>
      </c>
      <c r="C65" s="121" t="s">
        <v>1</v>
      </c>
      <c r="D65" s="64"/>
      <c r="E65" s="272"/>
      <c r="F65" s="337"/>
      <c r="G65" s="337"/>
      <c r="H65" s="337"/>
      <c r="I65" s="48"/>
      <c r="J65" s="48"/>
      <c r="K65" s="48"/>
      <c r="L65" s="48"/>
      <c r="M65" s="48"/>
      <c r="N65" s="382" t="s">
        <v>315</v>
      </c>
    </row>
    <row r="66" spans="1:17" ht="12.4">
      <c r="A66" s="357" t="s">
        <v>571</v>
      </c>
      <c r="B66" s="98" t="s">
        <v>566</v>
      </c>
      <c r="C66" s="281" t="s">
        <v>466</v>
      </c>
      <c r="E66" s="272"/>
      <c r="F66" s="337"/>
      <c r="G66" s="337"/>
      <c r="H66" s="337"/>
      <c r="I66" s="337"/>
      <c r="J66" s="321"/>
      <c r="K66" s="321"/>
      <c r="L66" s="321"/>
      <c r="M66" s="321"/>
      <c r="N66" s="382" t="s">
        <v>566</v>
      </c>
    </row>
    <row r="67" spans="1:17" ht="12.4">
      <c r="A67" s="179" t="s">
        <v>573</v>
      </c>
      <c r="B67" s="114" t="s">
        <v>304</v>
      </c>
      <c r="C67" s="121" t="s">
        <v>110</v>
      </c>
      <c r="D67" s="57"/>
      <c r="E67" s="272"/>
      <c r="F67" s="48"/>
      <c r="G67" s="321"/>
      <c r="H67" s="338"/>
      <c r="I67" s="338"/>
      <c r="J67" s="48"/>
      <c r="K67" s="48"/>
      <c r="L67" s="48"/>
      <c r="M67" s="48"/>
      <c r="N67" s="178" t="s">
        <v>304</v>
      </c>
    </row>
    <row r="68" spans="1:17" s="323" customFormat="1" ht="12.4">
      <c r="A68" s="357"/>
      <c r="B68" s="341"/>
      <c r="C68" s="281"/>
      <c r="D68" s="281"/>
      <c r="E68" s="272"/>
      <c r="N68" s="357"/>
      <c r="O68" s="341"/>
      <c r="P68" s="341"/>
      <c r="Q68" s="341"/>
    </row>
    <row r="69" spans="1:17" s="323" customFormat="1" ht="12.4">
      <c r="A69" s="357"/>
      <c r="B69" s="341"/>
      <c r="C69" s="281"/>
      <c r="D69" s="281"/>
      <c r="E69" s="272"/>
      <c r="N69" s="357"/>
      <c r="O69" s="341"/>
      <c r="P69" s="341"/>
      <c r="Q69" s="341"/>
    </row>
    <row r="70" spans="1:17" ht="12.4">
      <c r="A70" s="122" t="s">
        <v>204</v>
      </c>
      <c r="B70" s="98" t="s">
        <v>203</v>
      </c>
      <c r="C70" s="269" t="s">
        <v>98</v>
      </c>
      <c r="D70" s="308">
        <v>0.26</v>
      </c>
      <c r="E70" s="308">
        <v>0.24</v>
      </c>
      <c r="F70" s="308">
        <v>0.23</v>
      </c>
      <c r="G70" s="308">
        <v>0.21</v>
      </c>
      <c r="H70" s="308">
        <v>0.2</v>
      </c>
      <c r="I70" s="308">
        <v>0.2</v>
      </c>
      <c r="J70" s="308">
        <v>0.19</v>
      </c>
      <c r="K70" s="308">
        <v>0.19</v>
      </c>
      <c r="L70" s="308">
        <v>0.19</v>
      </c>
      <c r="M70" s="308">
        <v>0.17</v>
      </c>
      <c r="N70" s="382" t="s">
        <v>203</v>
      </c>
    </row>
    <row r="71" spans="1:17" ht="12.4">
      <c r="A71" s="122"/>
      <c r="D71" s="57"/>
      <c r="E71" s="272"/>
      <c r="F71" s="57"/>
      <c r="G71" s="57"/>
      <c r="H71" s="57"/>
      <c r="I71" s="57"/>
      <c r="J71" s="57"/>
      <c r="K71" s="57"/>
      <c r="L71" s="57"/>
      <c r="M71" s="57"/>
      <c r="N71" s="382"/>
    </row>
    <row r="72" spans="1:17" ht="12.4">
      <c r="A72" s="122"/>
      <c r="D72" s="57"/>
      <c r="E72" s="272"/>
      <c r="F72" s="57"/>
      <c r="G72" s="57"/>
      <c r="H72" s="57"/>
      <c r="I72" s="57"/>
      <c r="J72" s="57"/>
      <c r="K72" s="57"/>
      <c r="L72" s="57"/>
      <c r="M72" s="57"/>
      <c r="N72" s="382"/>
    </row>
    <row r="73" spans="1:17" ht="12.4">
      <c r="A73" s="122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382"/>
    </row>
    <row r="74" spans="1:17" ht="13.5">
      <c r="A74" s="273" t="s">
        <v>496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382"/>
    </row>
    <row r="75" spans="1:17" ht="12.4">
      <c r="A75" s="122" t="s">
        <v>401</v>
      </c>
      <c r="B75" s="98" t="s">
        <v>42</v>
      </c>
      <c r="C75" s="121" t="s">
        <v>467</v>
      </c>
      <c r="D75" s="57"/>
      <c r="E75" s="302"/>
      <c r="F75" s="57"/>
      <c r="G75" s="57"/>
      <c r="H75" s="57"/>
      <c r="I75" s="57"/>
      <c r="J75" s="57"/>
      <c r="K75" s="57"/>
      <c r="L75" s="57"/>
      <c r="M75" s="57"/>
      <c r="N75" s="382"/>
    </row>
    <row r="76" spans="1:17" ht="12.4">
      <c r="A76" s="122" t="s">
        <v>208</v>
      </c>
      <c r="B76" s="98" t="s">
        <v>209</v>
      </c>
      <c r="C76" s="121" t="s">
        <v>467</v>
      </c>
      <c r="D76" s="57"/>
      <c r="E76" s="57"/>
      <c r="F76" s="302"/>
      <c r="G76" s="338"/>
      <c r="H76" s="338"/>
      <c r="I76" s="337"/>
      <c r="J76" s="48"/>
      <c r="K76" s="48"/>
      <c r="L76" s="48"/>
      <c r="M76" s="48"/>
      <c r="N76" s="382" t="s">
        <v>209</v>
      </c>
    </row>
    <row r="77" spans="1:17" s="323" customFormat="1" ht="12.4">
      <c r="A77" s="332" t="s">
        <v>526</v>
      </c>
      <c r="B77" s="330" t="s">
        <v>527</v>
      </c>
      <c r="C77" s="281" t="s">
        <v>467</v>
      </c>
      <c r="D77" s="330"/>
      <c r="E77" s="330"/>
      <c r="F77" s="57"/>
      <c r="G77" s="338"/>
      <c r="H77" s="338"/>
      <c r="I77" s="337"/>
      <c r="J77" s="321"/>
      <c r="K77" s="321"/>
      <c r="L77" s="321"/>
      <c r="M77" s="321"/>
      <c r="N77" s="382" t="s">
        <v>527</v>
      </c>
      <c r="O77" s="330"/>
      <c r="P77" s="330"/>
      <c r="Q77" s="330"/>
    </row>
    <row r="78" spans="1:17" ht="12.4">
      <c r="A78" s="122" t="s">
        <v>211</v>
      </c>
      <c r="B78" s="98" t="s">
        <v>210</v>
      </c>
      <c r="C78" s="121" t="s">
        <v>467</v>
      </c>
      <c r="D78" s="57"/>
      <c r="E78" s="57"/>
      <c r="F78" s="302"/>
      <c r="G78" s="338"/>
      <c r="H78" s="338"/>
      <c r="I78" s="337"/>
      <c r="J78" s="48"/>
      <c r="K78" s="48"/>
      <c r="L78" s="48"/>
      <c r="M78" s="48"/>
      <c r="N78" s="382" t="s">
        <v>210</v>
      </c>
    </row>
    <row r="79" spans="1:17" s="323" customFormat="1" ht="12.4">
      <c r="A79" s="332" t="s">
        <v>528</v>
      </c>
      <c r="B79" s="330" t="s">
        <v>529</v>
      </c>
      <c r="C79" s="281" t="s">
        <v>467</v>
      </c>
      <c r="D79" s="330"/>
      <c r="E79" s="330"/>
      <c r="F79" s="57"/>
      <c r="G79" s="338"/>
      <c r="H79" s="338"/>
      <c r="I79" s="337"/>
      <c r="J79" s="321"/>
      <c r="K79" s="321"/>
      <c r="L79" s="321"/>
      <c r="M79" s="321"/>
      <c r="N79" s="382" t="s">
        <v>529</v>
      </c>
      <c r="O79" s="330"/>
      <c r="P79" s="330"/>
      <c r="Q79" s="330"/>
    </row>
    <row r="80" spans="1:17" ht="12.4">
      <c r="A80" s="122" t="s">
        <v>506</v>
      </c>
      <c r="B80" s="98" t="s">
        <v>212</v>
      </c>
      <c r="C80" s="121" t="s">
        <v>467</v>
      </c>
      <c r="D80" s="57"/>
      <c r="E80" s="57"/>
      <c r="F80" s="302"/>
      <c r="G80" s="338"/>
      <c r="H80" s="338"/>
      <c r="I80" s="337"/>
      <c r="J80" s="48"/>
      <c r="K80" s="48"/>
      <c r="L80" s="48"/>
      <c r="M80" s="48"/>
      <c r="N80" s="382" t="s">
        <v>212</v>
      </c>
    </row>
    <row r="81" spans="1:23" ht="12.4">
      <c r="A81" s="122" t="s">
        <v>214</v>
      </c>
      <c r="B81" s="98" t="s">
        <v>213</v>
      </c>
      <c r="C81" s="121" t="s">
        <v>468</v>
      </c>
      <c r="D81" s="57"/>
      <c r="E81" s="57"/>
      <c r="F81" s="72">
        <v>50</v>
      </c>
      <c r="G81" s="72">
        <v>51</v>
      </c>
      <c r="H81" s="72">
        <v>52</v>
      </c>
      <c r="I81" s="72">
        <v>53</v>
      </c>
      <c r="J81" s="72">
        <v>54</v>
      </c>
      <c r="K81" s="72">
        <v>55</v>
      </c>
      <c r="L81" s="72">
        <v>56</v>
      </c>
      <c r="M81" s="72">
        <v>57</v>
      </c>
      <c r="N81" s="382" t="s">
        <v>213</v>
      </c>
    </row>
    <row r="82" spans="1:23" s="323" customFormat="1" ht="12.4">
      <c r="A82" s="122"/>
      <c r="B82" s="330"/>
      <c r="C82" s="281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382"/>
      <c r="O82" s="330"/>
      <c r="P82" s="330"/>
      <c r="Q82" s="330"/>
    </row>
    <row r="83" spans="1:23" s="98" customFormat="1" ht="12.4">
      <c r="A83" s="105" t="s">
        <v>507</v>
      </c>
      <c r="B83" s="98" t="s">
        <v>217</v>
      </c>
      <c r="C83" s="97" t="s">
        <v>1</v>
      </c>
      <c r="D83" s="97"/>
      <c r="E83" s="97"/>
      <c r="F83" s="302"/>
      <c r="G83" s="302"/>
      <c r="H83" s="337"/>
      <c r="I83" s="48"/>
      <c r="J83" s="48"/>
      <c r="K83" s="48"/>
      <c r="L83" s="48"/>
      <c r="M83" s="48"/>
      <c r="N83" s="371" t="s">
        <v>217</v>
      </c>
      <c r="R83" s="103"/>
      <c r="S83" s="103"/>
      <c r="T83" s="103"/>
      <c r="U83" s="103"/>
      <c r="V83" s="103"/>
      <c r="W83" s="103"/>
    </row>
    <row r="84" spans="1:23" ht="12.4">
      <c r="A84" s="122"/>
      <c r="C84" s="97"/>
      <c r="D84" s="57"/>
      <c r="E84" s="57"/>
      <c r="F84" s="98"/>
      <c r="G84" s="98"/>
      <c r="H84" s="98"/>
      <c r="I84" s="98"/>
      <c r="J84" s="98"/>
      <c r="K84" s="98"/>
      <c r="L84" s="98"/>
      <c r="M84" s="98"/>
      <c r="N84" s="382"/>
    </row>
    <row r="85" spans="1:23" ht="12.4">
      <c r="A85" s="122"/>
      <c r="C85" s="97"/>
      <c r="D85" s="57"/>
      <c r="E85" s="57"/>
      <c r="F85" s="98"/>
      <c r="G85" s="98"/>
      <c r="H85" s="98"/>
      <c r="I85" s="98"/>
      <c r="J85" s="98"/>
      <c r="K85" s="98"/>
      <c r="L85" s="98"/>
      <c r="M85" s="98"/>
      <c r="N85" s="382"/>
    </row>
    <row r="86" spans="1:23" ht="12.4">
      <c r="A86" s="274" t="s">
        <v>497</v>
      </c>
      <c r="C86" s="97"/>
      <c r="D86" s="57"/>
      <c r="E86" s="57"/>
      <c r="F86" s="98"/>
      <c r="G86" s="98"/>
      <c r="H86" s="98"/>
      <c r="I86" s="98"/>
      <c r="J86" s="98"/>
      <c r="K86" s="98"/>
      <c r="L86" s="98"/>
      <c r="M86" s="98"/>
      <c r="N86" s="382"/>
    </row>
    <row r="87" spans="1:23" ht="12.4">
      <c r="A87" s="115" t="s">
        <v>293</v>
      </c>
      <c r="B87" s="98" t="s">
        <v>298</v>
      </c>
      <c r="C87" s="268" t="s">
        <v>1</v>
      </c>
      <c r="D87" s="57"/>
      <c r="E87" s="57"/>
      <c r="F87" s="303"/>
      <c r="G87" s="303"/>
      <c r="H87" s="338"/>
      <c r="I87" s="48"/>
      <c r="J87" s="48"/>
      <c r="K87" s="48"/>
      <c r="L87" s="48"/>
      <c r="M87" s="48"/>
      <c r="N87" s="382" t="s">
        <v>298</v>
      </c>
    </row>
    <row r="88" spans="1:23" ht="12.4">
      <c r="A88" s="115" t="s">
        <v>508</v>
      </c>
      <c r="B88" s="98" t="s">
        <v>299</v>
      </c>
      <c r="C88" s="268" t="s">
        <v>1</v>
      </c>
      <c r="D88" s="57"/>
      <c r="E88" s="57"/>
      <c r="F88" s="303"/>
      <c r="G88" s="303"/>
      <c r="H88" s="303"/>
      <c r="I88" s="367"/>
      <c r="J88" s="48"/>
      <c r="K88" s="48"/>
      <c r="L88" s="48"/>
      <c r="M88" s="48"/>
      <c r="N88" s="382" t="s">
        <v>299</v>
      </c>
    </row>
    <row r="89" spans="1:23" ht="12.4">
      <c r="C89" s="97"/>
      <c r="D89" s="57"/>
      <c r="E89" s="57"/>
      <c r="F89" s="98"/>
      <c r="G89" s="98"/>
      <c r="H89" s="98"/>
      <c r="I89" s="98"/>
      <c r="J89" s="98"/>
      <c r="K89" s="98"/>
      <c r="L89" s="98"/>
      <c r="M89" s="98"/>
      <c r="N89" s="382"/>
    </row>
    <row r="90" spans="1:23" ht="12.4">
      <c r="C90" s="97"/>
      <c r="D90" s="57"/>
      <c r="E90" s="57"/>
      <c r="F90" s="98"/>
      <c r="G90" s="98"/>
      <c r="H90" s="98"/>
      <c r="I90" s="98"/>
      <c r="J90" s="98"/>
      <c r="K90" s="98"/>
      <c r="L90" s="98"/>
      <c r="M90" s="98"/>
      <c r="N90" s="382"/>
    </row>
    <row r="91" spans="1:23" ht="14.65">
      <c r="A91" s="275" t="s">
        <v>498</v>
      </c>
      <c r="C91" s="97"/>
      <c r="D91" s="57"/>
      <c r="E91" s="57"/>
      <c r="F91" s="98"/>
      <c r="G91" s="98"/>
      <c r="H91" s="98"/>
      <c r="I91" s="98"/>
      <c r="J91" s="98"/>
      <c r="K91" s="98"/>
      <c r="L91" s="98"/>
      <c r="M91" s="98"/>
      <c r="N91" s="382"/>
    </row>
    <row r="92" spans="1:23" ht="12.4">
      <c r="A92" s="115" t="s">
        <v>51</v>
      </c>
      <c r="B92" s="114" t="s">
        <v>222</v>
      </c>
      <c r="C92" s="97" t="s">
        <v>1</v>
      </c>
      <c r="D92" s="57"/>
      <c r="E92" s="57"/>
      <c r="F92" s="48"/>
      <c r="G92" s="338"/>
      <c r="H92" s="338"/>
      <c r="I92" s="337"/>
      <c r="J92" s="48"/>
      <c r="K92" s="48"/>
      <c r="L92" s="48"/>
      <c r="M92" s="48"/>
      <c r="N92" s="382" t="s">
        <v>222</v>
      </c>
    </row>
    <row r="93" spans="1:23" ht="12.4">
      <c r="A93" s="115" t="s">
        <v>221</v>
      </c>
      <c r="B93" s="114" t="s">
        <v>48</v>
      </c>
      <c r="C93" s="97" t="s">
        <v>1</v>
      </c>
      <c r="D93" s="57"/>
      <c r="E93" s="57"/>
      <c r="F93" s="48"/>
      <c r="G93" s="302"/>
      <c r="H93" s="338"/>
      <c r="I93" s="337"/>
      <c r="J93" s="48"/>
      <c r="K93" s="48"/>
      <c r="L93" s="48"/>
      <c r="M93" s="48"/>
      <c r="N93" s="382" t="s">
        <v>48</v>
      </c>
    </row>
    <row r="94" spans="1:23" ht="24.75">
      <c r="A94" s="115" t="s">
        <v>45</v>
      </c>
      <c r="B94" s="114" t="s">
        <v>225</v>
      </c>
      <c r="C94" s="250" t="s">
        <v>469</v>
      </c>
      <c r="D94" s="57"/>
      <c r="E94" s="57"/>
      <c r="F94" s="48"/>
      <c r="G94" s="48"/>
      <c r="H94" s="337"/>
      <c r="I94" s="48"/>
      <c r="J94" s="48"/>
      <c r="K94" s="48"/>
      <c r="L94" s="48"/>
      <c r="M94" s="48"/>
      <c r="N94" s="382" t="s">
        <v>225</v>
      </c>
    </row>
    <row r="95" spans="1:23" ht="12.4">
      <c r="A95" s="115" t="s">
        <v>28</v>
      </c>
      <c r="B95" s="114" t="s">
        <v>224</v>
      </c>
      <c r="C95" s="97" t="s">
        <v>1</v>
      </c>
      <c r="D95" s="57"/>
      <c r="E95" s="57"/>
      <c r="F95" s="48"/>
      <c r="G95" s="302"/>
      <c r="H95" s="337"/>
      <c r="I95" s="337"/>
      <c r="J95" s="48"/>
      <c r="K95" s="48"/>
      <c r="L95" s="48"/>
      <c r="M95" s="48"/>
      <c r="N95" s="382" t="s">
        <v>224</v>
      </c>
    </row>
    <row r="96" spans="1:23" s="126" customFormat="1" ht="12.4">
      <c r="A96" s="187" t="s">
        <v>580</v>
      </c>
      <c r="B96" s="287" t="s">
        <v>288</v>
      </c>
      <c r="C96" s="272" t="s">
        <v>1</v>
      </c>
      <c r="D96" s="125"/>
      <c r="E96" s="57"/>
      <c r="F96" s="48"/>
      <c r="G96" s="337"/>
      <c r="H96" s="338"/>
      <c r="I96" s="338"/>
      <c r="J96" s="66"/>
      <c r="K96" s="66"/>
      <c r="L96" s="66"/>
      <c r="M96" s="66"/>
      <c r="N96" s="382" t="s">
        <v>288</v>
      </c>
      <c r="O96" s="125"/>
      <c r="P96" s="125"/>
      <c r="Q96" s="125"/>
    </row>
    <row r="97" spans="1:14" ht="12.4">
      <c r="A97" s="115"/>
      <c r="B97" s="114"/>
      <c r="C97" s="97"/>
      <c r="D97" s="57"/>
      <c r="E97" s="57"/>
      <c r="F97" s="98"/>
      <c r="G97" s="98"/>
      <c r="H97" s="98"/>
      <c r="I97" s="98"/>
      <c r="J97" s="98"/>
      <c r="K97" s="98"/>
      <c r="L97" s="98"/>
      <c r="M97" s="98"/>
      <c r="N97" s="382"/>
    </row>
    <row r="98" spans="1:14" ht="13.5">
      <c r="A98" s="309" t="s">
        <v>521</v>
      </c>
      <c r="C98" s="97"/>
      <c r="D98" s="57"/>
      <c r="E98" s="57"/>
      <c r="F98" s="106"/>
      <c r="G98" s="98"/>
      <c r="H98" s="98"/>
      <c r="I98" s="98"/>
      <c r="J98" s="98"/>
      <c r="K98" s="98"/>
      <c r="L98" s="98"/>
      <c r="M98" s="98"/>
      <c r="N98" s="371"/>
    </row>
    <row r="99" spans="1:14" ht="12.4">
      <c r="A99" s="127" t="s">
        <v>344</v>
      </c>
      <c r="C99" s="97"/>
      <c r="D99" s="57"/>
      <c r="E99" s="57"/>
      <c r="F99" s="98"/>
      <c r="G99" s="98"/>
      <c r="H99" s="98"/>
      <c r="I99" s="98"/>
      <c r="J99" s="98"/>
      <c r="K99" s="98"/>
      <c r="L99" s="98"/>
      <c r="M99" s="98"/>
      <c r="N99" s="371"/>
    </row>
    <row r="100" spans="1:14" ht="12.4">
      <c r="A100" s="128" t="s">
        <v>151</v>
      </c>
      <c r="C100" s="98"/>
      <c r="D100" s="57"/>
      <c r="E100" s="57"/>
      <c r="F100" s="98"/>
      <c r="G100" s="98"/>
      <c r="H100" s="98"/>
      <c r="I100" s="98"/>
      <c r="J100" s="98"/>
      <c r="K100" s="98"/>
      <c r="L100" s="98"/>
      <c r="M100" s="98"/>
      <c r="N100" s="371"/>
    </row>
    <row r="101" spans="1:14" ht="12.4">
      <c r="A101" s="127" t="s">
        <v>152</v>
      </c>
      <c r="B101" s="98" t="s">
        <v>144</v>
      </c>
      <c r="C101" s="268" t="s">
        <v>1</v>
      </c>
      <c r="D101" s="57"/>
      <c r="E101" s="57"/>
      <c r="F101" s="321"/>
      <c r="G101" s="321"/>
      <c r="H101" s="321"/>
      <c r="I101" s="321"/>
      <c r="J101" s="321"/>
      <c r="K101" s="321"/>
      <c r="L101" s="321"/>
      <c r="M101" s="321"/>
      <c r="N101" s="382" t="s">
        <v>144</v>
      </c>
    </row>
    <row r="102" spans="1:14" ht="14.25" customHeight="1">
      <c r="A102" s="127" t="s">
        <v>153</v>
      </c>
      <c r="B102" s="98" t="s">
        <v>146</v>
      </c>
      <c r="C102" s="268" t="s">
        <v>1</v>
      </c>
      <c r="D102" s="57"/>
      <c r="E102" s="57"/>
      <c r="F102" s="321"/>
      <c r="G102" s="321"/>
      <c r="H102" s="321"/>
      <c r="I102" s="337"/>
      <c r="J102" s="321"/>
      <c r="K102" s="321"/>
      <c r="L102" s="321"/>
      <c r="M102" s="321"/>
      <c r="N102" s="382" t="s">
        <v>146</v>
      </c>
    </row>
    <row r="103" spans="1:14" ht="12.4">
      <c r="A103" s="127" t="s">
        <v>154</v>
      </c>
      <c r="B103" s="103" t="s">
        <v>147</v>
      </c>
      <c r="C103" s="268" t="s">
        <v>1</v>
      </c>
      <c r="D103" s="57"/>
      <c r="E103" s="57"/>
      <c r="F103" s="321"/>
      <c r="G103" s="321"/>
      <c r="H103" s="321"/>
      <c r="I103" s="321"/>
      <c r="J103" s="321"/>
      <c r="K103" s="321"/>
      <c r="L103" s="321"/>
      <c r="M103" s="321"/>
      <c r="N103" s="382" t="s">
        <v>147</v>
      </c>
    </row>
    <row r="104" spans="1:14" ht="12.4">
      <c r="A104" s="127" t="s">
        <v>65</v>
      </c>
      <c r="B104" s="103" t="s">
        <v>139</v>
      </c>
      <c r="C104" s="268" t="s">
        <v>1</v>
      </c>
      <c r="D104" s="57"/>
      <c r="E104" s="57"/>
      <c r="F104" s="321"/>
      <c r="G104" s="321"/>
      <c r="H104" s="321"/>
      <c r="I104" s="321"/>
      <c r="J104" s="321"/>
      <c r="K104" s="321"/>
      <c r="L104" s="321"/>
      <c r="M104" s="321"/>
      <c r="N104" s="382" t="s">
        <v>139</v>
      </c>
    </row>
    <row r="105" spans="1:14" ht="12.4">
      <c r="A105" s="127" t="s">
        <v>596</v>
      </c>
      <c r="B105" s="103" t="s">
        <v>142</v>
      </c>
      <c r="C105" s="268" t="s">
        <v>1</v>
      </c>
      <c r="D105" s="57"/>
      <c r="E105" s="57"/>
      <c r="F105" s="321"/>
      <c r="G105" s="321"/>
      <c r="H105" s="321"/>
      <c r="I105" s="321"/>
      <c r="J105" s="321"/>
      <c r="K105" s="321"/>
      <c r="L105" s="321"/>
      <c r="M105" s="321"/>
      <c r="N105" s="382" t="s">
        <v>142</v>
      </c>
    </row>
    <row r="106" spans="1:14" ht="12.4">
      <c r="D106" s="57"/>
      <c r="E106" s="57"/>
      <c r="F106" s="121"/>
      <c r="G106" s="121"/>
      <c r="H106" s="121"/>
      <c r="I106" s="121"/>
      <c r="J106" s="121"/>
      <c r="K106" s="121"/>
      <c r="L106" s="121"/>
      <c r="M106" s="121"/>
      <c r="N106" s="382"/>
    </row>
    <row r="107" spans="1:14" ht="14.65">
      <c r="A107" s="124" t="s">
        <v>257</v>
      </c>
      <c r="C107" s="97"/>
      <c r="D107" s="97"/>
      <c r="E107" s="97"/>
      <c r="F107" s="106"/>
      <c r="G107" s="98"/>
      <c r="H107" s="98"/>
      <c r="I107" s="98"/>
      <c r="J107" s="98"/>
      <c r="K107" s="98"/>
      <c r="L107" s="98"/>
      <c r="M107" s="98"/>
      <c r="N107" s="382"/>
    </row>
    <row r="108" spans="1:14" ht="12.4">
      <c r="A108" s="122" t="s">
        <v>345</v>
      </c>
      <c r="C108" s="97"/>
      <c r="D108" s="97"/>
      <c r="E108" s="97"/>
      <c r="F108" s="98"/>
      <c r="G108" s="98"/>
      <c r="H108" s="98"/>
      <c r="I108" s="98"/>
      <c r="J108" s="98"/>
      <c r="K108" s="98"/>
      <c r="L108" s="98"/>
      <c r="M108" s="98"/>
      <c r="N108" s="382"/>
    </row>
    <row r="109" spans="1:14" ht="12.4">
      <c r="A109" s="128" t="s">
        <v>151</v>
      </c>
      <c r="C109" s="98"/>
      <c r="D109" s="97"/>
      <c r="E109" s="97"/>
      <c r="F109" s="98"/>
      <c r="G109" s="98"/>
      <c r="H109" s="98"/>
      <c r="I109" s="98"/>
      <c r="J109" s="98"/>
      <c r="K109" s="98"/>
      <c r="L109" s="98"/>
      <c r="M109" s="98"/>
      <c r="N109" s="382"/>
    </row>
    <row r="110" spans="1:14" ht="12.4">
      <c r="A110" s="127" t="s">
        <v>152</v>
      </c>
      <c r="B110" s="98" t="s">
        <v>332</v>
      </c>
      <c r="C110" s="268" t="s">
        <v>1</v>
      </c>
      <c r="D110" s="97"/>
      <c r="E110" s="97"/>
      <c r="F110" s="48"/>
      <c r="G110" s="48"/>
      <c r="H110" s="48"/>
      <c r="I110" s="48"/>
      <c r="J110" s="48"/>
      <c r="K110" s="48"/>
      <c r="L110" s="48"/>
      <c r="M110" s="48"/>
      <c r="N110" s="382" t="s">
        <v>332</v>
      </c>
    </row>
    <row r="111" spans="1:14" ht="18" customHeight="1">
      <c r="A111" s="127" t="s">
        <v>153</v>
      </c>
      <c r="B111" s="98" t="s">
        <v>333</v>
      </c>
      <c r="C111" s="268" t="s">
        <v>1</v>
      </c>
      <c r="D111" s="97"/>
      <c r="E111" s="97"/>
      <c r="F111" s="48"/>
      <c r="G111" s="48"/>
      <c r="H111" s="48"/>
      <c r="I111" s="48"/>
      <c r="J111" s="48"/>
      <c r="K111" s="48"/>
      <c r="L111" s="48"/>
      <c r="M111" s="48"/>
      <c r="N111" s="382" t="s">
        <v>333</v>
      </c>
    </row>
    <row r="112" spans="1:14" ht="12.4">
      <c r="A112" s="127" t="s">
        <v>154</v>
      </c>
      <c r="B112" s="98" t="s">
        <v>260</v>
      </c>
      <c r="C112" s="268" t="s">
        <v>1</v>
      </c>
      <c r="D112" s="97"/>
      <c r="E112" s="97"/>
      <c r="F112" s="48"/>
      <c r="G112" s="48"/>
      <c r="H112" s="48"/>
      <c r="I112" s="48"/>
      <c r="J112" s="48"/>
      <c r="K112" s="48"/>
      <c r="L112" s="48"/>
      <c r="M112" s="48"/>
      <c r="N112" s="382" t="s">
        <v>260</v>
      </c>
    </row>
    <row r="113" spans="1:14" ht="12.4">
      <c r="A113" s="127" t="s">
        <v>65</v>
      </c>
      <c r="B113" s="98" t="s">
        <v>334</v>
      </c>
      <c r="C113" s="268" t="s">
        <v>1</v>
      </c>
      <c r="D113" s="97"/>
      <c r="E113" s="97"/>
      <c r="F113" s="48"/>
      <c r="G113" s="48"/>
      <c r="H113" s="48"/>
      <c r="I113" s="48"/>
      <c r="J113" s="48"/>
      <c r="K113" s="48"/>
      <c r="L113" s="48"/>
      <c r="M113" s="48"/>
      <c r="N113" s="382" t="s">
        <v>334</v>
      </c>
    </row>
    <row r="114" spans="1:14" ht="12.4">
      <c r="A114" s="127" t="s">
        <v>596</v>
      </c>
      <c r="B114" s="98" t="s">
        <v>335</v>
      </c>
      <c r="C114" s="268" t="s">
        <v>1</v>
      </c>
      <c r="D114" s="97"/>
      <c r="E114" s="97"/>
      <c r="F114" s="48"/>
      <c r="G114" s="48"/>
      <c r="H114" s="48"/>
      <c r="I114" s="48"/>
      <c r="J114" s="48"/>
      <c r="K114" s="48"/>
      <c r="L114" s="48"/>
      <c r="M114" s="48"/>
      <c r="N114" s="382" t="s">
        <v>335</v>
      </c>
    </row>
    <row r="115" spans="1:14" ht="16.5" customHeight="1">
      <c r="A115" s="127"/>
      <c r="C115" s="98"/>
      <c r="D115" s="97"/>
      <c r="E115" s="97"/>
      <c r="F115" s="98"/>
      <c r="G115" s="98"/>
      <c r="H115" s="98"/>
      <c r="I115" s="98"/>
      <c r="J115" s="98"/>
      <c r="K115" s="98"/>
      <c r="L115" s="98"/>
      <c r="M115" s="98"/>
      <c r="N115" s="382"/>
    </row>
    <row r="116" spans="1:14" ht="14.65">
      <c r="A116" s="124" t="s">
        <v>258</v>
      </c>
      <c r="C116" s="97"/>
      <c r="D116" s="97"/>
      <c r="E116" s="97"/>
      <c r="F116" s="106"/>
      <c r="G116" s="98"/>
      <c r="H116" s="98"/>
      <c r="I116" s="98"/>
      <c r="J116" s="98"/>
      <c r="K116" s="98"/>
      <c r="L116" s="98"/>
      <c r="M116" s="98"/>
      <c r="N116" s="382"/>
    </row>
    <row r="117" spans="1:14" ht="12.4">
      <c r="A117" s="122" t="s">
        <v>346</v>
      </c>
      <c r="C117" s="97"/>
      <c r="D117" s="97"/>
      <c r="E117" s="97"/>
      <c r="F117" s="98"/>
      <c r="G117" s="98"/>
      <c r="H117" s="98"/>
      <c r="I117" s="98"/>
      <c r="J117" s="98"/>
      <c r="K117" s="98"/>
      <c r="L117" s="98"/>
      <c r="M117" s="98"/>
      <c r="N117" s="382"/>
    </row>
    <row r="118" spans="1:14" ht="12.4">
      <c r="A118" s="128" t="s">
        <v>151</v>
      </c>
      <c r="C118" s="98"/>
      <c r="D118" s="97"/>
      <c r="E118" s="97"/>
      <c r="F118" s="98"/>
      <c r="G118" s="98"/>
      <c r="H118" s="98"/>
      <c r="I118" s="98"/>
      <c r="J118" s="98"/>
      <c r="K118" s="98"/>
      <c r="L118" s="98"/>
      <c r="M118" s="98"/>
      <c r="N118" s="382"/>
    </row>
    <row r="119" spans="1:14" ht="12.4">
      <c r="A119" s="127" t="s">
        <v>152</v>
      </c>
      <c r="B119" s="98" t="s">
        <v>336</v>
      </c>
      <c r="C119" s="268" t="s">
        <v>1</v>
      </c>
      <c r="D119" s="97"/>
      <c r="E119" s="97"/>
      <c r="F119" s="48"/>
      <c r="G119" s="48"/>
      <c r="H119" s="48"/>
      <c r="I119" s="48"/>
      <c r="J119" s="48"/>
      <c r="K119" s="48"/>
      <c r="L119" s="48"/>
      <c r="M119" s="48"/>
      <c r="N119" s="382" t="s">
        <v>336</v>
      </c>
    </row>
    <row r="120" spans="1:14" ht="17.25" customHeight="1">
      <c r="A120" s="127" t="s">
        <v>153</v>
      </c>
      <c r="B120" s="98" t="s">
        <v>337</v>
      </c>
      <c r="C120" s="268" t="s">
        <v>1</v>
      </c>
      <c r="D120" s="97"/>
      <c r="E120" s="97"/>
      <c r="F120" s="48"/>
      <c r="G120" s="48"/>
      <c r="H120" s="48"/>
      <c r="I120" s="48"/>
      <c r="J120" s="48"/>
      <c r="K120" s="48"/>
      <c r="L120" s="48"/>
      <c r="M120" s="48"/>
      <c r="N120" s="382" t="s">
        <v>337</v>
      </c>
    </row>
    <row r="121" spans="1:14" ht="12.4">
      <c r="A121" s="127" t="s">
        <v>154</v>
      </c>
      <c r="B121" s="98" t="s">
        <v>261</v>
      </c>
      <c r="C121" s="268" t="s">
        <v>1</v>
      </c>
      <c r="D121" s="97"/>
      <c r="E121" s="97"/>
      <c r="F121" s="48"/>
      <c r="G121" s="48"/>
      <c r="H121" s="321"/>
      <c r="I121" s="48"/>
      <c r="J121" s="48"/>
      <c r="K121" s="48"/>
      <c r="L121" s="48"/>
      <c r="M121" s="48"/>
      <c r="N121" s="382" t="s">
        <v>261</v>
      </c>
    </row>
    <row r="122" spans="1:14" ht="12.4">
      <c r="A122" s="127" t="s">
        <v>65</v>
      </c>
      <c r="B122" s="98" t="s">
        <v>338</v>
      </c>
      <c r="C122" s="268" t="s">
        <v>1</v>
      </c>
      <c r="D122" s="97"/>
      <c r="E122" s="97"/>
      <c r="F122" s="48"/>
      <c r="G122" s="48"/>
      <c r="H122" s="48"/>
      <c r="I122" s="48"/>
      <c r="J122" s="48"/>
      <c r="K122" s="48"/>
      <c r="L122" s="48"/>
      <c r="M122" s="48"/>
      <c r="N122" s="382" t="s">
        <v>338</v>
      </c>
    </row>
    <row r="123" spans="1:14" ht="12.4">
      <c r="A123" s="127" t="s">
        <v>596</v>
      </c>
      <c r="B123" s="98" t="s">
        <v>339</v>
      </c>
      <c r="C123" s="268" t="s">
        <v>1</v>
      </c>
      <c r="D123" s="97"/>
      <c r="E123" s="97"/>
      <c r="F123" s="48"/>
      <c r="G123" s="48"/>
      <c r="H123" s="48"/>
      <c r="I123" s="48"/>
      <c r="J123" s="48"/>
      <c r="K123" s="48"/>
      <c r="L123" s="48"/>
      <c r="M123" s="48"/>
      <c r="N123" s="382" t="s">
        <v>339</v>
      </c>
    </row>
    <row r="124" spans="1:14" ht="12.4">
      <c r="D124" s="97"/>
      <c r="E124" s="97"/>
      <c r="F124" s="121"/>
      <c r="G124" s="121"/>
      <c r="H124" s="121"/>
      <c r="I124" s="121"/>
      <c r="J124" s="121"/>
      <c r="K124" s="121"/>
      <c r="L124" s="121"/>
      <c r="M124" s="121"/>
      <c r="N124" s="382"/>
    </row>
    <row r="125" spans="1:14" ht="14.65">
      <c r="A125" s="124" t="s">
        <v>259</v>
      </c>
      <c r="C125" s="97"/>
      <c r="D125" s="97"/>
      <c r="E125" s="97"/>
      <c r="F125" s="106"/>
      <c r="G125" s="98"/>
      <c r="H125" s="98"/>
      <c r="I125" s="98"/>
      <c r="J125" s="98"/>
      <c r="K125" s="98"/>
      <c r="L125" s="98"/>
      <c r="M125" s="98"/>
      <c r="N125" s="382"/>
    </row>
    <row r="126" spans="1:14" ht="12.4">
      <c r="A126" s="127" t="s">
        <v>347</v>
      </c>
      <c r="C126" s="97"/>
      <c r="D126" s="97"/>
      <c r="E126" s="97"/>
      <c r="F126" s="98"/>
      <c r="G126" s="98"/>
      <c r="H126" s="98"/>
      <c r="I126" s="98"/>
      <c r="J126" s="98"/>
      <c r="K126" s="98"/>
      <c r="L126" s="98"/>
      <c r="M126" s="98"/>
      <c r="N126" s="382"/>
    </row>
    <row r="127" spans="1:14" ht="12.4">
      <c r="A127" s="128" t="s">
        <v>151</v>
      </c>
      <c r="C127" s="98"/>
      <c r="D127" s="97"/>
      <c r="E127" s="97"/>
      <c r="F127" s="98"/>
      <c r="G127" s="98"/>
      <c r="H127" s="98"/>
      <c r="I127" s="98"/>
      <c r="J127" s="98"/>
      <c r="K127" s="98"/>
      <c r="L127" s="98"/>
      <c r="M127" s="98"/>
      <c r="N127" s="382"/>
    </row>
    <row r="128" spans="1:14" ht="12.4">
      <c r="A128" s="127" t="s">
        <v>152</v>
      </c>
      <c r="B128" s="98" t="s">
        <v>340</v>
      </c>
      <c r="C128" s="268" t="s">
        <v>1</v>
      </c>
      <c r="D128" s="97"/>
      <c r="E128" s="97"/>
      <c r="F128" s="48"/>
      <c r="G128" s="48"/>
      <c r="H128" s="48"/>
      <c r="I128" s="48"/>
      <c r="J128" s="48"/>
      <c r="K128" s="48"/>
      <c r="L128" s="48"/>
      <c r="M128" s="48"/>
      <c r="N128" s="382" t="s">
        <v>340</v>
      </c>
    </row>
    <row r="129" spans="1:14" ht="16.5" customHeight="1">
      <c r="A129" s="127" t="s">
        <v>153</v>
      </c>
      <c r="B129" s="98" t="s">
        <v>341</v>
      </c>
      <c r="C129" s="268" t="s">
        <v>1</v>
      </c>
      <c r="D129" s="97"/>
      <c r="E129" s="97"/>
      <c r="F129" s="48"/>
      <c r="G129" s="48"/>
      <c r="H129" s="48"/>
      <c r="I129" s="48"/>
      <c r="J129" s="48"/>
      <c r="K129" s="48"/>
      <c r="L129" s="48"/>
      <c r="M129" s="48"/>
      <c r="N129" s="382" t="s">
        <v>341</v>
      </c>
    </row>
    <row r="130" spans="1:14" ht="12.4">
      <c r="A130" s="127" t="s">
        <v>154</v>
      </c>
      <c r="B130" s="98" t="s">
        <v>262</v>
      </c>
      <c r="C130" s="268" t="s">
        <v>1</v>
      </c>
      <c r="D130" s="97"/>
      <c r="E130" s="97"/>
      <c r="F130" s="48"/>
      <c r="G130" s="48"/>
      <c r="H130" s="48"/>
      <c r="I130" s="48"/>
      <c r="J130" s="48"/>
      <c r="K130" s="48"/>
      <c r="L130" s="48"/>
      <c r="M130" s="48"/>
      <c r="N130" s="382" t="s">
        <v>262</v>
      </c>
    </row>
    <row r="131" spans="1:14" ht="12.4">
      <c r="A131" s="127" t="s">
        <v>65</v>
      </c>
      <c r="B131" s="98" t="s">
        <v>342</v>
      </c>
      <c r="C131" s="268" t="s">
        <v>1</v>
      </c>
      <c r="D131" s="97"/>
      <c r="E131" s="97"/>
      <c r="F131" s="48"/>
      <c r="G131" s="48"/>
      <c r="H131" s="48"/>
      <c r="I131" s="48"/>
      <c r="J131" s="48"/>
      <c r="K131" s="48"/>
      <c r="L131" s="48"/>
      <c r="M131" s="48"/>
      <c r="N131" s="382" t="s">
        <v>342</v>
      </c>
    </row>
    <row r="132" spans="1:14" ht="12.4">
      <c r="A132" s="127" t="s">
        <v>596</v>
      </c>
      <c r="B132" s="98" t="s">
        <v>343</v>
      </c>
      <c r="C132" s="268" t="s">
        <v>1</v>
      </c>
      <c r="D132" s="97"/>
      <c r="E132" s="97"/>
      <c r="F132" s="48"/>
      <c r="G132" s="48"/>
      <c r="H132" s="48"/>
      <c r="I132" s="48"/>
      <c r="J132" s="48"/>
      <c r="K132" s="48"/>
      <c r="L132" s="48"/>
      <c r="M132" s="48"/>
      <c r="N132" s="382" t="s">
        <v>343</v>
      </c>
    </row>
    <row r="133" spans="1:14" ht="16.5" customHeight="1">
      <c r="A133" s="12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382"/>
    </row>
    <row r="134" spans="1:14" ht="14.65">
      <c r="A134" s="124" t="s">
        <v>349</v>
      </c>
      <c r="C134" s="97"/>
      <c r="D134" s="97"/>
      <c r="E134" s="97"/>
      <c r="F134" s="106"/>
      <c r="G134" s="98"/>
      <c r="H134" s="98"/>
      <c r="I134" s="98"/>
      <c r="J134" s="98"/>
      <c r="K134" s="98"/>
      <c r="L134" s="98"/>
      <c r="M134" s="98"/>
      <c r="N134" s="382"/>
    </row>
    <row r="135" spans="1:14" ht="12.4">
      <c r="A135" s="122" t="s">
        <v>348</v>
      </c>
      <c r="C135" s="97"/>
      <c r="D135" s="97"/>
      <c r="E135" s="97"/>
      <c r="F135" s="98"/>
      <c r="G135" s="98"/>
      <c r="H135" s="98"/>
      <c r="I135" s="98"/>
      <c r="J135" s="98"/>
      <c r="K135" s="98"/>
      <c r="L135" s="98"/>
      <c r="M135" s="98"/>
      <c r="N135" s="382"/>
    </row>
    <row r="136" spans="1:14" ht="12.4">
      <c r="A136" s="128" t="s">
        <v>151</v>
      </c>
      <c r="C136" s="98"/>
      <c r="D136" s="97"/>
      <c r="E136" s="97"/>
      <c r="F136" s="98"/>
      <c r="G136" s="98"/>
      <c r="H136" s="98"/>
      <c r="I136" s="98"/>
      <c r="J136" s="98"/>
      <c r="K136" s="98"/>
      <c r="L136" s="98"/>
      <c r="M136" s="98"/>
      <c r="N136" s="382"/>
    </row>
    <row r="137" spans="1:14" ht="12.4">
      <c r="A137" s="127" t="s">
        <v>152</v>
      </c>
      <c r="B137" s="98" t="s">
        <v>350</v>
      </c>
      <c r="C137" s="268" t="s">
        <v>1</v>
      </c>
      <c r="D137" s="97"/>
      <c r="E137" s="97"/>
      <c r="F137" s="48"/>
      <c r="G137" s="48"/>
      <c r="H137" s="48"/>
      <c r="I137" s="48"/>
      <c r="J137" s="48"/>
      <c r="K137" s="48"/>
      <c r="L137" s="48"/>
      <c r="M137" s="48"/>
      <c r="N137" s="382" t="s">
        <v>350</v>
      </c>
    </row>
    <row r="138" spans="1:14" ht="16.5" customHeight="1">
      <c r="A138" s="127" t="s">
        <v>153</v>
      </c>
      <c r="B138" s="98" t="s">
        <v>351</v>
      </c>
      <c r="C138" s="268" t="s">
        <v>1</v>
      </c>
      <c r="D138" s="97"/>
      <c r="E138" s="97"/>
      <c r="F138" s="48"/>
      <c r="G138" s="48"/>
      <c r="H138" s="48"/>
      <c r="I138" s="48"/>
      <c r="J138" s="48"/>
      <c r="K138" s="48"/>
      <c r="L138" s="48"/>
      <c r="M138" s="48"/>
      <c r="N138" s="382" t="s">
        <v>351</v>
      </c>
    </row>
    <row r="139" spans="1:14" ht="12.4">
      <c r="A139" s="127" t="s">
        <v>154</v>
      </c>
      <c r="B139" s="98" t="s">
        <v>352</v>
      </c>
      <c r="C139" s="268" t="s">
        <v>1</v>
      </c>
      <c r="D139" s="97"/>
      <c r="E139" s="97"/>
      <c r="F139" s="48"/>
      <c r="G139" s="48"/>
      <c r="H139" s="48"/>
      <c r="I139" s="48"/>
      <c r="J139" s="48"/>
      <c r="K139" s="48"/>
      <c r="L139" s="48"/>
      <c r="M139" s="48"/>
      <c r="N139" s="382" t="s">
        <v>352</v>
      </c>
    </row>
    <row r="140" spans="1:14" ht="12.4">
      <c r="A140" s="127" t="s">
        <v>65</v>
      </c>
      <c r="B140" s="98" t="s">
        <v>353</v>
      </c>
      <c r="C140" s="268" t="s">
        <v>1</v>
      </c>
      <c r="D140" s="97"/>
      <c r="E140" s="97"/>
      <c r="F140" s="48"/>
      <c r="G140" s="48"/>
      <c r="H140" s="48"/>
      <c r="I140" s="48"/>
      <c r="J140" s="48"/>
      <c r="K140" s="48"/>
      <c r="L140" s="48"/>
      <c r="M140" s="48"/>
      <c r="N140" s="382" t="s">
        <v>353</v>
      </c>
    </row>
    <row r="141" spans="1:14" ht="12.4">
      <c r="A141" s="127" t="s">
        <v>596</v>
      </c>
      <c r="B141" s="98" t="s">
        <v>354</v>
      </c>
      <c r="C141" s="268" t="s">
        <v>1</v>
      </c>
      <c r="D141" s="97"/>
      <c r="E141" s="97"/>
      <c r="F141" s="48"/>
      <c r="G141" s="48"/>
      <c r="H141" s="48"/>
      <c r="I141" s="48"/>
      <c r="J141" s="48"/>
      <c r="K141" s="48"/>
      <c r="L141" s="48"/>
      <c r="M141" s="48"/>
      <c r="N141" s="382" t="s">
        <v>354</v>
      </c>
    </row>
    <row r="142" spans="1:14" ht="16.5" customHeight="1">
      <c r="A142" s="127"/>
      <c r="C142" s="98"/>
      <c r="D142" s="97"/>
      <c r="E142" s="97"/>
      <c r="F142" s="98"/>
      <c r="G142" s="98"/>
      <c r="H142" s="98"/>
      <c r="I142" s="98"/>
      <c r="J142" s="98"/>
      <c r="K142" s="98"/>
      <c r="L142" s="98"/>
      <c r="M142" s="98"/>
      <c r="N142" s="357"/>
    </row>
    <row r="143" spans="1:14" ht="12.4">
      <c r="F143" s="121"/>
      <c r="G143" s="121"/>
      <c r="H143" s="121"/>
      <c r="I143" s="121"/>
      <c r="J143" s="121"/>
      <c r="K143" s="121"/>
      <c r="L143" s="121"/>
      <c r="M143" s="121"/>
      <c r="N143" s="357"/>
    </row>
    <row r="144" spans="1:14" ht="12.4">
      <c r="N144" s="357"/>
    </row>
    <row r="145" spans="14:14" ht="12.4">
      <c r="N145" s="357"/>
    </row>
    <row r="146" spans="14:14" ht="12.4">
      <c r="N146" s="357"/>
    </row>
    <row r="147" spans="14:14" ht="12.4">
      <c r="N147" s="357"/>
    </row>
    <row r="148" spans="14:14" ht="12.4">
      <c r="N148" s="357"/>
    </row>
    <row r="149" spans="14:14" ht="12.4">
      <c r="N149" s="357"/>
    </row>
    <row r="150" spans="14:14" ht="12.4">
      <c r="N150" s="357"/>
    </row>
    <row r="151" spans="14:14" ht="12.4">
      <c r="N151" s="357"/>
    </row>
    <row r="152" spans="14:14" ht="12.4">
      <c r="N152" s="357"/>
    </row>
    <row r="153" spans="14:14" ht="12.4">
      <c r="N153" s="357"/>
    </row>
    <row r="154" spans="14:14" ht="12.4">
      <c r="N154" s="357"/>
    </row>
    <row r="155" spans="14:14" ht="12.4">
      <c r="N155" s="357"/>
    </row>
    <row r="156" spans="14:14" ht="12.4">
      <c r="N156" s="357"/>
    </row>
    <row r="157" spans="14:14" ht="12.4">
      <c r="N157" s="357"/>
    </row>
    <row r="158" spans="14:14" ht="12.4">
      <c r="N158" s="357"/>
    </row>
    <row r="159" spans="14:14" ht="12.4">
      <c r="N159" s="357"/>
    </row>
    <row r="160" spans="14:14" ht="12.4">
      <c r="N160" s="357"/>
    </row>
    <row r="161" spans="14:14" ht="12.4">
      <c r="N161" s="357"/>
    </row>
    <row r="162" spans="14:14" ht="12.4">
      <c r="N162" s="357"/>
    </row>
    <row r="163" spans="14:14" ht="12.4">
      <c r="N163" s="357"/>
    </row>
    <row r="164" spans="14:14" ht="12.4">
      <c r="N164" s="357"/>
    </row>
    <row r="165" spans="14:14" ht="12.4">
      <c r="N165" s="357"/>
    </row>
    <row r="166" spans="14:14" ht="12.4">
      <c r="N166" s="357"/>
    </row>
    <row r="167" spans="14:14" ht="12.4">
      <c r="N167" s="357"/>
    </row>
    <row r="168" spans="14:14" ht="12.4">
      <c r="N168" s="357"/>
    </row>
    <row r="169" spans="14:14" ht="12.4">
      <c r="N169" s="357"/>
    </row>
    <row r="170" spans="14:14" ht="12.4">
      <c r="N170" s="357"/>
    </row>
    <row r="171" spans="14:14" ht="12.4">
      <c r="N171" s="357"/>
    </row>
    <row r="172" spans="14:14" ht="12.4">
      <c r="N172" s="357"/>
    </row>
    <row r="173" spans="14:14" ht="12.4">
      <c r="N173" s="357"/>
    </row>
    <row r="174" spans="14:14" ht="12.4">
      <c r="N174" s="357"/>
    </row>
    <row r="175" spans="14:14" ht="12.4">
      <c r="N175" s="357"/>
    </row>
    <row r="176" spans="14:14" ht="12.4">
      <c r="N176" s="357"/>
    </row>
    <row r="177" spans="14:14" ht="12.4">
      <c r="N177" s="357"/>
    </row>
    <row r="178" spans="14:14" ht="12.4">
      <c r="N178" s="357"/>
    </row>
    <row r="179" spans="14:14" ht="12.4">
      <c r="N179" s="357"/>
    </row>
    <row r="180" spans="14:14" ht="12.4">
      <c r="N180" s="357"/>
    </row>
    <row r="181" spans="14:14" ht="12.4">
      <c r="N181" s="357"/>
    </row>
    <row r="182" spans="14:14" ht="12.4">
      <c r="N182" s="357"/>
    </row>
    <row r="183" spans="14:14" ht="12.4">
      <c r="N183" s="357"/>
    </row>
    <row r="184" spans="14:14" ht="12.4">
      <c r="N184" s="357"/>
    </row>
    <row r="185" spans="14:14" ht="12.4">
      <c r="N185" s="357"/>
    </row>
    <row r="186" spans="14:14" ht="12.4">
      <c r="N186" s="357"/>
    </row>
    <row r="187" spans="14:14" ht="12.4">
      <c r="N187" s="357"/>
    </row>
    <row r="188" spans="14:14" ht="12.4">
      <c r="N188" s="357"/>
    </row>
    <row r="189" spans="14:14" ht="12.4">
      <c r="N189" s="357"/>
    </row>
    <row r="190" spans="14:14" ht="12.4">
      <c r="N190" s="357"/>
    </row>
    <row r="191" spans="14:14" ht="12.4">
      <c r="N191" s="357"/>
    </row>
    <row r="192" spans="14:14" ht="12.4">
      <c r="N192" s="357"/>
    </row>
    <row r="193" spans="14:14" ht="12.4">
      <c r="N193" s="357"/>
    </row>
    <row r="194" spans="14:14" ht="12.4">
      <c r="N194" s="357"/>
    </row>
    <row r="195" spans="14:14" ht="12.4">
      <c r="N195" s="357"/>
    </row>
    <row r="196" spans="14:14" ht="12.4">
      <c r="N196" s="357"/>
    </row>
    <row r="197" spans="14:14" ht="12.4">
      <c r="N197" s="357"/>
    </row>
    <row r="198" spans="14:14" ht="12.4">
      <c r="N198" s="357"/>
    </row>
    <row r="199" spans="14:14" ht="12.4">
      <c r="N199" s="357"/>
    </row>
    <row r="200" spans="14:14" ht="12.4">
      <c r="N200" s="357"/>
    </row>
    <row r="201" spans="14:14" ht="12.4">
      <c r="N201" s="357"/>
    </row>
    <row r="202" spans="14:14" ht="12.4">
      <c r="N202" s="357"/>
    </row>
    <row r="203" spans="14:14" ht="12.4">
      <c r="N203" s="357"/>
    </row>
    <row r="204" spans="14:14" ht="12.4">
      <c r="N204" s="357"/>
    </row>
    <row r="205" spans="14:14" ht="12.4">
      <c r="N205" s="357"/>
    </row>
    <row r="206" spans="14:14" ht="12.4">
      <c r="N206" s="357"/>
    </row>
    <row r="207" spans="14:14" ht="12.4">
      <c r="N207" s="357"/>
    </row>
    <row r="208" spans="14:14" ht="12.4">
      <c r="N208" s="357"/>
    </row>
    <row r="209" spans="14:14" ht="12.4">
      <c r="N209" s="357"/>
    </row>
    <row r="210" spans="14:14" ht="12.4">
      <c r="N210" s="357"/>
    </row>
    <row r="211" spans="14:14" ht="12.4">
      <c r="N211" s="357"/>
    </row>
    <row r="212" spans="14:14" ht="12.4">
      <c r="N212" s="357"/>
    </row>
    <row r="213" spans="14:14" ht="12.4">
      <c r="N213" s="357"/>
    </row>
    <row r="214" spans="14:14" ht="12.4">
      <c r="N214" s="357"/>
    </row>
    <row r="215" spans="14:14" ht="12.4">
      <c r="N215" s="357"/>
    </row>
    <row r="216" spans="14:14" ht="12.4">
      <c r="N216" s="357"/>
    </row>
    <row r="217" spans="14:14" ht="12.4">
      <c r="N217" s="357"/>
    </row>
    <row r="218" spans="14:14" ht="12.4">
      <c r="N218" s="357"/>
    </row>
    <row r="219" spans="14:14" ht="12.4">
      <c r="N219" s="357"/>
    </row>
    <row r="220" spans="14:14" ht="12.4">
      <c r="N220" s="357"/>
    </row>
    <row r="221" spans="14:14" ht="12.4">
      <c r="N221" s="357"/>
    </row>
    <row r="222" spans="14:14" ht="12.4">
      <c r="N222" s="357"/>
    </row>
    <row r="223" spans="14:14" ht="12.4">
      <c r="N223" s="357"/>
    </row>
    <row r="224" spans="14:14" ht="12.4">
      <c r="N224" s="357"/>
    </row>
    <row r="225" spans="14:14" ht="12.4">
      <c r="N225" s="357"/>
    </row>
    <row r="226" spans="14:14" ht="12.4">
      <c r="N226" s="357"/>
    </row>
    <row r="227" spans="14:14" ht="12.4">
      <c r="N227" s="357"/>
    </row>
    <row r="228" spans="14:14" ht="12.4">
      <c r="N228" s="357"/>
    </row>
    <row r="229" spans="14:14" ht="12.4">
      <c r="N229" s="357"/>
    </row>
    <row r="230" spans="14:14" ht="12.4">
      <c r="N230" s="357"/>
    </row>
    <row r="231" spans="14:14" ht="12.4">
      <c r="N231" s="357"/>
    </row>
    <row r="232" spans="14:14" ht="12.4">
      <c r="N232" s="357"/>
    </row>
    <row r="233" spans="14:14" ht="12.4">
      <c r="N233" s="357"/>
    </row>
    <row r="234" spans="14:14" ht="12.4">
      <c r="N234" s="357"/>
    </row>
    <row r="235" spans="14:14" ht="12.4">
      <c r="N235" s="357"/>
    </row>
    <row r="236" spans="14:14" ht="12.4">
      <c r="N236" s="357"/>
    </row>
    <row r="237" spans="14:14" ht="12.4">
      <c r="N237" s="357"/>
    </row>
    <row r="238" spans="14:14" ht="12.4">
      <c r="N238" s="357"/>
    </row>
    <row r="239" spans="14:14" ht="12.4">
      <c r="N239" s="357"/>
    </row>
    <row r="240" spans="14:14" ht="12.4">
      <c r="N240" s="357"/>
    </row>
    <row r="241" spans="14:14" ht="12.75" customHeight="1">
      <c r="N241" s="357"/>
    </row>
    <row r="242" spans="14:14" ht="12.75" customHeight="1">
      <c r="N242" s="357"/>
    </row>
    <row r="243" spans="14:14" ht="12.75" customHeight="1">
      <c r="N243" s="357"/>
    </row>
    <row r="244" spans="14:14" ht="12.75" customHeight="1">
      <c r="N244" s="357"/>
    </row>
    <row r="245" spans="14:14" ht="12.75" customHeight="1">
      <c r="N245" s="357"/>
    </row>
    <row r="246" spans="14:14" ht="12.75" customHeight="1">
      <c r="N246" s="357"/>
    </row>
    <row r="247" spans="14:14" ht="12.75" customHeight="1">
      <c r="N247" s="357"/>
    </row>
    <row r="248" spans="14:14" ht="12.75" customHeight="1">
      <c r="N248" s="357"/>
    </row>
    <row r="249" spans="14:14" ht="12.75" customHeight="1">
      <c r="N249" s="357"/>
    </row>
    <row r="250" spans="14:14" ht="12.75" customHeight="1">
      <c r="N250" s="357"/>
    </row>
    <row r="251" spans="14:14" ht="12.75" customHeight="1">
      <c r="N251" s="357"/>
    </row>
    <row r="252" spans="14:14" ht="12.75" customHeight="1">
      <c r="N252" s="357"/>
    </row>
    <row r="253" spans="14:14" ht="12.75" customHeight="1">
      <c r="N253" s="357"/>
    </row>
    <row r="254" spans="14:14" ht="12.75" customHeight="1">
      <c r="N254" s="357"/>
    </row>
    <row r="255" spans="14:14" ht="12.75" customHeight="1">
      <c r="N255" s="357"/>
    </row>
    <row r="256" spans="14:14" ht="12.75" customHeight="1">
      <c r="N256" s="357"/>
    </row>
    <row r="257" spans="14:14" ht="12.75" customHeight="1">
      <c r="N257" s="357"/>
    </row>
    <row r="258" spans="14:14" ht="12.75" customHeight="1">
      <c r="N258" s="357"/>
    </row>
    <row r="259" spans="14:14" ht="12.75" customHeight="1">
      <c r="N259" s="357"/>
    </row>
    <row r="260" spans="14:14" ht="12.75" customHeight="1">
      <c r="N260" s="357"/>
    </row>
    <row r="261" spans="14:14" ht="12.75" customHeight="1">
      <c r="N261" s="357"/>
    </row>
    <row r="262" spans="14:14" ht="12.75" customHeight="1">
      <c r="N262" s="357"/>
    </row>
    <row r="263" spans="14:14" ht="12.75" customHeight="1">
      <c r="N263" s="357"/>
    </row>
    <row r="264" spans="14:14" ht="12.75" customHeight="1">
      <c r="N264" s="357"/>
    </row>
    <row r="265" spans="14:14" ht="12.75" customHeight="1">
      <c r="N265" s="357"/>
    </row>
    <row r="266" spans="14:14" ht="12.75" customHeight="1">
      <c r="N266" s="357"/>
    </row>
    <row r="267" spans="14:14" ht="12.75" customHeight="1">
      <c r="N267" s="357"/>
    </row>
    <row r="268" spans="14:14" ht="12.75" customHeight="1">
      <c r="N268" s="357"/>
    </row>
    <row r="269" spans="14:14" ht="12.75" customHeight="1">
      <c r="N269" s="357"/>
    </row>
    <row r="270" spans="14:14" ht="12.75" customHeight="1">
      <c r="N270" s="357"/>
    </row>
    <row r="271" spans="14:14" ht="12.75" customHeight="1">
      <c r="N271" s="357"/>
    </row>
    <row r="272" spans="14:14" ht="12.75" customHeight="1">
      <c r="N272" s="357"/>
    </row>
    <row r="273" spans="14:14" ht="12.75" customHeight="1">
      <c r="N273" s="357"/>
    </row>
    <row r="274" spans="14:14" ht="12.75" customHeight="1">
      <c r="N274" s="357"/>
    </row>
    <row r="275" spans="14:14" ht="12.75" customHeight="1">
      <c r="N275" s="357"/>
    </row>
    <row r="276" spans="14:14" ht="12.75" customHeight="1">
      <c r="N276" s="357"/>
    </row>
    <row r="277" spans="14:14" ht="12.75" customHeight="1">
      <c r="N277" s="357"/>
    </row>
    <row r="278" spans="14:14" ht="12.75" customHeight="1">
      <c r="N278" s="357"/>
    </row>
    <row r="279" spans="14:14" ht="12.75" customHeight="1">
      <c r="N279" s="357"/>
    </row>
    <row r="280" spans="14:14" ht="12.75" customHeight="1">
      <c r="N280" s="357"/>
    </row>
    <row r="281" spans="14:14" ht="12.75" customHeight="1">
      <c r="N281" s="357"/>
    </row>
    <row r="282" spans="14:14" ht="12.75" customHeight="1">
      <c r="N282" s="357"/>
    </row>
    <row r="283" spans="14:14" ht="12.75" customHeight="1">
      <c r="N283" s="357"/>
    </row>
    <row r="284" spans="14:14" ht="12.75" customHeight="1">
      <c r="N284" s="357"/>
    </row>
    <row r="285" spans="14:14" ht="12.75" customHeight="1">
      <c r="N285" s="357"/>
    </row>
    <row r="286" spans="14:14" ht="12.75" customHeight="1">
      <c r="N286" s="357"/>
    </row>
    <row r="287" spans="14:14" ht="12.75" customHeight="1">
      <c r="N287" s="357"/>
    </row>
    <row r="288" spans="14:14" ht="12.75" customHeight="1">
      <c r="N288" s="357"/>
    </row>
    <row r="289" spans="14:14" ht="12.75" customHeight="1">
      <c r="N289" s="357"/>
    </row>
    <row r="290" spans="14:14" ht="12.75" customHeight="1">
      <c r="N290" s="357"/>
    </row>
    <row r="291" spans="14:14" ht="12.75" customHeight="1">
      <c r="N291" s="357"/>
    </row>
    <row r="292" spans="14:14" ht="12.75" customHeight="1">
      <c r="N292" s="357"/>
    </row>
    <row r="293" spans="14:14" ht="12.75" customHeight="1">
      <c r="N293" s="357"/>
    </row>
    <row r="294" spans="14:14" ht="12.75" customHeight="1">
      <c r="N294" s="357"/>
    </row>
    <row r="295" spans="14:14" ht="12.75" customHeight="1">
      <c r="N295" s="357"/>
    </row>
    <row r="296" spans="14:14" ht="12.75" customHeight="1">
      <c r="N296" s="357"/>
    </row>
    <row r="297" spans="14:14" ht="12.75" customHeight="1">
      <c r="N297" s="357"/>
    </row>
    <row r="298" spans="14:14" ht="12.75" customHeight="1">
      <c r="N298" s="357"/>
    </row>
    <row r="299" spans="14:14" ht="12.75" customHeight="1">
      <c r="N299" s="357"/>
    </row>
    <row r="300" spans="14:14" ht="12.75" customHeight="1">
      <c r="N300" s="357"/>
    </row>
    <row r="301" spans="14:14" ht="12.75" customHeight="1">
      <c r="N301" s="357"/>
    </row>
    <row r="302" spans="14:14" ht="12.75" customHeight="1">
      <c r="N302" s="357"/>
    </row>
    <row r="303" spans="14:14" ht="12.75" customHeight="1">
      <c r="N303" s="357"/>
    </row>
    <row r="304" spans="14:14" ht="12.75" customHeight="1">
      <c r="N304" s="357"/>
    </row>
    <row r="305" spans="14:14" ht="12.75" customHeight="1">
      <c r="N305" s="357"/>
    </row>
    <row r="306" spans="14:14" ht="12.75" customHeight="1">
      <c r="N306" s="357"/>
    </row>
    <row r="307" spans="14:14" ht="12.75" customHeight="1">
      <c r="N307" s="357"/>
    </row>
    <row r="308" spans="14:14" ht="12.75" customHeight="1">
      <c r="N308" s="357"/>
    </row>
    <row r="309" spans="14:14" ht="12.75" customHeight="1">
      <c r="N309" s="357"/>
    </row>
    <row r="310" spans="14:14" ht="12.75" customHeight="1">
      <c r="N310" s="357"/>
    </row>
    <row r="311" spans="14:14" ht="12.75" customHeight="1">
      <c r="N311" s="357"/>
    </row>
    <row r="312" spans="14:14" ht="12.75" customHeight="1">
      <c r="N312" s="357"/>
    </row>
    <row r="313" spans="14:14" ht="12.75" customHeight="1">
      <c r="N313" s="357"/>
    </row>
    <row r="314" spans="14:14" ht="12.75" customHeight="1">
      <c r="N314" s="357"/>
    </row>
    <row r="315" spans="14:14" ht="12.75" customHeight="1">
      <c r="N315" s="357"/>
    </row>
    <row r="316" spans="14:14" ht="12.75" customHeight="1">
      <c r="N316" s="357"/>
    </row>
    <row r="317" spans="14:14" ht="12.75" customHeight="1">
      <c r="N317" s="357"/>
    </row>
    <row r="318" spans="14:14" ht="12.75" customHeight="1">
      <c r="N318" s="357"/>
    </row>
    <row r="319" spans="14:14" ht="12.75" customHeight="1">
      <c r="N319" s="357"/>
    </row>
    <row r="320" spans="14:14" ht="12.75" customHeight="1">
      <c r="N320" s="357"/>
    </row>
    <row r="321" spans="14:14" ht="12.75" customHeight="1">
      <c r="N321" s="357"/>
    </row>
    <row r="322" spans="14:14" ht="12.75" customHeight="1">
      <c r="N322" s="357"/>
    </row>
    <row r="323" spans="14:14" ht="12.75" customHeight="1">
      <c r="N323" s="357"/>
    </row>
    <row r="324" spans="14:14" ht="12.75" customHeight="1">
      <c r="N324" s="357"/>
    </row>
    <row r="325" spans="14:14" ht="12.75" customHeight="1">
      <c r="N325" s="357"/>
    </row>
    <row r="326" spans="14:14" ht="12.75" customHeight="1">
      <c r="N326" s="357"/>
    </row>
    <row r="327" spans="14:14" ht="12.75" customHeight="1">
      <c r="N327" s="357"/>
    </row>
    <row r="328" spans="14:14" ht="12.75" customHeight="1">
      <c r="N328" s="357"/>
    </row>
    <row r="329" spans="14:14" ht="12.75" customHeight="1">
      <c r="N329" s="357"/>
    </row>
    <row r="330" spans="14:14" ht="12.75" customHeight="1">
      <c r="N330" s="357"/>
    </row>
    <row r="331" spans="14:14" ht="12.75" customHeight="1">
      <c r="N331" s="357"/>
    </row>
    <row r="332" spans="14:14" ht="12.75" customHeight="1">
      <c r="N332" s="357"/>
    </row>
    <row r="333" spans="14:14" ht="12.75" customHeight="1">
      <c r="N333" s="357"/>
    </row>
    <row r="334" spans="14:14" ht="12.75" customHeight="1">
      <c r="N334" s="357"/>
    </row>
    <row r="335" spans="14:14" ht="12.75" customHeight="1">
      <c r="N335" s="357"/>
    </row>
    <row r="336" spans="14:14" ht="12.75" customHeight="1">
      <c r="N336" s="357"/>
    </row>
    <row r="337" spans="14:14" ht="12.75" customHeight="1">
      <c r="N337" s="357"/>
    </row>
    <row r="338" spans="14:14" ht="12.75" customHeight="1">
      <c r="N338" s="357"/>
    </row>
    <row r="339" spans="14:14" ht="12.75" customHeight="1">
      <c r="N339" s="357"/>
    </row>
    <row r="340" spans="14:14" ht="12.75" customHeight="1">
      <c r="N340" s="357"/>
    </row>
    <row r="341" spans="14:14" ht="12.75" customHeight="1">
      <c r="N341" s="357"/>
    </row>
    <row r="342" spans="14:14" ht="12.75" customHeight="1">
      <c r="N342" s="357"/>
    </row>
    <row r="343" spans="14:14" ht="12.75" customHeight="1">
      <c r="N343" s="357"/>
    </row>
    <row r="344" spans="14:14" ht="12.75" customHeight="1">
      <c r="N344" s="357"/>
    </row>
    <row r="345" spans="14:14" ht="12.75" customHeight="1">
      <c r="N345" s="357"/>
    </row>
    <row r="346" spans="14:14" ht="12.75" customHeight="1">
      <c r="N346" s="357"/>
    </row>
    <row r="347" spans="14:14" ht="12.75" customHeight="1">
      <c r="N347" s="357"/>
    </row>
    <row r="348" spans="14:14" ht="12.75" customHeight="1">
      <c r="N348" s="357"/>
    </row>
    <row r="349" spans="14:14" ht="12.75" customHeight="1">
      <c r="N349" s="357"/>
    </row>
    <row r="350" spans="14:14" ht="12.75" customHeight="1">
      <c r="N350" s="357"/>
    </row>
    <row r="351" spans="14:14" ht="12.75" customHeight="1">
      <c r="N351" s="357"/>
    </row>
    <row r="352" spans="14:14" ht="12.75" customHeight="1">
      <c r="N352" s="357"/>
    </row>
    <row r="353" spans="14:14" ht="12.75" customHeight="1">
      <c r="N353" s="357"/>
    </row>
    <row r="354" spans="14:14" ht="12.75" customHeight="1">
      <c r="N354" s="357"/>
    </row>
    <row r="355" spans="14:14" ht="12.75" customHeight="1">
      <c r="N355" s="357"/>
    </row>
    <row r="356" spans="14:14" ht="12.75" customHeight="1">
      <c r="N356" s="357"/>
    </row>
    <row r="357" spans="14:14" ht="12.75" customHeight="1">
      <c r="N357" s="357"/>
    </row>
    <row r="358" spans="14:14" ht="12.75" customHeight="1">
      <c r="N358" s="357"/>
    </row>
    <row r="359" spans="14:14" ht="12.75" customHeight="1">
      <c r="N359" s="357"/>
    </row>
    <row r="360" spans="14:14" ht="12.75" customHeight="1">
      <c r="N360" s="357"/>
    </row>
    <row r="361" spans="14:14" ht="12.75" customHeight="1">
      <c r="N361" s="357"/>
    </row>
    <row r="362" spans="14:14" ht="12.75" customHeight="1">
      <c r="N362" s="357"/>
    </row>
    <row r="363" spans="14:14" ht="12.75" customHeight="1">
      <c r="N363" s="357"/>
    </row>
    <row r="364" spans="14:14" ht="12.75" customHeight="1">
      <c r="N364" s="357"/>
    </row>
    <row r="365" spans="14:14" ht="12.75" customHeight="1">
      <c r="N365" s="357"/>
    </row>
    <row r="366" spans="14:14" ht="12.75" customHeight="1">
      <c r="N366" s="357"/>
    </row>
    <row r="367" spans="14:14" ht="12.75" customHeight="1">
      <c r="N367" s="357"/>
    </row>
    <row r="368" spans="14:14" ht="12.75" customHeight="1">
      <c r="N368" s="357"/>
    </row>
    <row r="369" spans="14:14" ht="12.75" customHeight="1">
      <c r="N369" s="357"/>
    </row>
    <row r="370" spans="14:14" ht="12.75" customHeight="1">
      <c r="N370" s="357"/>
    </row>
    <row r="371" spans="14:14" ht="12.75" customHeight="1">
      <c r="N371" s="357"/>
    </row>
    <row r="372" spans="14:14" ht="12.75" customHeight="1">
      <c r="N372" s="357"/>
    </row>
    <row r="373" spans="14:14" ht="12.75" customHeight="1">
      <c r="N373" s="357"/>
    </row>
    <row r="374" spans="14:14" ht="12.75" customHeight="1">
      <c r="N374" s="357"/>
    </row>
    <row r="375" spans="14:14" ht="12.75" customHeight="1">
      <c r="N375" s="357"/>
    </row>
    <row r="376" spans="14:14" ht="12.75" customHeight="1">
      <c r="N376" s="357"/>
    </row>
    <row r="377" spans="14:14" ht="12.75" customHeight="1">
      <c r="N377" s="357"/>
    </row>
    <row r="378" spans="14:14" ht="12.75" customHeight="1">
      <c r="N378" s="357"/>
    </row>
    <row r="379" spans="14:14" ht="12.75" customHeight="1">
      <c r="N379" s="357"/>
    </row>
    <row r="380" spans="14:14" ht="12.75" customHeight="1">
      <c r="N380" s="357"/>
    </row>
    <row r="381" spans="14:14" ht="12.75" customHeight="1">
      <c r="N381" s="357"/>
    </row>
    <row r="382" spans="14:14" ht="12.75" customHeight="1">
      <c r="N382" s="357"/>
    </row>
    <row r="383" spans="14:14" ht="12.75" customHeight="1">
      <c r="N383" s="357"/>
    </row>
    <row r="384" spans="14:14" ht="12.75" customHeight="1">
      <c r="N384" s="357"/>
    </row>
    <row r="385" spans="14:14" ht="12.75" customHeight="1">
      <c r="N385" s="357"/>
    </row>
    <row r="386" spans="14:14" ht="12.75" customHeight="1">
      <c r="N386" s="357"/>
    </row>
    <row r="387" spans="14:14" ht="12.75" customHeight="1">
      <c r="N387" s="357"/>
    </row>
    <row r="388" spans="14:14" ht="12.75" customHeight="1">
      <c r="N388" s="357"/>
    </row>
    <row r="389" spans="14:14" ht="12.75" customHeight="1">
      <c r="N389" s="357"/>
    </row>
    <row r="390" spans="14:14" ht="12.75" customHeight="1">
      <c r="N390" s="357"/>
    </row>
    <row r="391" spans="14:14" ht="12.75" customHeight="1">
      <c r="N391" s="357"/>
    </row>
    <row r="392" spans="14:14" ht="12.75" customHeight="1">
      <c r="N392" s="357"/>
    </row>
    <row r="393" spans="14:14" ht="12.75" customHeight="1">
      <c r="N393" s="357"/>
    </row>
    <row r="394" spans="14:14" ht="12.75" customHeight="1">
      <c r="N394" s="357"/>
    </row>
    <row r="395" spans="14:14" ht="12.75" customHeight="1">
      <c r="N395" s="357"/>
    </row>
    <row r="396" spans="14:14" ht="12.75" customHeight="1">
      <c r="N396" s="357"/>
    </row>
    <row r="397" spans="14:14" ht="12.75" customHeight="1">
      <c r="N397" s="357"/>
    </row>
    <row r="398" spans="14:14" ht="12.75" customHeight="1">
      <c r="N398" s="357"/>
    </row>
    <row r="399" spans="14:14" ht="12.75" customHeight="1">
      <c r="N399" s="357"/>
    </row>
    <row r="400" spans="14:14" ht="12.75" customHeight="1">
      <c r="N400" s="357"/>
    </row>
    <row r="401" spans="14:14" ht="12.75" customHeight="1">
      <c r="N401" s="357"/>
    </row>
    <row r="402" spans="14:14" ht="12.75" customHeight="1">
      <c r="N402" s="357"/>
    </row>
    <row r="403" spans="14:14" ht="12.75" customHeight="1">
      <c r="N403" s="357"/>
    </row>
    <row r="404" spans="14:14" ht="12.75" customHeight="1">
      <c r="N404" s="357"/>
    </row>
    <row r="405" spans="14:14" ht="12.75" customHeight="1">
      <c r="N405" s="357"/>
    </row>
    <row r="406" spans="14:14" ht="12.75" customHeight="1">
      <c r="N406" s="357"/>
    </row>
    <row r="407" spans="14:14" ht="12.75" customHeight="1">
      <c r="N407" s="357"/>
    </row>
    <row r="408" spans="14:14" ht="12.75" customHeight="1">
      <c r="N408" s="357"/>
    </row>
    <row r="409" spans="14:14" ht="12.75" customHeight="1">
      <c r="N409" s="357"/>
    </row>
    <row r="410" spans="14:14" ht="12.75" customHeight="1">
      <c r="N410" s="357"/>
    </row>
    <row r="411" spans="14:14" ht="12.75" customHeight="1">
      <c r="N411" s="357"/>
    </row>
    <row r="412" spans="14:14" ht="12.75" customHeight="1">
      <c r="N412" s="357"/>
    </row>
    <row r="413" spans="14:14" ht="12.75" customHeight="1">
      <c r="N413" s="357"/>
    </row>
    <row r="414" spans="14:14" ht="12.75" customHeight="1">
      <c r="N414" s="357"/>
    </row>
    <row r="415" spans="14:14" ht="12.75" customHeight="1">
      <c r="N415" s="357"/>
    </row>
    <row r="416" spans="14:14" ht="12.75" customHeight="1">
      <c r="N416" s="357"/>
    </row>
    <row r="417" spans="14:14" ht="12.75" customHeight="1">
      <c r="N417" s="357"/>
    </row>
    <row r="418" spans="14:14" ht="12.75" customHeight="1">
      <c r="N418" s="357"/>
    </row>
    <row r="419" spans="14:14" ht="12.75" customHeight="1">
      <c r="N419" s="357"/>
    </row>
    <row r="420" spans="14:14" ht="12.75" customHeight="1">
      <c r="N420" s="357"/>
    </row>
    <row r="421" spans="14:14" ht="12.75" customHeight="1">
      <c r="N421" s="357"/>
    </row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9" scale="40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4.17578125" style="114" customWidth="1"/>
    <col min="2" max="2" width="12.703125" style="114" customWidth="1"/>
    <col min="3" max="3" width="7.3515625" style="114" customWidth="1"/>
    <col min="4" max="4" width="15.64453125" style="114" customWidth="1"/>
    <col min="5" max="5" width="8.64453125" style="114" customWidth="1"/>
    <col min="6" max="9" width="10" style="114" customWidth="1"/>
    <col min="10" max="12" width="10.17578125" style="114" bestFit="1" customWidth="1"/>
    <col min="13" max="13" width="11.87890625" style="114" customWidth="1"/>
    <col min="14" max="16384" width="9" style="114"/>
  </cols>
  <sheetData>
    <row r="1" spans="1:14" s="131" customFormat="1" ht="14.65">
      <c r="A1" s="130" t="s">
        <v>106</v>
      </c>
      <c r="C1" s="132"/>
      <c r="D1" s="132"/>
      <c r="E1" s="132"/>
      <c r="N1" s="369"/>
    </row>
    <row r="2" spans="1:14" s="131" customFormat="1" ht="14.65">
      <c r="A2" s="130" t="str">
        <f>CompName</f>
        <v>Scottish Power Transmission plc</v>
      </c>
      <c r="C2" s="132"/>
      <c r="D2" s="132"/>
      <c r="E2" s="132"/>
      <c r="N2" s="369"/>
    </row>
    <row r="3" spans="1:14" s="131" customFormat="1">
      <c r="A3" s="133" t="str">
        <f>RegYr</f>
        <v>Regulatory Year ending 31 March 2019</v>
      </c>
      <c r="C3" s="132"/>
      <c r="D3" s="132"/>
      <c r="E3" s="132"/>
      <c r="N3" s="369"/>
    </row>
    <row r="4" spans="1:14" s="131" customFormat="1">
      <c r="A4" s="133"/>
      <c r="C4" s="132"/>
      <c r="D4" s="132"/>
      <c r="E4" s="132"/>
      <c r="N4" s="369"/>
    </row>
    <row r="5" spans="1:14" s="131" customFormat="1">
      <c r="A5" s="133" t="s">
        <v>500</v>
      </c>
      <c r="C5" s="132"/>
      <c r="D5" s="132"/>
      <c r="E5" s="132"/>
      <c r="N5" s="369"/>
    </row>
    <row r="6" spans="1:14" ht="28.5" customHeight="1">
      <c r="A6" s="134" t="s">
        <v>80</v>
      </c>
      <c r="C6" s="107" t="s">
        <v>0</v>
      </c>
      <c r="N6" s="371" t="s">
        <v>97</v>
      </c>
    </row>
    <row r="7" spans="1:14" ht="13.5">
      <c r="B7" s="135"/>
      <c r="C7" s="135"/>
      <c r="D7" s="135"/>
      <c r="E7" s="135"/>
      <c r="F7" s="135"/>
      <c r="G7" s="135"/>
      <c r="H7" s="135"/>
      <c r="I7" s="135"/>
      <c r="N7" s="179"/>
    </row>
    <row r="8" spans="1:14" ht="14.25" customHeight="1">
      <c r="A8" s="123"/>
      <c r="B8" s="120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9"/>
    </row>
    <row r="9" spans="1:14" ht="13.5">
      <c r="B9" s="120"/>
      <c r="C9" s="255"/>
      <c r="F9" s="120"/>
      <c r="G9" s="120"/>
      <c r="H9" s="120"/>
      <c r="I9" s="120"/>
      <c r="N9" s="179"/>
    </row>
    <row r="10" spans="1:14">
      <c r="A10" s="114" t="s">
        <v>11</v>
      </c>
      <c r="B10" s="136" t="s">
        <v>100</v>
      </c>
      <c r="C10" s="255" t="s">
        <v>1</v>
      </c>
      <c r="F10" s="159">
        <f t="shared" ref="F10:M10" si="0">PU</f>
        <v>225.12200000000001</v>
      </c>
      <c r="G10" s="159">
        <f t="shared" si="0"/>
        <v>236.95</v>
      </c>
      <c r="H10" s="159">
        <f t="shared" si="0"/>
        <v>258.63299999999998</v>
      </c>
      <c r="I10" s="159">
        <f t="shared" si="0"/>
        <v>244.655</v>
      </c>
      <c r="J10" s="159">
        <f t="shared" si="0"/>
        <v>249.43899999999999</v>
      </c>
      <c r="K10" s="159">
        <f t="shared" si="0"/>
        <v>253.065</v>
      </c>
      <c r="L10" s="159">
        <f t="shared" si="0"/>
        <v>256.44499999999999</v>
      </c>
      <c r="M10" s="159">
        <f t="shared" si="0"/>
        <v>254.238</v>
      </c>
      <c r="N10" s="178" t="s">
        <v>100</v>
      </c>
    </row>
    <row r="11" spans="1:14">
      <c r="A11" s="114" t="s">
        <v>10</v>
      </c>
      <c r="B11" s="136" t="s">
        <v>283</v>
      </c>
      <c r="C11" s="255" t="s">
        <v>1</v>
      </c>
      <c r="F11" s="232"/>
      <c r="G11" s="159">
        <f t="shared" ref="G11:M11" si="1">MOD</f>
        <v>6.2</v>
      </c>
      <c r="H11" s="159">
        <f t="shared" si="1"/>
        <v>-20.3</v>
      </c>
      <c r="I11" s="159">
        <f t="shared" si="1"/>
        <v>-21.8</v>
      </c>
      <c r="J11" s="159">
        <f t="shared" si="1"/>
        <v>-13.5</v>
      </c>
      <c r="K11" s="159">
        <f t="shared" si="1"/>
        <v>-3.7</v>
      </c>
      <c r="L11" s="159">
        <f t="shared" si="1"/>
        <v>-1.8</v>
      </c>
      <c r="M11" s="159">
        <f t="shared" si="1"/>
        <v>0</v>
      </c>
      <c r="N11" s="178" t="s">
        <v>283</v>
      </c>
    </row>
    <row r="12" spans="1:14">
      <c r="A12" s="114" t="s">
        <v>63</v>
      </c>
      <c r="B12" s="136" t="s">
        <v>327</v>
      </c>
      <c r="C12" s="255" t="s">
        <v>1</v>
      </c>
      <c r="F12" s="232"/>
      <c r="G12" s="159">
        <f t="shared" ref="G12:M12" si="2">G41</f>
        <v>-6.7868323235976205E-2</v>
      </c>
      <c r="H12" s="159">
        <f t="shared" si="2"/>
        <v>0.93388015563242766</v>
      </c>
      <c r="I12" s="159">
        <f t="shared" si="2"/>
        <v>-3.5950641912196613</v>
      </c>
      <c r="J12" s="159">
        <f t="shared" si="2"/>
        <v>-5.2612549854367385</v>
      </c>
      <c r="K12" s="159">
        <f t="shared" si="2"/>
        <v>-0.89137920079734256</v>
      </c>
      <c r="L12" s="159">
        <f t="shared" si="2"/>
        <v>0.59620787798205321</v>
      </c>
      <c r="M12" s="159">
        <f t="shared" si="2"/>
        <v>-0.82671188498106396</v>
      </c>
      <c r="N12" s="178" t="s">
        <v>327</v>
      </c>
    </row>
    <row r="13" spans="1:14">
      <c r="A13" s="114" t="s">
        <v>54</v>
      </c>
      <c r="B13" s="136" t="s">
        <v>109</v>
      </c>
      <c r="C13" s="255" t="s">
        <v>110</v>
      </c>
      <c r="F13" s="159">
        <f t="shared" ref="F13:M13" si="3">RPIF</f>
        <v>1.163</v>
      </c>
      <c r="G13" s="159">
        <f t="shared" si="3"/>
        <v>1.2050000000000001</v>
      </c>
      <c r="H13" s="159">
        <f t="shared" si="3"/>
        <v>1.2270000000000001</v>
      </c>
      <c r="I13" s="159">
        <f t="shared" si="3"/>
        <v>1.2330000000000001</v>
      </c>
      <c r="J13" s="159">
        <f t="shared" si="3"/>
        <v>1.2709999999999999</v>
      </c>
      <c r="K13" s="159">
        <f t="shared" si="3"/>
        <v>1.3140000000000001</v>
      </c>
      <c r="L13" s="159">
        <f t="shared" si="3"/>
        <v>1.3580000000000001</v>
      </c>
      <c r="M13" s="159">
        <f t="shared" si="3"/>
        <v>1.31</v>
      </c>
      <c r="N13" s="178" t="s">
        <v>109</v>
      </c>
    </row>
    <row r="14" spans="1:14">
      <c r="A14" s="114" t="s">
        <v>8</v>
      </c>
      <c r="B14" s="136" t="s">
        <v>296</v>
      </c>
      <c r="C14" s="255" t="s">
        <v>1</v>
      </c>
      <c r="F14" s="305">
        <f>SUM(F10:F12)*F13</f>
        <v>261.81688600000001</v>
      </c>
      <c r="G14" s="305">
        <f t="shared" ref="G14:M14" si="4">SUM(G10:G12)*G13</f>
        <v>292.91396867050065</v>
      </c>
      <c r="H14" s="305">
        <f t="shared" si="4"/>
        <v>293.58046195096097</v>
      </c>
      <c r="I14" s="305">
        <f t="shared" si="4"/>
        <v>270.34750085222618</v>
      </c>
      <c r="J14" s="233">
        <f t="shared" si="4"/>
        <v>293.19141391350985</v>
      </c>
      <c r="K14" s="233">
        <f t="shared" si="4"/>
        <v>326.49433773015232</v>
      </c>
      <c r="L14" s="233">
        <f t="shared" si="4"/>
        <v>346.61756029829962</v>
      </c>
      <c r="M14" s="233">
        <f t="shared" si="4"/>
        <v>331.96878743067481</v>
      </c>
      <c r="N14" s="178" t="s">
        <v>296</v>
      </c>
    </row>
    <row r="15" spans="1:14">
      <c r="C15" s="255"/>
      <c r="F15" s="123"/>
      <c r="G15" s="123"/>
      <c r="H15" s="123"/>
      <c r="I15" s="123"/>
      <c r="N15" s="179"/>
    </row>
    <row r="16" spans="1:14">
      <c r="C16" s="255"/>
      <c r="N16" s="179"/>
    </row>
    <row r="17" spans="1:14" ht="17.649999999999999">
      <c r="A17" s="116" t="s">
        <v>434</v>
      </c>
      <c r="C17" s="255"/>
      <c r="F17" s="134" t="s">
        <v>81</v>
      </c>
      <c r="K17" s="123"/>
      <c r="N17" s="179"/>
    </row>
    <row r="18" spans="1:14">
      <c r="C18" s="255"/>
      <c r="N18" s="179"/>
    </row>
    <row r="19" spans="1:14">
      <c r="C19" s="256"/>
      <c r="D19" s="139"/>
      <c r="E19" s="139"/>
      <c r="N19" s="179"/>
    </row>
    <row r="20" spans="1:14" ht="14.25">
      <c r="C20" s="255"/>
      <c r="D20" s="117">
        <v>2012</v>
      </c>
      <c r="E20" s="117">
        <v>2013</v>
      </c>
      <c r="F20" s="117">
        <v>2014</v>
      </c>
      <c r="G20" s="117">
        <v>2015</v>
      </c>
      <c r="H20" s="117">
        <v>2016</v>
      </c>
      <c r="I20" s="117">
        <v>2017</v>
      </c>
      <c r="J20" s="117">
        <v>2018</v>
      </c>
      <c r="K20" s="117">
        <v>2019</v>
      </c>
      <c r="L20" s="117">
        <v>2020</v>
      </c>
      <c r="M20" s="117">
        <v>2021</v>
      </c>
      <c r="N20" s="179"/>
    </row>
    <row r="21" spans="1:14">
      <c r="B21" s="114" t="s">
        <v>328</v>
      </c>
      <c r="C21" s="255" t="s">
        <v>98</v>
      </c>
      <c r="D21" s="231">
        <f t="shared" ref="D21:M21" si="5">RPIA</f>
        <v>1.1000000000000001</v>
      </c>
      <c r="E21" s="231">
        <f t="shared" si="5"/>
        <v>1.1339999999999999</v>
      </c>
      <c r="F21" s="231">
        <f t="shared" si="5"/>
        <v>1.167</v>
      </c>
      <c r="G21" s="231">
        <f t="shared" si="5"/>
        <v>1.19</v>
      </c>
      <c r="H21" s="231">
        <f t="shared" si="5"/>
        <v>1.202</v>
      </c>
      <c r="I21" s="231">
        <f t="shared" si="5"/>
        <v>1.228</v>
      </c>
      <c r="J21" s="231">
        <f t="shared" si="5"/>
        <v>1.274</v>
      </c>
      <c r="K21" s="231">
        <f t="shared" si="5"/>
        <v>1.31</v>
      </c>
      <c r="L21" s="231">
        <f t="shared" si="5"/>
        <v>1.3460000000000001</v>
      </c>
      <c r="M21" s="231">
        <f t="shared" si="5"/>
        <v>1.3839999999999999</v>
      </c>
      <c r="N21" s="178" t="s">
        <v>116</v>
      </c>
    </row>
    <row r="22" spans="1:14">
      <c r="B22" s="114" t="s">
        <v>329</v>
      </c>
      <c r="C22" s="114" t="s">
        <v>158</v>
      </c>
      <c r="E22" s="129">
        <f>0.75*'R5 Input page'!D16+0.25*'R5 Input page'!E16</f>
        <v>0.03</v>
      </c>
      <c r="F22" s="129">
        <f>0.75*'R5 Input page'!E16+0.25*'R5 Input page'!F16</f>
        <v>2.6500000000000003E-2</v>
      </c>
      <c r="G22" s="230"/>
      <c r="H22" s="230"/>
      <c r="I22" s="230"/>
      <c r="J22" s="230"/>
      <c r="K22" s="230"/>
      <c r="L22" s="230"/>
      <c r="M22" s="230"/>
      <c r="N22" s="179"/>
    </row>
    <row r="23" spans="1:14">
      <c r="B23" s="114" t="s">
        <v>329</v>
      </c>
      <c r="C23" s="114" t="s">
        <v>159</v>
      </c>
      <c r="E23" s="230"/>
      <c r="F23" s="129">
        <f>0.75*'R5 Input page'!E17+0.25*'R5 Input page'!F17</f>
        <v>3.1E-2</v>
      </c>
      <c r="G23" s="129">
        <f>0.75*'R5 Input page'!F17+0.25*'R5 Input page'!G17</f>
        <v>3.075E-2</v>
      </c>
      <c r="H23" s="230"/>
      <c r="I23" s="230"/>
      <c r="J23" s="230"/>
      <c r="K23" s="230"/>
      <c r="L23" s="230"/>
      <c r="M23" s="230"/>
      <c r="N23" s="179"/>
    </row>
    <row r="24" spans="1:14">
      <c r="B24" s="114" t="s">
        <v>329</v>
      </c>
      <c r="C24" s="114" t="s">
        <v>160</v>
      </c>
      <c r="E24" s="230"/>
      <c r="F24" s="230"/>
      <c r="G24" s="306">
        <f>0.75*'R5 Input page'!F18+0.25*'R5 Input page'!G18</f>
        <v>2.4750000000000001E-2</v>
      </c>
      <c r="H24" s="306">
        <f>0.75*'R5 Input page'!G18+0.25*'R5 Input page'!H18</f>
        <v>2.6000000000000002E-2</v>
      </c>
      <c r="I24" s="307"/>
      <c r="J24" s="307"/>
      <c r="K24" s="307"/>
      <c r="L24" s="307"/>
      <c r="M24" s="307"/>
      <c r="N24" s="179"/>
    </row>
    <row r="25" spans="1:14">
      <c r="B25" s="114" t="s">
        <v>329</v>
      </c>
      <c r="C25" s="114" t="s">
        <v>161</v>
      </c>
      <c r="E25" s="230"/>
      <c r="F25" s="230"/>
      <c r="G25" s="307"/>
      <c r="H25" s="306">
        <f>0.75*'R5 Input page'!G19+0.25*'R5 Input page'!H19</f>
        <v>1.2750000000000001E-2</v>
      </c>
      <c r="I25" s="306">
        <f>0.75*'R5 Input page'!H19+0.25*'R5 Input page'!I19</f>
        <v>2.325E-2</v>
      </c>
      <c r="J25" s="307"/>
      <c r="K25" s="307"/>
      <c r="L25" s="307"/>
      <c r="M25" s="307"/>
      <c r="N25" s="179"/>
    </row>
    <row r="26" spans="1:14">
      <c r="B26" s="114" t="s">
        <v>329</v>
      </c>
      <c r="C26" s="114" t="s">
        <v>162</v>
      </c>
      <c r="E26" s="230"/>
      <c r="F26" s="230"/>
      <c r="G26" s="307"/>
      <c r="H26" s="307"/>
      <c r="I26" s="306">
        <f>0.75*'R5 Input page'!H20+0.25*'R5 Input page'!I20</f>
        <v>2.2249999999999999E-2</v>
      </c>
      <c r="J26" s="306">
        <f>0.75*'R5 Input page'!I20+0.25*'R5 Input page'!J20</f>
        <v>3.4000000000000002E-2</v>
      </c>
      <c r="K26" s="307"/>
      <c r="L26" s="307"/>
      <c r="M26" s="307"/>
      <c r="N26" s="179"/>
    </row>
    <row r="27" spans="1:14">
      <c r="B27" s="114" t="s">
        <v>329</v>
      </c>
      <c r="C27" s="114" t="s">
        <v>163</v>
      </c>
      <c r="E27" s="230"/>
      <c r="F27" s="230"/>
      <c r="G27" s="307"/>
      <c r="H27" s="307"/>
      <c r="I27" s="307"/>
      <c r="J27" s="306">
        <f>0.75*'R5 Input page'!I21+0.25*'R5 Input page'!J21</f>
        <v>3.5499999999999997E-2</v>
      </c>
      <c r="K27" s="306">
        <f>0.75*'R5 Input page'!J21+0.25*'R5 Input page'!K21</f>
        <v>3.3250000000000002E-2</v>
      </c>
      <c r="L27" s="307"/>
      <c r="M27" s="307"/>
      <c r="N27" s="179"/>
    </row>
    <row r="28" spans="1:14">
      <c r="B28" s="114" t="s">
        <v>329</v>
      </c>
      <c r="C28" s="114" t="s">
        <v>164</v>
      </c>
      <c r="E28" s="230"/>
      <c r="F28" s="230"/>
      <c r="G28" s="307"/>
      <c r="H28" s="307"/>
      <c r="I28" s="307"/>
      <c r="J28" s="307"/>
      <c r="K28" s="306">
        <f>0.75*'R5 Input page'!J22+0.25*'R5 Input page'!K22</f>
        <v>3.3500000000000002E-2</v>
      </c>
      <c r="L28" s="306">
        <f>0.75*'R5 Input page'!K22+0.25*'R5 Input page'!L22</f>
        <v>3.175E-2</v>
      </c>
      <c r="M28" s="307"/>
      <c r="N28" s="179"/>
    </row>
    <row r="29" spans="1:14">
      <c r="B29" s="114" t="s">
        <v>329</v>
      </c>
      <c r="C29" s="114" t="s">
        <v>165</v>
      </c>
      <c r="E29" s="230"/>
      <c r="F29" s="230"/>
      <c r="G29" s="307"/>
      <c r="H29" s="307"/>
      <c r="I29" s="307"/>
      <c r="J29" s="307"/>
      <c r="K29" s="307"/>
      <c r="L29" s="306">
        <f>0.75*'R5 Input page'!K23+0.25*'R5 Input page'!L23</f>
        <v>0</v>
      </c>
      <c r="M29" s="306">
        <f>0.75*'R5 Input page'!L23+0.25*'R5 Input page'!M23</f>
        <v>0</v>
      </c>
      <c r="N29" s="179"/>
    </row>
    <row r="30" spans="1:14">
      <c r="B30" s="114" t="s">
        <v>330</v>
      </c>
      <c r="E30" s="359">
        <v>1.1344000000000001</v>
      </c>
      <c r="F30" s="231">
        <f>ROUND(D21*(1+$E$22)*(1+$F$22),3)</f>
        <v>1.163</v>
      </c>
      <c r="G30" s="231">
        <f>ROUND(E21*(1+$F$23)*(1+$G$23),3)</f>
        <v>1.2050000000000001</v>
      </c>
      <c r="H30" s="231">
        <f>ROUND(F21*(1+$G$24)*(1+$H$24),3)</f>
        <v>1.2270000000000001</v>
      </c>
      <c r="I30" s="231">
        <f>ROUND(G21*(1+$H$25)*(1+$I$25),3)</f>
        <v>1.2330000000000001</v>
      </c>
      <c r="J30" s="231">
        <f>ROUND(H21*(1+$I$26)*(1+$J$26),3)</f>
        <v>1.2709999999999999</v>
      </c>
      <c r="K30" s="231">
        <f>ROUND(I21*(1+$J$27)*(1+$K$27),3)</f>
        <v>1.3140000000000001</v>
      </c>
      <c r="L30" s="231">
        <f>ROUND(J21*(1+$K$28)*(1+$L$28),3)</f>
        <v>1.3580000000000001</v>
      </c>
      <c r="M30" s="231">
        <f>ROUND(K21*(1+$L$29)*(1+$M$29),3)</f>
        <v>1.31</v>
      </c>
      <c r="N30" s="372" t="s">
        <v>109</v>
      </c>
    </row>
    <row r="31" spans="1:14">
      <c r="G31" s="123"/>
      <c r="H31" s="123"/>
      <c r="I31" s="123"/>
      <c r="N31" s="179"/>
    </row>
    <row r="32" spans="1:14">
      <c r="N32" s="179"/>
    </row>
    <row r="33" spans="1:14">
      <c r="N33" s="179"/>
    </row>
    <row r="34" spans="1:14">
      <c r="A34" s="116" t="s">
        <v>31</v>
      </c>
      <c r="N34" s="179"/>
    </row>
    <row r="35" spans="1:14">
      <c r="A35" s="116" t="s">
        <v>435</v>
      </c>
      <c r="M35" s="123"/>
      <c r="N35" s="179"/>
    </row>
    <row r="36" spans="1:14">
      <c r="N36" s="179"/>
    </row>
    <row r="37" spans="1:14">
      <c r="C37" s="255"/>
      <c r="N37" s="179"/>
    </row>
    <row r="38" spans="1:14" ht="14.25">
      <c r="C38" s="255"/>
      <c r="E38" s="117">
        <v>2013</v>
      </c>
      <c r="F38" s="117">
        <v>2014</v>
      </c>
      <c r="G38" s="117">
        <v>2015</v>
      </c>
      <c r="H38" s="117">
        <v>2016</v>
      </c>
      <c r="I38" s="117">
        <v>2017</v>
      </c>
      <c r="J38" s="117">
        <v>2018</v>
      </c>
      <c r="K38" s="117">
        <v>2019</v>
      </c>
      <c r="L38" s="117">
        <v>2020</v>
      </c>
      <c r="M38" s="117">
        <v>2021</v>
      </c>
      <c r="N38" s="179"/>
    </row>
    <row r="39" spans="1:14">
      <c r="A39" s="114" t="s">
        <v>32</v>
      </c>
      <c r="B39" s="114" t="s">
        <v>331</v>
      </c>
      <c r="C39" s="255" t="s">
        <v>1</v>
      </c>
      <c r="E39" s="159">
        <f>E59</f>
        <v>175.33582510578276</v>
      </c>
      <c r="F39" s="159">
        <f t="shared" ref="F39:M39" si="6">REV</f>
        <v>248.52340161650903</v>
      </c>
      <c r="G39" s="159">
        <f t="shared" si="6"/>
        <v>260.674819676764</v>
      </c>
      <c r="H39" s="159">
        <f t="shared" si="6"/>
        <v>231.62196976108692</v>
      </c>
      <c r="I39" s="159">
        <f t="shared" si="6"/>
        <v>200.80066819580566</v>
      </c>
      <c r="J39" s="159">
        <f t="shared" si="6"/>
        <v>232.81045580956322</v>
      </c>
      <c r="K39" s="159">
        <f t="shared" si="6"/>
        <v>249.79337571220267</v>
      </c>
      <c r="L39" s="159">
        <f t="shared" si="6"/>
        <v>255.73600607131539</v>
      </c>
      <c r="M39" s="159">
        <f t="shared" si="6"/>
        <v>248.44130656390783</v>
      </c>
      <c r="N39" s="178" t="s">
        <v>331</v>
      </c>
    </row>
    <row r="40" spans="1:14">
      <c r="A40" s="114" t="s">
        <v>33</v>
      </c>
      <c r="B40" s="114" t="s">
        <v>120</v>
      </c>
      <c r="C40" s="276" t="s">
        <v>110</v>
      </c>
      <c r="E40" s="234">
        <f>E85</f>
        <v>1.0475000000000001</v>
      </c>
      <c r="F40" s="234">
        <f>F85</f>
        <v>1.0476000000000001</v>
      </c>
      <c r="G40" s="234">
        <f t="shared" ref="G40:M40" si="7">G85</f>
        <v>1.0465</v>
      </c>
      <c r="H40" s="234">
        <f t="shared" si="7"/>
        <v>1.0455000000000001</v>
      </c>
      <c r="I40" s="234">
        <f t="shared" si="7"/>
        <v>1.0446</v>
      </c>
      <c r="J40" s="234">
        <f t="shared" si="7"/>
        <v>1.0437000000000001</v>
      </c>
      <c r="K40" s="234">
        <f t="shared" si="7"/>
        <v>1.042</v>
      </c>
      <c r="L40" s="234">
        <f t="shared" si="7"/>
        <v>1.0402</v>
      </c>
      <c r="M40" s="234">
        <f t="shared" si="7"/>
        <v>1.0402</v>
      </c>
      <c r="N40" s="372" t="s">
        <v>120</v>
      </c>
    </row>
    <row r="41" spans="1:14">
      <c r="A41" s="114" t="s">
        <v>63</v>
      </c>
      <c r="B41" s="136" t="s">
        <v>327</v>
      </c>
      <c r="C41" s="276" t="s">
        <v>1</v>
      </c>
      <c r="E41" s="232"/>
      <c r="F41" s="232"/>
      <c r="G41" s="328">
        <f>IFERROR(((E$21-E$30)/E$21)*E$39*E$40*F$40,"ERROR")</f>
        <v>-6.7868323235976205E-2</v>
      </c>
      <c r="H41" s="235">
        <f>IFERROR(((F$21-F$30)/F$21)*F$39*F$40*G$40,"ERROR")</f>
        <v>0.93388015563242766</v>
      </c>
      <c r="I41" s="235">
        <f t="shared" ref="I41:M41" si="8">IFERROR(((G$21-G$30)/G$21)*G$39*G$40*H$40,"ERROR")</f>
        <v>-3.5950641912196613</v>
      </c>
      <c r="J41" s="235">
        <f t="shared" si="8"/>
        <v>-5.2612549854367385</v>
      </c>
      <c r="K41" s="235">
        <f t="shared" si="8"/>
        <v>-0.89137920079734256</v>
      </c>
      <c r="L41" s="235">
        <f t="shared" si="8"/>
        <v>0.59620787798205321</v>
      </c>
      <c r="M41" s="235">
        <f t="shared" si="8"/>
        <v>-0.82671188498106396</v>
      </c>
      <c r="N41" s="178" t="s">
        <v>327</v>
      </c>
    </row>
    <row r="42" spans="1:14">
      <c r="C42" s="255"/>
      <c r="F42" s="123"/>
      <c r="G42" s="123"/>
      <c r="H42" s="123"/>
      <c r="I42" s="123"/>
      <c r="N42" s="179"/>
    </row>
    <row r="43" spans="1:14">
      <c r="C43" s="255"/>
      <c r="N43" s="179"/>
    </row>
    <row r="44" spans="1:14">
      <c r="B44" s="123"/>
      <c r="C44" s="255"/>
      <c r="N44" s="179"/>
    </row>
    <row r="45" spans="1:14">
      <c r="B45" s="123"/>
      <c r="C45" s="255"/>
      <c r="N45" s="179"/>
    </row>
    <row r="46" spans="1:14">
      <c r="A46" s="116" t="s">
        <v>246</v>
      </c>
      <c r="B46" s="123"/>
      <c r="C46" s="255"/>
      <c r="N46" s="179"/>
    </row>
    <row r="47" spans="1:14">
      <c r="A47" s="116"/>
      <c r="B47" s="123"/>
      <c r="C47" s="255"/>
      <c r="N47" s="179"/>
    </row>
    <row r="48" spans="1:14">
      <c r="A48" s="116" t="s">
        <v>470</v>
      </c>
      <c r="B48" s="123"/>
      <c r="C48" s="255"/>
      <c r="N48" s="179"/>
    </row>
    <row r="49" spans="1:14">
      <c r="A49" s="116"/>
      <c r="B49" s="123"/>
      <c r="C49" s="255"/>
      <c r="D49" s="114" t="s">
        <v>437</v>
      </c>
      <c r="N49" s="179"/>
    </row>
    <row r="50" spans="1:14">
      <c r="A50" s="116"/>
      <c r="B50" s="123"/>
      <c r="C50" s="257"/>
      <c r="N50" s="179"/>
    </row>
    <row r="51" spans="1:14">
      <c r="A51" s="116"/>
      <c r="B51" s="123"/>
      <c r="C51" s="255"/>
      <c r="N51" s="179"/>
    </row>
    <row r="52" spans="1:14" ht="14.25">
      <c r="A52" s="116"/>
      <c r="B52" s="136"/>
      <c r="C52" s="255"/>
      <c r="E52" s="117">
        <v>2013</v>
      </c>
      <c r="F52" s="287"/>
      <c r="N52" s="179"/>
    </row>
    <row r="53" spans="1:14">
      <c r="A53" s="140" t="s">
        <v>438</v>
      </c>
      <c r="B53" s="136" t="s">
        <v>439</v>
      </c>
      <c r="C53" s="277" t="s">
        <v>1</v>
      </c>
      <c r="E53" s="190">
        <f>'R5 Input page'!E32</f>
        <v>200.79</v>
      </c>
      <c r="F53" s="236"/>
      <c r="N53" s="179"/>
    </row>
    <row r="54" spans="1:14" ht="24.75">
      <c r="A54" s="237" t="s">
        <v>440</v>
      </c>
      <c r="B54" s="136" t="s">
        <v>441</v>
      </c>
      <c r="C54" s="277" t="s">
        <v>1</v>
      </c>
      <c r="E54" s="190">
        <f>'R5 Input page'!E35</f>
        <v>0.91</v>
      </c>
      <c r="F54" s="236"/>
      <c r="N54" s="179"/>
    </row>
    <row r="55" spans="1:14">
      <c r="A55" s="114" t="s">
        <v>442</v>
      </c>
      <c r="B55" s="136" t="s">
        <v>443</v>
      </c>
      <c r="C55" s="277" t="s">
        <v>1</v>
      </c>
      <c r="E55" s="190">
        <f>'R5 Input page'!E37</f>
        <v>17.760000000000002</v>
      </c>
      <c r="F55" s="236"/>
      <c r="N55" s="179"/>
    </row>
    <row r="56" spans="1:14" ht="24.75">
      <c r="A56" s="238" t="s">
        <v>444</v>
      </c>
      <c r="B56" s="136" t="s">
        <v>445</v>
      </c>
      <c r="C56" s="277" t="s">
        <v>1</v>
      </c>
      <c r="E56" s="190">
        <f>'R5 Input page'!E36</f>
        <v>6.78</v>
      </c>
      <c r="F56" s="236"/>
      <c r="G56" s="123"/>
      <c r="N56" s="179"/>
    </row>
    <row r="57" spans="1:14">
      <c r="A57" s="114" t="s">
        <v>446</v>
      </c>
      <c r="B57" s="136" t="s">
        <v>447</v>
      </c>
      <c r="C57" s="277" t="s">
        <v>110</v>
      </c>
      <c r="E57" s="190">
        <f>RPIF</f>
        <v>1.1344000000000001</v>
      </c>
      <c r="F57" s="236"/>
      <c r="N57" s="179"/>
    </row>
    <row r="58" spans="1:14">
      <c r="A58" s="140" t="s">
        <v>448</v>
      </c>
      <c r="B58" s="136" t="s">
        <v>449</v>
      </c>
      <c r="C58" s="277" t="s">
        <v>1</v>
      </c>
      <c r="E58" s="190">
        <f>'R5 Input page'!E38</f>
        <v>24.1</v>
      </c>
      <c r="F58" s="236"/>
      <c r="N58" s="179"/>
    </row>
    <row r="59" spans="1:14">
      <c r="A59" s="116"/>
      <c r="B59" s="136" t="s">
        <v>331</v>
      </c>
      <c r="C59" s="277" t="s">
        <v>1</v>
      </c>
      <c r="E59" s="239">
        <f>((E53+E54+E55+E56)/E57)-E58</f>
        <v>175.33582510578276</v>
      </c>
      <c r="N59" s="179"/>
    </row>
    <row r="60" spans="1:14">
      <c r="A60" s="116"/>
      <c r="B60" s="123"/>
      <c r="C60" s="255"/>
      <c r="E60" s="123"/>
      <c r="N60" s="179"/>
    </row>
    <row r="61" spans="1:14">
      <c r="A61" s="116"/>
      <c r="B61" s="123"/>
      <c r="C61" s="255"/>
      <c r="N61" s="179"/>
    </row>
    <row r="62" spans="1:14">
      <c r="A62" s="116"/>
      <c r="B62" s="123"/>
      <c r="C62" s="255"/>
      <c r="N62" s="179"/>
    </row>
    <row r="63" spans="1:14">
      <c r="A63" s="116"/>
      <c r="B63" s="123"/>
      <c r="C63" s="255"/>
      <c r="D63" s="114" t="s">
        <v>457</v>
      </c>
      <c r="N63" s="179"/>
    </row>
    <row r="64" spans="1:14">
      <c r="B64" s="123"/>
      <c r="C64" s="255"/>
      <c r="F64" s="123"/>
      <c r="N64" s="179"/>
    </row>
    <row r="65" spans="1:14">
      <c r="B65" s="123"/>
      <c r="C65" s="255"/>
      <c r="N65" s="179"/>
    </row>
    <row r="66" spans="1:14">
      <c r="A66" s="116" t="s">
        <v>436</v>
      </c>
      <c r="B66" s="123"/>
      <c r="C66" s="255"/>
      <c r="E66" s="123"/>
      <c r="N66" s="179"/>
    </row>
    <row r="67" spans="1:14">
      <c r="B67" s="123"/>
      <c r="C67" s="255"/>
      <c r="N67" s="179"/>
    </row>
    <row r="68" spans="1:14" ht="14.25">
      <c r="B68" s="123"/>
      <c r="C68" s="255"/>
      <c r="E68" s="117">
        <v>2013</v>
      </c>
      <c r="F68" s="117">
        <v>2014</v>
      </c>
      <c r="G68" s="117">
        <v>2015</v>
      </c>
      <c r="H68" s="117">
        <v>2016</v>
      </c>
      <c r="I68" s="117">
        <v>2017</v>
      </c>
      <c r="J68" s="117">
        <v>2018</v>
      </c>
      <c r="K68" s="117">
        <v>2019</v>
      </c>
      <c r="L68" s="117">
        <v>2020</v>
      </c>
      <c r="M68" s="117">
        <v>2021</v>
      </c>
      <c r="N68" s="179"/>
    </row>
    <row r="69" spans="1:14">
      <c r="A69" s="114" t="s">
        <v>8</v>
      </c>
      <c r="B69" s="136" t="s">
        <v>450</v>
      </c>
      <c r="C69" s="255" t="s">
        <v>1</v>
      </c>
      <c r="E69" s="287"/>
      <c r="F69" s="190">
        <f t="shared" ref="F69:M69" si="9">BR</f>
        <v>261.81688600000001</v>
      </c>
      <c r="G69" s="190">
        <f t="shared" si="9"/>
        <v>292.91396867050065</v>
      </c>
      <c r="H69" s="190">
        <f t="shared" si="9"/>
        <v>293.58046195096097</v>
      </c>
      <c r="I69" s="190">
        <f t="shared" si="9"/>
        <v>270.34750085222618</v>
      </c>
      <c r="J69" s="190">
        <f t="shared" si="9"/>
        <v>293.19141391350985</v>
      </c>
      <c r="K69" s="190">
        <f t="shared" si="9"/>
        <v>326.49433773015232</v>
      </c>
      <c r="L69" s="190">
        <f t="shared" si="9"/>
        <v>346.61756029829962</v>
      </c>
      <c r="M69" s="190">
        <f t="shared" si="9"/>
        <v>331.96878743067481</v>
      </c>
      <c r="N69" s="178" t="s">
        <v>296</v>
      </c>
    </row>
    <row r="70" spans="1:14">
      <c r="A70" s="114" t="s">
        <v>13</v>
      </c>
      <c r="B70" s="136" t="s">
        <v>451</v>
      </c>
      <c r="C70" s="255" t="s">
        <v>1</v>
      </c>
      <c r="E70" s="287"/>
      <c r="F70" s="241"/>
      <c r="G70" s="294"/>
      <c r="H70" s="190">
        <f t="shared" ref="H70:M70" si="10">RBt</f>
        <v>-32.418754657380006</v>
      </c>
      <c r="I70" s="190">
        <f t="shared" si="10"/>
        <v>-32.51197774597501</v>
      </c>
      <c r="J70" s="190">
        <f t="shared" si="10"/>
        <v>-33.453121801230004</v>
      </c>
      <c r="K70" s="190">
        <f t="shared" si="10"/>
        <v>-34.525351815948007</v>
      </c>
      <c r="L70" s="190">
        <f t="shared" si="10"/>
        <v>-35.592641064120002</v>
      </c>
      <c r="M70" s="190">
        <f t="shared" si="10"/>
        <v>-34.219440676400005</v>
      </c>
      <c r="N70" s="178" t="s">
        <v>325</v>
      </c>
    </row>
    <row r="71" spans="1:14" hidden="1">
      <c r="B71" s="136"/>
      <c r="C71" s="258"/>
      <c r="D71" s="136"/>
      <c r="E71" s="287"/>
      <c r="F71" s="242"/>
      <c r="G71" s="295"/>
      <c r="H71" s="242"/>
      <c r="I71" s="242"/>
      <c r="J71" s="242"/>
      <c r="K71" s="242"/>
      <c r="L71" s="242"/>
      <c r="M71" s="242"/>
      <c r="N71" s="178"/>
    </row>
    <row r="72" spans="1:14">
      <c r="A72" s="114" t="s">
        <v>15</v>
      </c>
      <c r="B72" s="136" t="s">
        <v>452</v>
      </c>
      <c r="C72" s="255" t="s">
        <v>1</v>
      </c>
      <c r="E72" s="287"/>
      <c r="F72" s="241"/>
      <c r="G72" s="190">
        <f t="shared" ref="G72:M72" si="11">TPD</f>
        <v>0</v>
      </c>
      <c r="H72" s="190">
        <f t="shared" si="11"/>
        <v>0</v>
      </c>
      <c r="I72" s="190">
        <f t="shared" si="11"/>
        <v>0</v>
      </c>
      <c r="J72" s="190">
        <f t="shared" si="11"/>
        <v>0</v>
      </c>
      <c r="K72" s="190">
        <f t="shared" si="11"/>
        <v>0</v>
      </c>
      <c r="L72" s="190">
        <f t="shared" si="11"/>
        <v>0</v>
      </c>
      <c r="M72" s="190">
        <f t="shared" si="11"/>
        <v>0</v>
      </c>
      <c r="N72" s="178" t="s">
        <v>123</v>
      </c>
    </row>
    <row r="73" spans="1:14" hidden="1">
      <c r="B73" s="136"/>
      <c r="C73" s="255"/>
      <c r="E73" s="287"/>
      <c r="F73" s="241"/>
      <c r="G73" s="294"/>
      <c r="H73" s="241"/>
      <c r="I73" s="241"/>
      <c r="J73" s="241"/>
      <c r="K73" s="241"/>
      <c r="L73" s="241"/>
      <c r="M73" s="241"/>
      <c r="N73" s="178"/>
    </row>
    <row r="74" spans="1:14">
      <c r="A74" s="114" t="s">
        <v>21</v>
      </c>
      <c r="B74" s="114" t="s">
        <v>18</v>
      </c>
      <c r="C74" s="255" t="s">
        <v>1</v>
      </c>
      <c r="E74" s="287"/>
      <c r="F74" s="241"/>
      <c r="G74" s="294"/>
      <c r="H74" s="190">
        <f t="shared" ref="H74:M74" si="12">SFI</f>
        <v>0</v>
      </c>
      <c r="I74" s="190">
        <f t="shared" si="12"/>
        <v>0</v>
      </c>
      <c r="J74" s="190">
        <f t="shared" si="12"/>
        <v>0</v>
      </c>
      <c r="K74" s="190">
        <f t="shared" si="12"/>
        <v>0</v>
      </c>
      <c r="L74" s="190">
        <f t="shared" si="12"/>
        <v>0</v>
      </c>
      <c r="M74" s="190">
        <f t="shared" si="12"/>
        <v>0</v>
      </c>
      <c r="N74" s="178" t="s">
        <v>215</v>
      </c>
    </row>
    <row r="75" spans="1:14">
      <c r="A75" s="114" t="s">
        <v>249</v>
      </c>
      <c r="B75" s="136" t="s">
        <v>453</v>
      </c>
      <c r="C75" s="255" t="s">
        <v>1</v>
      </c>
      <c r="E75" s="287"/>
      <c r="F75" s="190">
        <f t="shared" ref="F75:M75" si="13">RI</f>
        <v>1.0039499999999999</v>
      </c>
      <c r="G75" s="294"/>
      <c r="H75" s="190">
        <f t="shared" si="13"/>
        <v>3.1445685392727274</v>
      </c>
      <c r="I75" s="190">
        <f t="shared" si="13"/>
        <v>3.0737727791772151</v>
      </c>
      <c r="J75" s="190">
        <f t="shared" si="13"/>
        <v>3.1232167656750001</v>
      </c>
      <c r="K75" s="190">
        <f t="shared" si="13"/>
        <v>3.2233212276300001</v>
      </c>
      <c r="L75" s="190">
        <f t="shared" si="13"/>
        <v>3.2819401626666678</v>
      </c>
      <c r="M75" s="190">
        <f t="shared" si="13"/>
        <v>3.1553195644444445</v>
      </c>
      <c r="N75" s="178" t="s">
        <v>248</v>
      </c>
    </row>
    <row r="76" spans="1:14">
      <c r="A76" s="114" t="s">
        <v>256</v>
      </c>
      <c r="B76" s="136" t="s">
        <v>454</v>
      </c>
      <c r="C76" s="255" t="s">
        <v>1</v>
      </c>
      <c r="E76" s="287"/>
      <c r="F76" s="190">
        <f t="shared" ref="F76:M76" si="14">SubTIRG</f>
        <v>26.21188008</v>
      </c>
      <c r="G76" s="190">
        <f t="shared" si="14"/>
        <v>21.199189039999997</v>
      </c>
      <c r="H76" s="190">
        <f t="shared" si="14"/>
        <v>19.893881064000002</v>
      </c>
      <c r="I76" s="190">
        <f t="shared" si="14"/>
        <v>6.6779280000000005</v>
      </c>
      <c r="J76" s="190">
        <f t="shared" si="14"/>
        <v>33.040580456000001</v>
      </c>
      <c r="K76" s="190">
        <f t="shared" si="14"/>
        <v>33.036188543999998</v>
      </c>
      <c r="L76" s="190">
        <f t="shared" si="14"/>
        <v>32.982636848000006</v>
      </c>
      <c r="M76" s="190">
        <f t="shared" si="14"/>
        <v>24.553445280000002</v>
      </c>
      <c r="N76" s="178" t="s">
        <v>255</v>
      </c>
    </row>
    <row r="77" spans="1:14" ht="15.4">
      <c r="A77" s="114" t="s">
        <v>54</v>
      </c>
      <c r="B77" s="136" t="s">
        <v>455</v>
      </c>
      <c r="C77" s="255" t="s">
        <v>110</v>
      </c>
      <c r="E77" s="287"/>
      <c r="F77" s="190">
        <f t="shared" ref="F77:M77" si="15">RPIF</f>
        <v>1.163</v>
      </c>
      <c r="G77" s="190">
        <f t="shared" si="15"/>
        <v>1.2050000000000001</v>
      </c>
      <c r="H77" s="190">
        <f t="shared" si="15"/>
        <v>1.2270000000000001</v>
      </c>
      <c r="I77" s="190">
        <f t="shared" si="15"/>
        <v>1.2330000000000001</v>
      </c>
      <c r="J77" s="190">
        <f t="shared" si="15"/>
        <v>1.2709999999999999</v>
      </c>
      <c r="K77" s="190">
        <f t="shared" si="15"/>
        <v>1.3140000000000001</v>
      </c>
      <c r="L77" s="190">
        <f t="shared" si="15"/>
        <v>1.3580000000000001</v>
      </c>
      <c r="M77" s="190">
        <f t="shared" si="15"/>
        <v>1.31</v>
      </c>
      <c r="N77" s="178" t="s">
        <v>109</v>
      </c>
    </row>
    <row r="78" spans="1:14">
      <c r="B78" s="136" t="s">
        <v>456</v>
      </c>
      <c r="C78" s="255" t="s">
        <v>1</v>
      </c>
      <c r="E78" s="243">
        <f>E59</f>
        <v>175.33582510578276</v>
      </c>
      <c r="F78" s="243">
        <f>SUM(F69:F76)/F77</f>
        <v>248.52340161650903</v>
      </c>
      <c r="G78" s="243">
        <f>SUM(G69:G76)/G77</f>
        <v>260.674819676764</v>
      </c>
      <c r="H78" s="243">
        <f>SUM(H69:H76)/H77</f>
        <v>231.62196976108692</v>
      </c>
      <c r="I78" s="243">
        <f t="shared" ref="I78:M78" si="16">SUM(I69:I76)/I77</f>
        <v>200.80066819580566</v>
      </c>
      <c r="J78" s="243">
        <f t="shared" si="16"/>
        <v>232.81045580956322</v>
      </c>
      <c r="K78" s="243">
        <f t="shared" si="16"/>
        <v>249.79337571220267</v>
      </c>
      <c r="L78" s="243">
        <f t="shared" si="16"/>
        <v>255.73600607131539</v>
      </c>
      <c r="M78" s="243">
        <f t="shared" si="16"/>
        <v>248.44130656390783</v>
      </c>
      <c r="N78" s="178" t="s">
        <v>331</v>
      </c>
    </row>
    <row r="79" spans="1:14" s="115" customFormat="1">
      <c r="B79" s="195"/>
      <c r="C79" s="259"/>
      <c r="E79" s="123"/>
      <c r="F79" s="240"/>
      <c r="G79" s="244"/>
      <c r="H79" s="240"/>
      <c r="I79" s="240"/>
      <c r="J79" s="240"/>
      <c r="K79" s="240"/>
      <c r="L79" s="240"/>
      <c r="M79" s="240"/>
      <c r="N79" s="179"/>
    </row>
    <row r="80" spans="1:14" s="115" customFormat="1">
      <c r="B80" s="195"/>
      <c r="C80" s="259"/>
      <c r="E80" s="240"/>
      <c r="F80" s="240"/>
      <c r="G80" s="240"/>
      <c r="H80" s="240"/>
      <c r="I80" s="240"/>
      <c r="J80" s="240"/>
      <c r="K80" s="240"/>
      <c r="L80" s="240"/>
      <c r="M80" s="240"/>
      <c r="N80" s="179"/>
    </row>
    <row r="81" spans="1:14">
      <c r="A81" s="116" t="s">
        <v>112</v>
      </c>
      <c r="C81" s="255"/>
      <c r="N81" s="179"/>
    </row>
    <row r="82" spans="1:14" ht="14.25">
      <c r="A82" s="116"/>
      <c r="C82" s="255"/>
      <c r="E82" s="117">
        <v>2013</v>
      </c>
      <c r="F82" s="117">
        <v>2014</v>
      </c>
      <c r="G82" s="117">
        <v>2015</v>
      </c>
      <c r="H82" s="117">
        <v>2016</v>
      </c>
      <c r="I82" s="117">
        <v>2017</v>
      </c>
      <c r="J82" s="117">
        <v>2018</v>
      </c>
      <c r="K82" s="117">
        <v>2019</v>
      </c>
      <c r="L82" s="117">
        <v>2020</v>
      </c>
      <c r="M82" s="117">
        <v>2021</v>
      </c>
      <c r="N82" s="179"/>
    </row>
    <row r="83" spans="1:14">
      <c r="A83" s="140" t="s">
        <v>113</v>
      </c>
      <c r="C83" s="258" t="s">
        <v>98</v>
      </c>
      <c r="D83" s="123"/>
      <c r="E83" s="141">
        <f t="shared" ref="E83:M83" si="17">WACC</f>
        <v>4.7500000000000001E-2</v>
      </c>
      <c r="F83" s="141">
        <f t="shared" si="17"/>
        <v>4.7600000000000003E-2</v>
      </c>
      <c r="G83" s="141">
        <f t="shared" si="17"/>
        <v>4.65E-2</v>
      </c>
      <c r="H83" s="141">
        <f t="shared" si="17"/>
        <v>4.5499999999999999E-2</v>
      </c>
      <c r="I83" s="141">
        <f t="shared" si="17"/>
        <v>4.4600000000000001E-2</v>
      </c>
      <c r="J83" s="141">
        <f t="shared" si="17"/>
        <v>4.3700000000000003E-2</v>
      </c>
      <c r="K83" s="141">
        <f t="shared" si="17"/>
        <v>4.2000000000000003E-2</v>
      </c>
      <c r="L83" s="141">
        <f t="shared" si="17"/>
        <v>4.02E-2</v>
      </c>
      <c r="M83" s="141">
        <f t="shared" si="17"/>
        <v>4.02E-2</v>
      </c>
      <c r="N83" s="178" t="s">
        <v>244</v>
      </c>
    </row>
    <row r="84" spans="1:14">
      <c r="A84" s="140"/>
      <c r="C84" s="278" t="s">
        <v>110</v>
      </c>
      <c r="N84" s="179"/>
    </row>
    <row r="85" spans="1:14">
      <c r="A85" s="140" t="s">
        <v>180</v>
      </c>
      <c r="E85" s="144">
        <f>1+E83</f>
        <v>1.0475000000000001</v>
      </c>
      <c r="F85" s="144">
        <f t="shared" ref="F85:M85" si="18">1+F83</f>
        <v>1.0476000000000001</v>
      </c>
      <c r="G85" s="144">
        <f t="shared" si="18"/>
        <v>1.0465</v>
      </c>
      <c r="H85" s="144">
        <f t="shared" si="18"/>
        <v>1.0455000000000001</v>
      </c>
      <c r="I85" s="144">
        <f t="shared" si="18"/>
        <v>1.0446</v>
      </c>
      <c r="J85" s="144">
        <f t="shared" si="18"/>
        <v>1.0437000000000001</v>
      </c>
      <c r="K85" s="144">
        <f t="shared" si="18"/>
        <v>1.042</v>
      </c>
      <c r="L85" s="144">
        <f t="shared" si="18"/>
        <v>1.0402</v>
      </c>
      <c r="M85" s="144">
        <f t="shared" si="18"/>
        <v>1.0402</v>
      </c>
      <c r="N85" s="372" t="s">
        <v>120</v>
      </c>
    </row>
    <row r="86" spans="1:14">
      <c r="E86" s="123"/>
      <c r="N86" s="179"/>
    </row>
    <row r="87" spans="1:14">
      <c r="N87" s="179"/>
    </row>
    <row r="88" spans="1:14">
      <c r="N88" s="179"/>
    </row>
  </sheetData>
  <pageMargins left="0.15748031496062992" right="0.15748031496062992" top="0.39" bottom="0.47" header="0.19685039370078741" footer="0.23622047244094491"/>
  <pageSetup paperSize="9" scale="67" fitToHeight="2" orientation="landscape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showGridLines="0" zoomScale="85" zoomScaleNormal="85" workbookViewId="0"/>
  </sheetViews>
  <sheetFormatPr defaultColWidth="9" defaultRowHeight="12.4"/>
  <cols>
    <col min="1" max="1" width="40" style="114" customWidth="1"/>
    <col min="2" max="2" width="8.1171875" style="114" customWidth="1"/>
    <col min="3" max="3" width="7.17578125" style="114" customWidth="1"/>
    <col min="4" max="4" width="8.1171875" style="114" customWidth="1"/>
    <col min="5" max="5" width="9" style="114" customWidth="1"/>
    <col min="6" max="13" width="9.1171875" style="114" bestFit="1" customWidth="1"/>
    <col min="14" max="14" width="6.87890625" style="114" customWidth="1"/>
    <col min="15" max="16384" width="9" style="114"/>
  </cols>
  <sheetData>
    <row r="1" spans="1:19" s="131" customFormat="1" ht="14.65">
      <c r="A1" s="130" t="s">
        <v>107</v>
      </c>
      <c r="N1" s="369"/>
    </row>
    <row r="2" spans="1:19" s="131" customFormat="1" ht="14.65">
      <c r="A2" s="130" t="str">
        <f>CompName</f>
        <v>Scottish Power Transmission plc</v>
      </c>
      <c r="N2" s="369"/>
    </row>
    <row r="3" spans="1:19" s="131" customFormat="1">
      <c r="A3" s="133" t="str">
        <f>RegYr</f>
        <v>Regulatory Year ending 31 March 2019</v>
      </c>
      <c r="N3" s="369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17.649999999999999">
      <c r="A5" s="146" t="s">
        <v>17</v>
      </c>
      <c r="B5" s="135"/>
      <c r="C5" s="135"/>
      <c r="D5" s="135"/>
      <c r="E5" s="135"/>
      <c r="G5" s="135"/>
      <c r="H5" s="135"/>
      <c r="I5" s="135"/>
      <c r="N5" s="179"/>
    </row>
    <row r="6" spans="1:19" ht="17.649999999999999">
      <c r="A6" s="134" t="s">
        <v>400</v>
      </c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3.5">
      <c r="A7" s="245" t="s">
        <v>458</v>
      </c>
      <c r="B7" s="135"/>
      <c r="C7" s="135"/>
      <c r="D7" s="135"/>
      <c r="E7" s="135"/>
      <c r="F7" s="135"/>
      <c r="G7" s="135"/>
      <c r="H7" s="135"/>
      <c r="I7" s="135"/>
      <c r="N7" s="179"/>
    </row>
    <row r="8" spans="1:19" ht="14.25" customHeight="1">
      <c r="A8" s="123"/>
      <c r="B8" s="120"/>
      <c r="C8" s="147" t="s">
        <v>0</v>
      </c>
      <c r="D8" s="120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9"/>
    </row>
    <row r="9" spans="1:19" ht="13.5">
      <c r="B9" s="120"/>
      <c r="C9" s="120"/>
      <c r="D9" s="120"/>
      <c r="F9" s="120"/>
      <c r="G9" s="120"/>
      <c r="H9" s="120"/>
      <c r="I9" s="120"/>
      <c r="N9" s="179"/>
    </row>
    <row r="10" spans="1:19" ht="12" customHeight="1">
      <c r="A10" s="136" t="s">
        <v>13</v>
      </c>
      <c r="B10" s="136" t="s">
        <v>325</v>
      </c>
      <c r="C10" s="136" t="s">
        <v>1</v>
      </c>
      <c r="D10" s="120"/>
      <c r="F10" s="158">
        <f>F23</f>
        <v>0</v>
      </c>
      <c r="G10" s="158">
        <f t="shared" ref="G10:M10" si="0">G23</f>
        <v>0</v>
      </c>
      <c r="H10" s="158">
        <f t="shared" si="0"/>
        <v>-32.418754657380006</v>
      </c>
      <c r="I10" s="158">
        <f t="shared" si="0"/>
        <v>-32.51197774597501</v>
      </c>
      <c r="J10" s="158">
        <f t="shared" si="0"/>
        <v>-33.453121801230004</v>
      </c>
      <c r="K10" s="158">
        <f t="shared" si="0"/>
        <v>-34.525351815948007</v>
      </c>
      <c r="L10" s="158">
        <f t="shared" si="0"/>
        <v>-35.592641064120002</v>
      </c>
      <c r="M10" s="158">
        <f t="shared" si="0"/>
        <v>-34.219440676400005</v>
      </c>
      <c r="N10" s="178" t="s">
        <v>325</v>
      </c>
      <c r="O10" s="149"/>
    </row>
    <row r="11" spans="1:19" ht="12" customHeight="1">
      <c r="A11" s="136" t="s">
        <v>15</v>
      </c>
      <c r="B11" s="136" t="s">
        <v>123</v>
      </c>
      <c r="C11" s="136" t="s">
        <v>1</v>
      </c>
      <c r="D11" s="120"/>
      <c r="F11" s="158">
        <f t="shared" ref="F11:M11" si="1">F43</f>
        <v>0</v>
      </c>
      <c r="G11" s="158">
        <f t="shared" si="1"/>
        <v>0</v>
      </c>
      <c r="H11" s="158">
        <f t="shared" si="1"/>
        <v>0</v>
      </c>
      <c r="I11" s="158">
        <f t="shared" si="1"/>
        <v>0</v>
      </c>
      <c r="J11" s="158">
        <f t="shared" si="1"/>
        <v>0</v>
      </c>
      <c r="K11" s="158">
        <f t="shared" si="1"/>
        <v>0</v>
      </c>
      <c r="L11" s="158">
        <f t="shared" si="1"/>
        <v>0</v>
      </c>
      <c r="M11" s="158">
        <f t="shared" si="1"/>
        <v>0</v>
      </c>
      <c r="N11" s="178" t="s">
        <v>123</v>
      </c>
      <c r="O11" s="149"/>
    </row>
    <row r="12" spans="1:19" ht="13.5">
      <c r="A12" s="136" t="s">
        <v>12</v>
      </c>
      <c r="B12" s="136" t="s">
        <v>326</v>
      </c>
      <c r="C12" s="136" t="s">
        <v>1</v>
      </c>
      <c r="D12" s="120"/>
      <c r="F12" s="233">
        <f>SUM(F10:F11)</f>
        <v>0</v>
      </c>
      <c r="G12" s="233">
        <f t="shared" ref="G12:M12" si="2">SUM(G10:G11)</f>
        <v>0</v>
      </c>
      <c r="H12" s="233">
        <f t="shared" si="2"/>
        <v>-32.418754657380006</v>
      </c>
      <c r="I12" s="233">
        <f t="shared" si="2"/>
        <v>-32.51197774597501</v>
      </c>
      <c r="J12" s="233">
        <f>SUM(J10:J11)</f>
        <v>-33.453121801230004</v>
      </c>
      <c r="K12" s="233">
        <f t="shared" si="2"/>
        <v>-34.525351815948007</v>
      </c>
      <c r="L12" s="233">
        <f t="shared" si="2"/>
        <v>-35.592641064120002</v>
      </c>
      <c r="M12" s="233">
        <f t="shared" si="2"/>
        <v>-34.219440676400005</v>
      </c>
      <c r="N12" s="178" t="s">
        <v>326</v>
      </c>
    </row>
    <row r="13" spans="1:19">
      <c r="A13" s="136"/>
      <c r="B13" s="136"/>
      <c r="C13" s="136"/>
      <c r="D13" s="136"/>
      <c r="F13" s="123"/>
      <c r="G13" s="123"/>
      <c r="H13" s="123"/>
      <c r="I13" s="123"/>
      <c r="N13" s="179"/>
    </row>
    <row r="14" spans="1:19">
      <c r="A14" s="136"/>
      <c r="B14" s="136"/>
      <c r="C14" s="136"/>
      <c r="D14" s="136"/>
      <c r="N14" s="179"/>
    </row>
    <row r="15" spans="1:19" ht="14.25" customHeight="1">
      <c r="A15" s="147" t="s">
        <v>62</v>
      </c>
      <c r="B15" s="136"/>
      <c r="C15" s="136"/>
      <c r="D15" s="136"/>
      <c r="G15" s="134"/>
      <c r="N15" s="179"/>
    </row>
    <row r="16" spans="1:19" ht="20.25" customHeight="1">
      <c r="A16" s="245" t="s">
        <v>459</v>
      </c>
      <c r="B16" s="136"/>
      <c r="C16" s="136"/>
      <c r="D16" s="136"/>
      <c r="L16" s="123"/>
      <c r="N16" s="179"/>
    </row>
    <row r="17" spans="1:15" ht="14.25">
      <c r="A17" s="245"/>
      <c r="B17" s="136"/>
      <c r="C17" s="136"/>
      <c r="D17" s="136"/>
      <c r="F17" s="117">
        <v>2014</v>
      </c>
      <c r="G17" s="117">
        <v>2015</v>
      </c>
      <c r="H17" s="117">
        <v>2016</v>
      </c>
      <c r="I17" s="117">
        <v>2017</v>
      </c>
      <c r="J17" s="117">
        <v>2018</v>
      </c>
      <c r="K17" s="117">
        <v>2019</v>
      </c>
      <c r="L17" s="117">
        <v>2020</v>
      </c>
      <c r="M17" s="117">
        <v>2021</v>
      </c>
      <c r="N17" s="179"/>
    </row>
    <row r="18" spans="1:15">
      <c r="A18" s="136" t="s">
        <v>61</v>
      </c>
      <c r="B18" s="136" t="s">
        <v>115</v>
      </c>
      <c r="C18" s="279" t="s">
        <v>1</v>
      </c>
      <c r="D18" s="136"/>
      <c r="F18" s="159">
        <f t="shared" ref="F18:M18" si="3">RBA</f>
        <v>0</v>
      </c>
      <c r="G18" s="159">
        <f t="shared" si="3"/>
        <v>0</v>
      </c>
      <c r="H18" s="159">
        <f t="shared" si="3"/>
        <v>0</v>
      </c>
      <c r="I18" s="159">
        <f t="shared" si="3"/>
        <v>0</v>
      </c>
      <c r="J18" s="159">
        <f t="shared" si="3"/>
        <v>0</v>
      </c>
      <c r="K18" s="159">
        <f t="shared" si="3"/>
        <v>0</v>
      </c>
      <c r="L18" s="159">
        <f t="shared" si="3"/>
        <v>0</v>
      </c>
      <c r="M18" s="159">
        <f t="shared" si="3"/>
        <v>0</v>
      </c>
      <c r="N18" s="178" t="s">
        <v>115</v>
      </c>
    </row>
    <row r="19" spans="1:15">
      <c r="A19" s="136" t="s">
        <v>117</v>
      </c>
      <c r="B19" s="136" t="s">
        <v>116</v>
      </c>
      <c r="C19" s="279" t="s">
        <v>501</v>
      </c>
      <c r="D19" s="136"/>
      <c r="F19" s="159">
        <f t="shared" ref="F19:M19" si="4">RPIA</f>
        <v>1.167</v>
      </c>
      <c r="G19" s="159">
        <f t="shared" si="4"/>
        <v>1.19</v>
      </c>
      <c r="H19" s="159">
        <f t="shared" si="4"/>
        <v>1.202</v>
      </c>
      <c r="I19" s="159">
        <f t="shared" si="4"/>
        <v>1.228</v>
      </c>
      <c r="J19" s="159">
        <f t="shared" si="4"/>
        <v>1.274</v>
      </c>
      <c r="K19" s="159">
        <f t="shared" si="4"/>
        <v>1.31</v>
      </c>
      <c r="L19" s="159">
        <f t="shared" si="4"/>
        <v>1.3460000000000001</v>
      </c>
      <c r="M19" s="159">
        <f t="shared" si="4"/>
        <v>1.3839999999999999</v>
      </c>
      <c r="N19" s="178" t="s">
        <v>116</v>
      </c>
    </row>
    <row r="20" spans="1:15">
      <c r="A20" s="136" t="s">
        <v>60</v>
      </c>
      <c r="B20" s="136" t="s">
        <v>114</v>
      </c>
      <c r="C20" s="279" t="s">
        <v>1</v>
      </c>
      <c r="D20" s="136"/>
      <c r="F20" s="159">
        <f t="shared" ref="F20:M20" si="5">RBE</f>
        <v>24.1</v>
      </c>
      <c r="G20" s="159">
        <f t="shared" si="5"/>
        <v>24.1</v>
      </c>
      <c r="H20" s="159">
        <f t="shared" si="5"/>
        <v>24.1</v>
      </c>
      <c r="I20" s="159">
        <f t="shared" si="5"/>
        <v>24.1</v>
      </c>
      <c r="J20" s="159">
        <f t="shared" si="5"/>
        <v>24.1</v>
      </c>
      <c r="K20" s="159">
        <f t="shared" si="5"/>
        <v>24.1</v>
      </c>
      <c r="L20" s="159">
        <f t="shared" si="5"/>
        <v>24.1</v>
      </c>
      <c r="M20" s="159">
        <f t="shared" si="5"/>
        <v>24.1</v>
      </c>
      <c r="N20" s="178" t="s">
        <v>114</v>
      </c>
    </row>
    <row r="21" spans="1:15">
      <c r="A21" s="136" t="s">
        <v>121</v>
      </c>
      <c r="B21" s="136" t="s">
        <v>120</v>
      </c>
      <c r="C21" s="279" t="s">
        <v>110</v>
      </c>
      <c r="D21" s="136"/>
      <c r="F21" s="159">
        <f t="shared" ref="F21:M21" si="6">PVF</f>
        <v>1.0476000000000001</v>
      </c>
      <c r="G21" s="159">
        <f t="shared" si="6"/>
        <v>1.0465</v>
      </c>
      <c r="H21" s="159">
        <f t="shared" si="6"/>
        <v>1.0455000000000001</v>
      </c>
      <c r="I21" s="159">
        <f t="shared" si="6"/>
        <v>1.0446</v>
      </c>
      <c r="J21" s="159">
        <f t="shared" si="6"/>
        <v>1.0437000000000001</v>
      </c>
      <c r="K21" s="159">
        <f t="shared" si="6"/>
        <v>1.042</v>
      </c>
      <c r="L21" s="159">
        <f t="shared" si="6"/>
        <v>1.0402</v>
      </c>
      <c r="M21" s="159">
        <f t="shared" si="6"/>
        <v>1.0402</v>
      </c>
      <c r="N21" s="178" t="s">
        <v>120</v>
      </c>
    </row>
    <row r="22" spans="1:15">
      <c r="A22" s="136" t="s">
        <v>54</v>
      </c>
      <c r="B22" s="136" t="s">
        <v>109</v>
      </c>
      <c r="C22" s="279" t="s">
        <v>110</v>
      </c>
      <c r="D22" s="136"/>
      <c r="F22" s="159">
        <f t="shared" ref="F22:M22" si="7">RPIF</f>
        <v>1.163</v>
      </c>
      <c r="G22" s="159">
        <f t="shared" si="7"/>
        <v>1.2050000000000001</v>
      </c>
      <c r="H22" s="159">
        <f t="shared" si="7"/>
        <v>1.2270000000000001</v>
      </c>
      <c r="I22" s="159">
        <f t="shared" si="7"/>
        <v>1.2330000000000001</v>
      </c>
      <c r="J22" s="159">
        <f t="shared" si="7"/>
        <v>1.2709999999999999</v>
      </c>
      <c r="K22" s="159">
        <f t="shared" si="7"/>
        <v>1.3140000000000001</v>
      </c>
      <c r="L22" s="159">
        <f t="shared" si="7"/>
        <v>1.3580000000000001</v>
      </c>
      <c r="M22" s="159">
        <f t="shared" si="7"/>
        <v>1.31</v>
      </c>
      <c r="N22" s="178" t="s">
        <v>109</v>
      </c>
    </row>
    <row r="23" spans="1:15">
      <c r="A23" s="136" t="s">
        <v>13</v>
      </c>
      <c r="B23" s="136" t="s">
        <v>325</v>
      </c>
      <c r="C23" s="279" t="s">
        <v>1</v>
      </c>
      <c r="D23" s="136"/>
      <c r="F23" s="232"/>
      <c r="G23" s="232"/>
      <c r="H23" s="233">
        <f>IFERROR(((F18/F19)-F20)*F21*G21*H22,0)</f>
        <v>-32.418754657380006</v>
      </c>
      <c r="I23" s="233">
        <f t="shared" ref="I23:M23" si="8">IFERROR(((G18/G19)-G20)*G21*H21*I22,0)</f>
        <v>-32.51197774597501</v>
      </c>
      <c r="J23" s="233">
        <f t="shared" si="8"/>
        <v>-33.453121801230004</v>
      </c>
      <c r="K23" s="233">
        <f t="shared" si="8"/>
        <v>-34.525351815948007</v>
      </c>
      <c r="L23" s="233">
        <f t="shared" si="8"/>
        <v>-35.592641064120002</v>
      </c>
      <c r="M23" s="233">
        <f t="shared" si="8"/>
        <v>-34.219440676400005</v>
      </c>
      <c r="N23" s="179"/>
    </row>
    <row r="24" spans="1:15" ht="13.5">
      <c r="A24" s="120"/>
      <c r="B24" s="120"/>
      <c r="C24" s="120"/>
      <c r="D24" s="136"/>
      <c r="F24" s="123"/>
      <c r="G24" s="123"/>
      <c r="H24" s="123"/>
      <c r="I24" s="123"/>
      <c r="J24" s="150"/>
      <c r="K24" s="150"/>
      <c r="L24" s="150"/>
      <c r="M24" s="150"/>
      <c r="N24" s="179"/>
    </row>
    <row r="25" spans="1:15" ht="15.4">
      <c r="A25" s="147"/>
      <c r="B25" s="136"/>
      <c r="C25" s="136"/>
      <c r="D25" s="136"/>
      <c r="G25" s="134"/>
      <c r="N25" s="179"/>
    </row>
    <row r="26" spans="1:15" ht="17.25" hidden="1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351"/>
      <c r="O26" s="136"/>
    </row>
    <row r="27" spans="1:15" hidden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351"/>
      <c r="O27" s="136"/>
    </row>
    <row r="28" spans="1:15" hidden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351"/>
      <c r="O28" s="136"/>
    </row>
    <row r="29" spans="1:15" hidden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351"/>
      <c r="O29" s="136"/>
    </row>
    <row r="30" spans="1:15" hidden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351"/>
      <c r="O30" s="136"/>
    </row>
    <row r="31" spans="1:15" hidden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351"/>
      <c r="O31" s="136"/>
    </row>
    <row r="32" spans="1:15" hidden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351"/>
      <c r="O32" s="136"/>
    </row>
    <row r="33" spans="1:15" hidden="1">
      <c r="A33" s="136"/>
      <c r="B33" s="136"/>
      <c r="C33" s="136"/>
      <c r="D33" s="136"/>
      <c r="N33" s="179"/>
    </row>
    <row r="34" spans="1:15">
      <c r="A34" s="136"/>
      <c r="B34" s="136"/>
      <c r="C34" s="136"/>
      <c r="D34" s="136"/>
      <c r="N34" s="179"/>
    </row>
    <row r="35" spans="1:15" ht="15.4">
      <c r="A35" s="147" t="s">
        <v>122</v>
      </c>
      <c r="B35" s="136"/>
      <c r="C35" s="136"/>
      <c r="D35" s="136"/>
      <c r="G35" s="134"/>
      <c r="K35" s="123"/>
      <c r="N35" s="179"/>
    </row>
    <row r="36" spans="1:15">
      <c r="A36" s="154" t="s">
        <v>471</v>
      </c>
      <c r="B36" s="136"/>
      <c r="C36" s="136"/>
      <c r="D36" s="136"/>
      <c r="N36" s="179"/>
    </row>
    <row r="37" spans="1:15">
      <c r="A37" s="136"/>
      <c r="B37" s="136"/>
      <c r="C37" s="136"/>
      <c r="D37" s="136"/>
      <c r="N37" s="179"/>
    </row>
    <row r="38" spans="1:15" ht="14.25">
      <c r="A38" s="136"/>
      <c r="B38" s="136"/>
      <c r="C38" s="136"/>
      <c r="D38" s="136"/>
      <c r="E38" s="117">
        <v>2013</v>
      </c>
      <c r="F38" s="117">
        <v>2014</v>
      </c>
      <c r="G38" s="117">
        <v>2015</v>
      </c>
      <c r="H38" s="117">
        <v>2016</v>
      </c>
      <c r="I38" s="117">
        <v>2017</v>
      </c>
      <c r="J38" s="117">
        <v>2018</v>
      </c>
      <c r="K38" s="117">
        <v>2019</v>
      </c>
      <c r="L38" s="117">
        <v>2020</v>
      </c>
      <c r="M38" s="117">
        <v>2021</v>
      </c>
      <c r="N38" s="179"/>
    </row>
    <row r="39" spans="1:15">
      <c r="A39" s="136" t="s">
        <v>125</v>
      </c>
      <c r="B39" s="136" t="s">
        <v>124</v>
      </c>
      <c r="C39" s="280" t="s">
        <v>1</v>
      </c>
      <c r="D39" s="136"/>
      <c r="E39" s="159">
        <f>TPA</f>
        <v>0</v>
      </c>
      <c r="F39" s="159">
        <f>TPA</f>
        <v>0</v>
      </c>
      <c r="G39" s="159">
        <f t="shared" ref="G39:M39" si="9">TPA</f>
        <v>0</v>
      </c>
      <c r="H39" s="159">
        <f t="shared" si="9"/>
        <v>0</v>
      </c>
      <c r="I39" s="159">
        <f t="shared" si="9"/>
        <v>0</v>
      </c>
      <c r="J39" s="159">
        <f t="shared" si="9"/>
        <v>0</v>
      </c>
      <c r="K39" s="159">
        <f t="shared" si="9"/>
        <v>0</v>
      </c>
      <c r="L39" s="159">
        <f t="shared" si="9"/>
        <v>0</v>
      </c>
      <c r="M39" s="159">
        <f t="shared" si="9"/>
        <v>0</v>
      </c>
      <c r="N39" s="178" t="s">
        <v>124</v>
      </c>
    </row>
    <row r="40" spans="1:15">
      <c r="A40" s="136" t="s">
        <v>117</v>
      </c>
      <c r="B40" s="136" t="s">
        <v>116</v>
      </c>
      <c r="C40" s="280" t="s">
        <v>501</v>
      </c>
      <c r="D40" s="136"/>
      <c r="E40" s="159">
        <f t="shared" ref="E40:M40" si="10">RPIA</f>
        <v>1.1339999999999999</v>
      </c>
      <c r="F40" s="159">
        <f t="shared" si="10"/>
        <v>1.167</v>
      </c>
      <c r="G40" s="159">
        <f t="shared" si="10"/>
        <v>1.19</v>
      </c>
      <c r="H40" s="159">
        <f t="shared" si="10"/>
        <v>1.202</v>
      </c>
      <c r="I40" s="159">
        <f t="shared" si="10"/>
        <v>1.228</v>
      </c>
      <c r="J40" s="159">
        <f t="shared" si="10"/>
        <v>1.274</v>
      </c>
      <c r="K40" s="159">
        <f t="shared" si="10"/>
        <v>1.31</v>
      </c>
      <c r="L40" s="159">
        <f t="shared" si="10"/>
        <v>1.3460000000000001</v>
      </c>
      <c r="M40" s="159">
        <f t="shared" si="10"/>
        <v>1.3839999999999999</v>
      </c>
      <c r="N40" s="178" t="s">
        <v>116</v>
      </c>
    </row>
    <row r="41" spans="1:15">
      <c r="A41" s="136" t="s">
        <v>121</v>
      </c>
      <c r="B41" s="136" t="s">
        <v>120</v>
      </c>
      <c r="C41" s="280" t="s">
        <v>110</v>
      </c>
      <c r="D41" s="136"/>
      <c r="E41" s="159">
        <f t="shared" ref="E41:M41" si="11">PVF</f>
        <v>1.0475000000000001</v>
      </c>
      <c r="F41" s="159">
        <f t="shared" si="11"/>
        <v>1.0476000000000001</v>
      </c>
      <c r="G41" s="159">
        <f t="shared" si="11"/>
        <v>1.0465</v>
      </c>
      <c r="H41" s="159">
        <f t="shared" si="11"/>
        <v>1.0455000000000001</v>
      </c>
      <c r="I41" s="159">
        <f t="shared" si="11"/>
        <v>1.0446</v>
      </c>
      <c r="J41" s="159">
        <f t="shared" si="11"/>
        <v>1.0437000000000001</v>
      </c>
      <c r="K41" s="159">
        <f t="shared" si="11"/>
        <v>1.042</v>
      </c>
      <c r="L41" s="159">
        <f t="shared" si="11"/>
        <v>1.0402</v>
      </c>
      <c r="M41" s="159">
        <f t="shared" si="11"/>
        <v>1.0402</v>
      </c>
      <c r="N41" s="178" t="s">
        <v>120</v>
      </c>
    </row>
    <row r="42" spans="1:15">
      <c r="A42" s="136" t="s">
        <v>54</v>
      </c>
      <c r="B42" s="136" t="s">
        <v>109</v>
      </c>
      <c r="C42" s="280" t="s">
        <v>110</v>
      </c>
      <c r="D42" s="136"/>
      <c r="E42" s="159">
        <f t="shared" ref="E42:M42" si="12">RPIF</f>
        <v>1.1344000000000001</v>
      </c>
      <c r="F42" s="159">
        <f t="shared" si="12"/>
        <v>1.163</v>
      </c>
      <c r="G42" s="159">
        <f t="shared" si="12"/>
        <v>1.2050000000000001</v>
      </c>
      <c r="H42" s="159">
        <f t="shared" si="12"/>
        <v>1.2270000000000001</v>
      </c>
      <c r="I42" s="159">
        <f t="shared" si="12"/>
        <v>1.2330000000000001</v>
      </c>
      <c r="J42" s="159">
        <f t="shared" si="12"/>
        <v>1.2709999999999999</v>
      </c>
      <c r="K42" s="159">
        <f t="shared" si="12"/>
        <v>1.3140000000000001</v>
      </c>
      <c r="L42" s="159">
        <f t="shared" si="12"/>
        <v>1.3580000000000001</v>
      </c>
      <c r="M42" s="159">
        <f t="shared" si="12"/>
        <v>1.31</v>
      </c>
      <c r="N42" s="178" t="s">
        <v>109</v>
      </c>
    </row>
    <row r="43" spans="1:15">
      <c r="A43" s="136" t="s">
        <v>14</v>
      </c>
      <c r="B43" s="136" t="s">
        <v>123</v>
      </c>
      <c r="C43" s="280" t="s">
        <v>1</v>
      </c>
      <c r="D43" s="136"/>
      <c r="F43" s="232"/>
      <c r="G43" s="233">
        <f>IFERROR(((E39/E40))*E41*F41*G42,0)</f>
        <v>0</v>
      </c>
      <c r="H43" s="233">
        <f>IFERROR(((F39/F40))*F41*G41*H42,0)</f>
        <v>0</v>
      </c>
      <c r="I43" s="233">
        <f t="shared" ref="I43:M43" si="13">IFERROR(((G39/G40))*G41*H41*I42,0)</f>
        <v>0</v>
      </c>
      <c r="J43" s="233">
        <f t="shared" si="13"/>
        <v>0</v>
      </c>
      <c r="K43" s="233">
        <f t="shared" si="13"/>
        <v>0</v>
      </c>
      <c r="L43" s="233">
        <f t="shared" si="13"/>
        <v>0</v>
      </c>
      <c r="M43" s="233">
        <f t="shared" si="13"/>
        <v>0</v>
      </c>
      <c r="N43" s="178" t="s">
        <v>123</v>
      </c>
    </row>
    <row r="44" spans="1:15" ht="13.5">
      <c r="A44" s="136"/>
      <c r="B44" s="136"/>
      <c r="C44" s="136"/>
      <c r="D44" s="136"/>
      <c r="F44" s="123"/>
      <c r="G44" s="123"/>
      <c r="H44" s="123"/>
      <c r="I44" s="123"/>
      <c r="J44" s="120"/>
      <c r="K44" s="120"/>
      <c r="L44" s="120"/>
      <c r="M44" s="120"/>
      <c r="N44" s="178"/>
    </row>
    <row r="45" spans="1:15" ht="13.5">
      <c r="A45" s="120"/>
      <c r="B45" s="120"/>
      <c r="C45" s="120"/>
      <c r="D45" s="136"/>
      <c r="F45" s="150"/>
      <c r="G45" s="150"/>
      <c r="H45" s="150"/>
      <c r="I45" s="150"/>
      <c r="J45" s="150"/>
      <c r="K45" s="150"/>
      <c r="L45" s="150"/>
      <c r="M45" s="150"/>
      <c r="N45" s="179"/>
    </row>
    <row r="46" spans="1:15" ht="13.9">
      <c r="A46" s="147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351"/>
      <c r="O46" s="136"/>
    </row>
    <row r="47" spans="1: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351"/>
      <c r="O47" s="136"/>
    </row>
    <row r="48" spans="1: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351"/>
      <c r="O48" s="136"/>
    </row>
    <row r="49" spans="1: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351"/>
      <c r="O49" s="136"/>
    </row>
    <row r="50" spans="1: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351"/>
      <c r="O50" s="136"/>
    </row>
    <row r="51" spans="1: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351"/>
      <c r="O51" s="136"/>
    </row>
    <row r="52" spans="1: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351"/>
      <c r="O52" s="136"/>
    </row>
    <row r="53" spans="1: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351"/>
      <c r="O53" s="136"/>
    </row>
    <row r="54" spans="1: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351"/>
      <c r="O54" s="136"/>
    </row>
    <row r="55" spans="1:15">
      <c r="D55" s="136"/>
      <c r="N55" s="179"/>
    </row>
    <row r="56" spans="1:15">
      <c r="D56" s="136"/>
      <c r="N56" s="179"/>
    </row>
    <row r="57" spans="1:15">
      <c r="D57" s="136"/>
      <c r="N57" s="179"/>
    </row>
    <row r="58" spans="1:15">
      <c r="D58" s="136"/>
      <c r="N58" s="179"/>
    </row>
    <row r="59" spans="1:15">
      <c r="D59" s="136"/>
      <c r="N59" s="179"/>
    </row>
    <row r="60" spans="1:15">
      <c r="D60" s="136"/>
      <c r="N60" s="179"/>
    </row>
    <row r="61" spans="1:15">
      <c r="D61" s="136"/>
      <c r="N61" s="179"/>
    </row>
    <row r="62" spans="1:15">
      <c r="D62" s="136"/>
      <c r="N62" s="179"/>
    </row>
    <row r="63" spans="1:15">
      <c r="N63" s="179"/>
    </row>
    <row r="64" spans="1:15">
      <c r="N64" s="179"/>
    </row>
    <row r="65" spans="14:14">
      <c r="N65" s="179"/>
    </row>
    <row r="66" spans="14:14">
      <c r="N66" s="179"/>
    </row>
    <row r="67" spans="14:14">
      <c r="N67" s="179"/>
    </row>
    <row r="68" spans="14:14">
      <c r="N68" s="179"/>
    </row>
    <row r="69" spans="14:14">
      <c r="N69" s="179"/>
    </row>
    <row r="70" spans="14:14">
      <c r="N70" s="179"/>
    </row>
    <row r="71" spans="14:14">
      <c r="N71" s="179"/>
    </row>
    <row r="72" spans="14:14">
      <c r="N72" s="179"/>
    </row>
    <row r="73" spans="14:14">
      <c r="N73" s="179"/>
    </row>
    <row r="74" spans="14:14">
      <c r="N74" s="179"/>
    </row>
    <row r="75" spans="14:14">
      <c r="N75" s="179"/>
    </row>
    <row r="76" spans="14:14">
      <c r="N76" s="179"/>
    </row>
    <row r="77" spans="14:14">
      <c r="N77" s="179"/>
    </row>
    <row r="78" spans="14:14">
      <c r="N78" s="179"/>
    </row>
    <row r="79" spans="14:14">
      <c r="N79" s="179"/>
    </row>
    <row r="80" spans="14:14">
      <c r="N80" s="179"/>
    </row>
    <row r="81" spans="14:14">
      <c r="N81" s="179"/>
    </row>
    <row r="82" spans="14:14">
      <c r="N82" s="179"/>
    </row>
    <row r="83" spans="14:14">
      <c r="N83" s="179"/>
    </row>
    <row r="84" spans="14:14">
      <c r="N84" s="179"/>
    </row>
    <row r="85" spans="14:14">
      <c r="N85" s="179"/>
    </row>
    <row r="86" spans="14:14">
      <c r="N86" s="179"/>
    </row>
    <row r="87" spans="14:14">
      <c r="N87" s="179"/>
    </row>
    <row r="88" spans="14:14">
      <c r="N88" s="179"/>
    </row>
    <row r="89" spans="14:14">
      <c r="N89" s="179"/>
    </row>
    <row r="90" spans="14:14">
      <c r="N90" s="179"/>
    </row>
    <row r="91" spans="14:14">
      <c r="N91" s="179"/>
    </row>
    <row r="92" spans="14:14">
      <c r="N92" s="179"/>
    </row>
    <row r="93" spans="14:14">
      <c r="N93" s="179"/>
    </row>
    <row r="94" spans="14:14">
      <c r="N94" s="179"/>
    </row>
    <row r="95" spans="14:14">
      <c r="N95" s="179"/>
    </row>
    <row r="96" spans="14:14">
      <c r="N96" s="179"/>
    </row>
    <row r="97" spans="14:14">
      <c r="N97" s="179"/>
    </row>
    <row r="98" spans="14:14">
      <c r="N98" s="179"/>
    </row>
    <row r="99" spans="14:14">
      <c r="N99" s="179"/>
    </row>
    <row r="100" spans="14:14">
      <c r="N100" s="179"/>
    </row>
    <row r="101" spans="14:14">
      <c r="N101" s="179"/>
    </row>
    <row r="102" spans="14:14">
      <c r="N102" s="179"/>
    </row>
    <row r="103" spans="14:14">
      <c r="N103" s="179"/>
    </row>
  </sheetData>
  <pageMargins left="0.15748031496062992" right="0.15748031496062992" top="0.51181102362204722" bottom="0.74803149606299213" header="0.31496062992125984" footer="0.31496062992125984"/>
  <pageSetup paperSize="9" scale="75" orientation="landscape" r:id="rId1"/>
  <headerFooter>
    <oddFooter>&amp;C&amp;D&amp;R&amp;F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showGridLines="0" topLeftCell="A105" zoomScale="85" zoomScaleNormal="85" workbookViewId="0">
      <selection activeCell="H151" sqref="H151"/>
    </sheetView>
  </sheetViews>
  <sheetFormatPr defaultColWidth="9" defaultRowHeight="12.4"/>
  <cols>
    <col min="1" max="1" width="37.46875" style="136" customWidth="1"/>
    <col min="2" max="2" width="11.17578125" style="136" customWidth="1"/>
    <col min="3" max="3" width="9.46875" style="136" customWidth="1"/>
    <col min="4" max="4" width="7.64453125" style="136" customWidth="1"/>
    <col min="5" max="5" width="6.17578125" style="136" customWidth="1"/>
    <col min="6" max="6" width="13.3515625" style="136" customWidth="1"/>
    <col min="7" max="7" width="9.703125" style="114" bestFit="1" customWidth="1"/>
    <col min="8" max="8" width="13.17578125" style="114" customWidth="1"/>
    <col min="9" max="9" width="14.87890625" style="114" customWidth="1"/>
    <col min="10" max="10" width="11.17578125" style="114" customWidth="1"/>
    <col min="11" max="11" width="12.1171875" style="114" customWidth="1"/>
    <col min="12" max="12" width="14.46875" style="114" customWidth="1"/>
    <col min="13" max="13" width="10.46875" style="114" bestFit="1" customWidth="1"/>
    <col min="14" max="16384" width="9" style="114"/>
  </cols>
  <sheetData>
    <row r="1" spans="1:19" s="131" customFormat="1" ht="14.65">
      <c r="A1" s="151" t="s">
        <v>108</v>
      </c>
      <c r="N1" s="369"/>
    </row>
    <row r="2" spans="1:19" s="131" customFormat="1" ht="14.65">
      <c r="A2" s="151" t="str">
        <f>CompName</f>
        <v>Scottish Power Transmission plc</v>
      </c>
      <c r="N2" s="369"/>
    </row>
    <row r="3" spans="1:19" s="131" customFormat="1">
      <c r="A3" s="152" t="str">
        <f>RegYr</f>
        <v>Regulatory Year ending 31 March 2019</v>
      </c>
      <c r="N3" s="369"/>
    </row>
    <row r="4" spans="1:19">
      <c r="A4" s="153"/>
      <c r="B4" s="153"/>
      <c r="C4" s="153"/>
      <c r="D4" s="153"/>
      <c r="E4" s="153"/>
      <c r="F4" s="154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24" customHeight="1">
      <c r="A5" s="155" t="s">
        <v>16</v>
      </c>
      <c r="G5" s="134" t="s">
        <v>306</v>
      </c>
      <c r="L5" s="123"/>
      <c r="N5" s="179"/>
    </row>
    <row r="6" spans="1:19" ht="13.5"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5" customHeight="1">
      <c r="A7" s="154" t="s">
        <v>483</v>
      </c>
      <c r="B7" s="154"/>
      <c r="C7" s="120"/>
      <c r="D7" s="135"/>
      <c r="E7" s="135"/>
      <c r="F7" s="156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C8" s="120"/>
      <c r="D8" s="120"/>
      <c r="E8" s="120"/>
      <c r="F8" s="120"/>
      <c r="G8" s="120"/>
      <c r="H8" s="120"/>
      <c r="I8" s="120"/>
      <c r="N8" s="179"/>
    </row>
    <row r="9" spans="1:19">
      <c r="A9" s="136" t="s">
        <v>19</v>
      </c>
      <c r="B9" s="136" t="s">
        <v>248</v>
      </c>
      <c r="C9" s="136" t="s">
        <v>1</v>
      </c>
      <c r="F9" s="246">
        <f t="shared" ref="F9:M9" si="0">RI</f>
        <v>1.0039499999999999</v>
      </c>
      <c r="G9" s="246">
        <f t="shared" si="0"/>
        <v>0</v>
      </c>
      <c r="H9" s="246">
        <f t="shared" si="0"/>
        <v>3.1445685392727274</v>
      </c>
      <c r="I9" s="246">
        <f t="shared" si="0"/>
        <v>3.0737727791772151</v>
      </c>
      <c r="J9" s="246">
        <f t="shared" si="0"/>
        <v>3.1232167656750001</v>
      </c>
      <c r="K9" s="246">
        <f t="shared" si="0"/>
        <v>3.2233212276300001</v>
      </c>
      <c r="L9" s="246">
        <f t="shared" si="0"/>
        <v>3.2819401626666678</v>
      </c>
      <c r="M9" s="246">
        <f t="shared" si="0"/>
        <v>3.1553195644444445</v>
      </c>
      <c r="N9" s="178" t="s">
        <v>248</v>
      </c>
    </row>
    <row r="10" spans="1:19">
      <c r="A10" s="136" t="s">
        <v>20</v>
      </c>
      <c r="B10" s="136" t="s">
        <v>311</v>
      </c>
      <c r="C10" s="136" t="s">
        <v>1</v>
      </c>
      <c r="F10" s="246">
        <f t="shared" ref="F10:M10" si="1">SSO</f>
        <v>0</v>
      </c>
      <c r="G10" s="246">
        <f t="shared" si="1"/>
        <v>0</v>
      </c>
      <c r="H10" s="246">
        <f t="shared" si="1"/>
        <v>0</v>
      </c>
      <c r="I10" s="246">
        <f t="shared" si="1"/>
        <v>0</v>
      </c>
      <c r="J10" s="246">
        <f t="shared" si="1"/>
        <v>0</v>
      </c>
      <c r="K10" s="246">
        <f t="shared" si="1"/>
        <v>-2.5104618082251888</v>
      </c>
      <c r="L10" s="246">
        <f t="shared" si="1"/>
        <v>-2.9661048976711211</v>
      </c>
      <c r="M10" s="246">
        <f t="shared" si="1"/>
        <v>-3.2574544272017016</v>
      </c>
      <c r="N10" s="178" t="s">
        <v>311</v>
      </c>
    </row>
    <row r="11" spans="1:19">
      <c r="A11" s="136" t="s">
        <v>21</v>
      </c>
      <c r="B11" s="136" t="s">
        <v>215</v>
      </c>
      <c r="C11" s="136" t="s">
        <v>1</v>
      </c>
      <c r="F11" s="246">
        <f t="shared" ref="F11:M11" si="2">SFI</f>
        <v>0</v>
      </c>
      <c r="G11" s="246">
        <f t="shared" si="2"/>
        <v>0</v>
      </c>
      <c r="H11" s="246">
        <f t="shared" si="2"/>
        <v>0</v>
      </c>
      <c r="I11" s="246">
        <f t="shared" si="2"/>
        <v>0</v>
      </c>
      <c r="J11" s="246">
        <f t="shared" si="2"/>
        <v>0</v>
      </c>
      <c r="K11" s="246">
        <f t="shared" si="2"/>
        <v>0</v>
      </c>
      <c r="L11" s="246">
        <f t="shared" si="2"/>
        <v>0</v>
      </c>
      <c r="M11" s="246">
        <f t="shared" si="2"/>
        <v>0</v>
      </c>
      <c r="N11" s="178" t="s">
        <v>215</v>
      </c>
    </row>
    <row r="12" spans="1:19">
      <c r="A12" s="136" t="s">
        <v>22</v>
      </c>
      <c r="B12" s="136" t="s">
        <v>312</v>
      </c>
      <c r="C12" s="136" t="s">
        <v>1</v>
      </c>
      <c r="F12" s="246">
        <f t="shared" ref="F12:M12" si="3">EDR</f>
        <v>0</v>
      </c>
      <c r="G12" s="190">
        <f t="shared" si="3"/>
        <v>0</v>
      </c>
      <c r="H12" s="190">
        <f t="shared" si="3"/>
        <v>0</v>
      </c>
      <c r="I12" s="190">
        <f t="shared" si="3"/>
        <v>0</v>
      </c>
      <c r="J12" s="190">
        <f t="shared" si="3"/>
        <v>0</v>
      </c>
      <c r="K12" s="190">
        <f t="shared" si="3"/>
        <v>0</v>
      </c>
      <c r="L12" s="190">
        <f t="shared" si="3"/>
        <v>0</v>
      </c>
      <c r="M12" s="190">
        <f t="shared" si="3"/>
        <v>0</v>
      </c>
      <c r="N12" s="178" t="s">
        <v>312</v>
      </c>
    </row>
    <row r="13" spans="1:19">
      <c r="A13" s="136" t="s">
        <v>291</v>
      </c>
      <c r="B13" s="136" t="s">
        <v>290</v>
      </c>
      <c r="C13" s="136" t="s">
        <v>1</v>
      </c>
      <c r="F13" s="242"/>
      <c r="G13" s="241"/>
      <c r="H13" s="190">
        <f t="shared" ref="H13:M13" si="4">CONADJ</f>
        <v>0</v>
      </c>
      <c r="I13" s="190">
        <f t="shared" si="4"/>
        <v>0</v>
      </c>
      <c r="J13" s="190">
        <f t="shared" si="4"/>
        <v>0</v>
      </c>
      <c r="K13" s="190">
        <f t="shared" si="4"/>
        <v>0</v>
      </c>
      <c r="L13" s="190">
        <f t="shared" si="4"/>
        <v>0</v>
      </c>
      <c r="M13" s="190">
        <f t="shared" si="4"/>
        <v>0</v>
      </c>
      <c r="N13" s="178" t="s">
        <v>290</v>
      </c>
    </row>
    <row r="14" spans="1:19">
      <c r="A14" s="136" t="s">
        <v>9</v>
      </c>
      <c r="B14" s="136" t="s">
        <v>178</v>
      </c>
      <c r="C14" s="136" t="s">
        <v>1</v>
      </c>
      <c r="F14" s="247">
        <f>SUM(F9:F12)-F13</f>
        <v>1.0039499999999999</v>
      </c>
      <c r="G14" s="231">
        <f t="shared" ref="G14:M14" si="5">SUM(G9:G12)-G13</f>
        <v>0</v>
      </c>
      <c r="H14" s="231">
        <f>SUM(H9:H12)-H13</f>
        <v>3.1445685392727274</v>
      </c>
      <c r="I14" s="231">
        <f t="shared" si="5"/>
        <v>3.0737727791772151</v>
      </c>
      <c r="J14" s="231">
        <f t="shared" si="5"/>
        <v>3.1232167656750001</v>
      </c>
      <c r="K14" s="231">
        <f t="shared" si="5"/>
        <v>0.71285941940481123</v>
      </c>
      <c r="L14" s="231">
        <f t="shared" si="5"/>
        <v>0.31583526499554671</v>
      </c>
      <c r="M14" s="231">
        <f t="shared" si="5"/>
        <v>-0.10213486275725714</v>
      </c>
      <c r="N14" s="178" t="s">
        <v>178</v>
      </c>
    </row>
    <row r="15" spans="1:19">
      <c r="F15" s="123"/>
      <c r="H15" s="123"/>
      <c r="I15" s="123"/>
      <c r="N15" s="179"/>
    </row>
    <row r="16" spans="1:19" ht="13.5">
      <c r="A16" s="157" t="s">
        <v>19</v>
      </c>
      <c r="N16" s="179"/>
    </row>
    <row r="17" spans="1:14" ht="24" customHeight="1">
      <c r="A17" s="262" t="s">
        <v>477</v>
      </c>
      <c r="E17" s="414" t="s">
        <v>478</v>
      </c>
      <c r="F17" s="414"/>
      <c r="G17" s="413"/>
      <c r="H17" s="413"/>
      <c r="I17" s="413"/>
      <c r="J17" s="413"/>
      <c r="K17" s="413"/>
      <c r="L17" s="413"/>
      <c r="M17" s="413"/>
      <c r="N17" s="178"/>
    </row>
    <row r="18" spans="1:14">
      <c r="A18" s="154" t="s">
        <v>307</v>
      </c>
      <c r="B18" s="154"/>
      <c r="N18" s="179"/>
    </row>
    <row r="19" spans="1:14">
      <c r="N19" s="179"/>
    </row>
    <row r="20" spans="1:14" ht="14.25">
      <c r="F20" s="156">
        <v>2014</v>
      </c>
      <c r="G20" s="117">
        <v>2015</v>
      </c>
      <c r="H20" s="117">
        <v>2016</v>
      </c>
      <c r="I20" s="117">
        <v>2017</v>
      </c>
      <c r="J20" s="117">
        <v>2018</v>
      </c>
      <c r="K20" s="117">
        <v>2019</v>
      </c>
      <c r="L20" s="117">
        <v>2020</v>
      </c>
      <c r="M20" s="117">
        <v>2021</v>
      </c>
      <c r="N20" s="179"/>
    </row>
    <row r="21" spans="1:14">
      <c r="A21" s="136" t="s">
        <v>59</v>
      </c>
      <c r="B21" s="136" t="s">
        <v>184</v>
      </c>
      <c r="C21" s="282" t="s">
        <v>1</v>
      </c>
      <c r="F21" s="190">
        <f>F52</f>
        <v>1.0039499999999999</v>
      </c>
      <c r="G21" s="248">
        <v>0</v>
      </c>
      <c r="N21" s="179"/>
    </row>
    <row r="22" spans="1:14">
      <c r="A22" s="136" t="s">
        <v>55</v>
      </c>
      <c r="B22" s="136" t="s">
        <v>187</v>
      </c>
      <c r="C22" s="282" t="s">
        <v>581</v>
      </c>
      <c r="F22" s="158">
        <f t="shared" ref="F22:M22" si="6">VOLL</f>
        <v>1.6E-2</v>
      </c>
      <c r="G22" s="159">
        <f t="shared" si="6"/>
        <v>1.6E-2</v>
      </c>
      <c r="H22" s="159">
        <f t="shared" si="6"/>
        <v>1.6E-2</v>
      </c>
      <c r="I22" s="159">
        <f t="shared" si="6"/>
        <v>1.6E-2</v>
      </c>
      <c r="J22" s="159">
        <f t="shared" si="6"/>
        <v>1.6E-2</v>
      </c>
      <c r="K22" s="159">
        <f t="shared" si="6"/>
        <v>1.6E-2</v>
      </c>
      <c r="L22" s="159">
        <f t="shared" si="6"/>
        <v>1.6E-2</v>
      </c>
      <c r="M22" s="159">
        <f t="shared" si="6"/>
        <v>1.6E-2</v>
      </c>
      <c r="N22" s="178" t="s">
        <v>187</v>
      </c>
    </row>
    <row r="23" spans="1:14">
      <c r="A23" s="136" t="s">
        <v>57</v>
      </c>
      <c r="B23" s="136" t="s">
        <v>189</v>
      </c>
      <c r="C23" s="282" t="s">
        <v>188</v>
      </c>
      <c r="F23" s="160">
        <f t="shared" ref="F23:M23" si="7">ENST</f>
        <v>225</v>
      </c>
      <c r="G23" s="161">
        <f t="shared" si="7"/>
        <v>225</v>
      </c>
      <c r="H23" s="161">
        <f t="shared" si="7"/>
        <v>225</v>
      </c>
      <c r="I23" s="161">
        <f t="shared" si="7"/>
        <v>225</v>
      </c>
      <c r="J23" s="161">
        <f t="shared" si="7"/>
        <v>225</v>
      </c>
      <c r="K23" s="161">
        <f t="shared" si="7"/>
        <v>225</v>
      </c>
      <c r="L23" s="161">
        <f t="shared" si="7"/>
        <v>225</v>
      </c>
      <c r="M23" s="161">
        <f t="shared" si="7"/>
        <v>225</v>
      </c>
      <c r="N23" s="178" t="s">
        <v>189</v>
      </c>
    </row>
    <row r="24" spans="1:14">
      <c r="A24" s="136" t="s">
        <v>58</v>
      </c>
      <c r="B24" s="136" t="s">
        <v>191</v>
      </c>
      <c r="C24" s="281" t="s">
        <v>492</v>
      </c>
      <c r="F24" s="160">
        <f t="shared" ref="F24:M24" si="8">ENSA</f>
        <v>0</v>
      </c>
      <c r="G24" s="161">
        <f t="shared" si="8"/>
        <v>0</v>
      </c>
      <c r="H24" s="161">
        <f t="shared" si="8"/>
        <v>0</v>
      </c>
      <c r="I24" s="161">
        <f t="shared" si="8"/>
        <v>0</v>
      </c>
      <c r="J24" s="161">
        <f t="shared" si="8"/>
        <v>0</v>
      </c>
      <c r="K24" s="161">
        <f t="shared" si="8"/>
        <v>0</v>
      </c>
      <c r="L24" s="161">
        <f t="shared" si="8"/>
        <v>0</v>
      </c>
      <c r="M24" s="161">
        <f t="shared" si="8"/>
        <v>0</v>
      </c>
      <c r="N24" s="178" t="s">
        <v>191</v>
      </c>
    </row>
    <row r="25" spans="1:14">
      <c r="A25" s="136" t="s">
        <v>308</v>
      </c>
      <c r="B25" s="136" t="s">
        <v>198</v>
      </c>
      <c r="C25" s="282" t="s">
        <v>98</v>
      </c>
      <c r="F25" s="377">
        <f t="shared" ref="F25:M25" si="9">PTIS</f>
        <v>0.64935064935064934</v>
      </c>
      <c r="G25" s="377">
        <f t="shared" si="9"/>
        <v>0.63291139240506322</v>
      </c>
      <c r="H25" s="377">
        <f t="shared" si="9"/>
        <v>0.625</v>
      </c>
      <c r="I25" s="377">
        <f t="shared" si="9"/>
        <v>0.625</v>
      </c>
      <c r="J25" s="377">
        <f t="shared" si="9"/>
        <v>0.61728395061728392</v>
      </c>
      <c r="K25" s="377">
        <f t="shared" si="9"/>
        <v>0.61728395061728392</v>
      </c>
      <c r="L25" s="377">
        <f t="shared" si="9"/>
        <v>0.61728395061728392</v>
      </c>
      <c r="M25" s="377">
        <f t="shared" si="9"/>
        <v>0.60240963855421692</v>
      </c>
      <c r="N25" s="178" t="s">
        <v>198</v>
      </c>
    </row>
    <row r="26" spans="1:14">
      <c r="A26" s="136" t="s">
        <v>56</v>
      </c>
      <c r="B26" s="136" t="s">
        <v>190</v>
      </c>
      <c r="C26" s="282" t="s">
        <v>98</v>
      </c>
      <c r="F26" s="377">
        <f t="shared" ref="F26:M26" si="10">RIDPA</f>
        <v>0.03</v>
      </c>
      <c r="G26" s="377">
        <f t="shared" si="10"/>
        <v>0.03</v>
      </c>
      <c r="H26" s="377">
        <f t="shared" si="10"/>
        <v>0.03</v>
      </c>
      <c r="I26" s="377">
        <f t="shared" si="10"/>
        <v>0.03</v>
      </c>
      <c r="J26" s="377">
        <f t="shared" si="10"/>
        <v>0.03</v>
      </c>
      <c r="K26" s="377">
        <f t="shared" si="10"/>
        <v>0.03</v>
      </c>
      <c r="L26" s="377">
        <f t="shared" si="10"/>
        <v>0.03</v>
      </c>
      <c r="M26" s="377">
        <f t="shared" si="10"/>
        <v>0.03</v>
      </c>
      <c r="N26" s="178" t="s">
        <v>190</v>
      </c>
    </row>
    <row r="27" spans="1:14">
      <c r="A27" s="136" t="s">
        <v>53</v>
      </c>
      <c r="B27" s="136" t="s">
        <v>296</v>
      </c>
      <c r="C27" s="282" t="s">
        <v>1</v>
      </c>
      <c r="F27" s="162">
        <f t="shared" ref="F27:M27" si="11">BR</f>
        <v>261.81688600000001</v>
      </c>
      <c r="G27" s="137">
        <f>BR</f>
        <v>292.91396867050065</v>
      </c>
      <c r="H27" s="137">
        <f t="shared" si="11"/>
        <v>293.58046195096097</v>
      </c>
      <c r="I27" s="137">
        <f t="shared" si="11"/>
        <v>270.34750085222618</v>
      </c>
      <c r="J27" s="137">
        <f t="shared" si="11"/>
        <v>293.19141391350985</v>
      </c>
      <c r="K27" s="137">
        <f t="shared" si="11"/>
        <v>326.49433773015232</v>
      </c>
      <c r="L27" s="137">
        <f t="shared" si="11"/>
        <v>346.61756029829962</v>
      </c>
      <c r="M27" s="137">
        <f t="shared" si="11"/>
        <v>331.96878743067481</v>
      </c>
      <c r="N27" s="178" t="s">
        <v>296</v>
      </c>
    </row>
    <row r="28" spans="1:14">
      <c r="A28" s="136" t="s">
        <v>130</v>
      </c>
      <c r="B28" s="136" t="s">
        <v>130</v>
      </c>
      <c r="C28" s="282" t="s">
        <v>1</v>
      </c>
      <c r="F28" s="148">
        <f t="shared" ref="F28:M28" si="12">TIRG</f>
        <v>26.21188008</v>
      </c>
      <c r="G28" s="138">
        <f t="shared" si="12"/>
        <v>21.199189039999997</v>
      </c>
      <c r="H28" s="138">
        <f t="shared" si="12"/>
        <v>19.893881064000002</v>
      </c>
      <c r="I28" s="138">
        <f t="shared" si="12"/>
        <v>6.6779280000000005</v>
      </c>
      <c r="J28" s="138">
        <f t="shared" si="12"/>
        <v>33.040580456000001</v>
      </c>
      <c r="K28" s="138">
        <f t="shared" si="12"/>
        <v>33.036188543999998</v>
      </c>
      <c r="L28" s="138">
        <f t="shared" si="12"/>
        <v>32.982636848000006</v>
      </c>
      <c r="M28" s="138">
        <f t="shared" si="12"/>
        <v>24.553445280000002</v>
      </c>
      <c r="N28" s="178" t="s">
        <v>130</v>
      </c>
    </row>
    <row r="29" spans="1:14">
      <c r="A29" s="136" t="s">
        <v>309</v>
      </c>
      <c r="B29" s="136" t="s">
        <v>116</v>
      </c>
      <c r="C29" s="282" t="s">
        <v>1</v>
      </c>
      <c r="F29" s="148">
        <f t="shared" ref="F29:M29" si="13">RPIA</f>
        <v>1.167</v>
      </c>
      <c r="G29" s="138">
        <f t="shared" si="13"/>
        <v>1.19</v>
      </c>
      <c r="H29" s="138">
        <f t="shared" si="13"/>
        <v>1.202</v>
      </c>
      <c r="I29" s="138">
        <f t="shared" si="13"/>
        <v>1.228</v>
      </c>
      <c r="J29" s="138">
        <f t="shared" si="13"/>
        <v>1.274</v>
      </c>
      <c r="K29" s="138">
        <f t="shared" si="13"/>
        <v>1.31</v>
      </c>
      <c r="L29" s="138">
        <f t="shared" si="13"/>
        <v>1.3460000000000001</v>
      </c>
      <c r="M29" s="138">
        <f t="shared" si="13"/>
        <v>1.3839999999999999</v>
      </c>
      <c r="N29" s="178" t="s">
        <v>116</v>
      </c>
    </row>
    <row r="30" spans="1:14">
      <c r="A30" s="136" t="s">
        <v>180</v>
      </c>
      <c r="B30" s="136" t="s">
        <v>120</v>
      </c>
      <c r="C30" s="282" t="s">
        <v>110</v>
      </c>
      <c r="F30" s="148">
        <f t="shared" ref="F30:M30" si="14">PVF</f>
        <v>1.0476000000000001</v>
      </c>
      <c r="G30" s="138">
        <f t="shared" si="14"/>
        <v>1.0465</v>
      </c>
      <c r="H30" s="138">
        <f t="shared" si="14"/>
        <v>1.0455000000000001</v>
      </c>
      <c r="I30" s="138">
        <f t="shared" si="14"/>
        <v>1.0446</v>
      </c>
      <c r="J30" s="138">
        <f t="shared" si="14"/>
        <v>1.0437000000000001</v>
      </c>
      <c r="K30" s="138">
        <f t="shared" si="14"/>
        <v>1.042</v>
      </c>
      <c r="L30" s="138">
        <f t="shared" si="14"/>
        <v>1.0402</v>
      </c>
      <c r="M30" s="138">
        <f t="shared" si="14"/>
        <v>1.0402</v>
      </c>
      <c r="N30" s="178" t="s">
        <v>120</v>
      </c>
    </row>
    <row r="31" spans="1:14">
      <c r="A31" s="136" t="s">
        <v>310</v>
      </c>
      <c r="B31" s="136" t="s">
        <v>109</v>
      </c>
      <c r="C31" s="282" t="s">
        <v>110</v>
      </c>
      <c r="F31" s="148">
        <f t="shared" ref="F31:M31" si="15">RPIF</f>
        <v>1.163</v>
      </c>
      <c r="G31" s="138">
        <f t="shared" si="15"/>
        <v>1.2050000000000001</v>
      </c>
      <c r="H31" s="138">
        <f t="shared" si="15"/>
        <v>1.2270000000000001</v>
      </c>
      <c r="I31" s="138">
        <f t="shared" si="15"/>
        <v>1.2330000000000001</v>
      </c>
      <c r="J31" s="138">
        <f t="shared" si="15"/>
        <v>1.2709999999999999</v>
      </c>
      <c r="K31" s="138">
        <f t="shared" si="15"/>
        <v>1.3140000000000001</v>
      </c>
      <c r="L31" s="138">
        <f t="shared" si="15"/>
        <v>1.3580000000000001</v>
      </c>
      <c r="M31" s="138">
        <f t="shared" si="15"/>
        <v>1.31</v>
      </c>
      <c r="N31" s="178" t="s">
        <v>109</v>
      </c>
    </row>
    <row r="32" spans="1:14">
      <c r="A32" s="136" t="s">
        <v>19</v>
      </c>
      <c r="B32" s="136" t="s">
        <v>248</v>
      </c>
      <c r="C32" s="282" t="s">
        <v>1</v>
      </c>
      <c r="F32" s="181">
        <f>SUM(F21)</f>
        <v>1.0039499999999999</v>
      </c>
      <c r="G32" s="178"/>
      <c r="H32" s="143">
        <f>MAX(H22*(F23-F24)*F25,-H26*(F27+F28)/F29)*F30*G30*H31</f>
        <v>3.1445685392727274</v>
      </c>
      <c r="I32" s="143">
        <f t="shared" ref="I32:M32" si="16">MAX(I22*(G23-G24)*G25,-I26*(G27+G28)/G29)*G30*H30*I31</f>
        <v>3.0737727791772151</v>
      </c>
      <c r="J32" s="143">
        <f t="shared" si="16"/>
        <v>3.1232167656750001</v>
      </c>
      <c r="K32" s="143">
        <f t="shared" si="16"/>
        <v>3.2233212276300001</v>
      </c>
      <c r="L32" s="143">
        <f t="shared" si="16"/>
        <v>3.2819401626666678</v>
      </c>
      <c r="M32" s="143">
        <f t="shared" si="16"/>
        <v>3.1553195644444445</v>
      </c>
      <c r="N32" s="178" t="s">
        <v>248</v>
      </c>
    </row>
    <row r="33" spans="1:14">
      <c r="C33" s="258"/>
      <c r="F33" s="123"/>
      <c r="G33" s="123"/>
      <c r="H33" s="123"/>
      <c r="I33" s="123"/>
      <c r="J33" s="123"/>
      <c r="N33" s="179"/>
    </row>
    <row r="34" spans="1:14">
      <c r="C34" s="258"/>
      <c r="F34" s="123"/>
      <c r="G34" s="123"/>
      <c r="H34" s="123"/>
      <c r="I34" s="123"/>
      <c r="J34" s="123"/>
      <c r="N34" s="179"/>
    </row>
    <row r="35" spans="1:14">
      <c r="A35" s="136" t="s">
        <v>402</v>
      </c>
      <c r="C35" s="258"/>
      <c r="G35" s="123"/>
      <c r="N35" s="179"/>
    </row>
    <row r="36" spans="1:14" ht="14.25">
      <c r="C36" s="258"/>
      <c r="F36" s="156">
        <v>2014</v>
      </c>
      <c r="G36" s="123"/>
      <c r="N36" s="179"/>
    </row>
    <row r="37" spans="1:14" ht="13.5">
      <c r="A37" s="119" t="s">
        <v>53</v>
      </c>
      <c r="B37" s="119" t="s">
        <v>403</v>
      </c>
      <c r="C37" s="263" t="s">
        <v>1</v>
      </c>
      <c r="D37" s="119"/>
      <c r="F37" s="163">
        <f>'R6 Base revenue'!F14</f>
        <v>261.81688600000001</v>
      </c>
      <c r="G37" s="120"/>
      <c r="H37" s="120"/>
      <c r="N37" s="179"/>
    </row>
    <row r="38" spans="1:14" ht="13.5">
      <c r="A38" s="119" t="s">
        <v>404</v>
      </c>
      <c r="B38" s="119" t="s">
        <v>405</v>
      </c>
      <c r="C38" s="263" t="s">
        <v>1</v>
      </c>
      <c r="D38" s="119"/>
      <c r="F38" s="163">
        <f>'R6 Base revenue'!E53</f>
        <v>200.79</v>
      </c>
      <c r="G38" s="120"/>
      <c r="H38" s="120"/>
      <c r="N38" s="179"/>
    </row>
    <row r="39" spans="1:14" ht="13.5">
      <c r="A39" s="119"/>
      <c r="B39" s="119"/>
      <c r="C39" s="263"/>
      <c r="D39" s="119"/>
      <c r="F39" s="120"/>
      <c r="G39" s="120"/>
      <c r="H39" s="120"/>
      <c r="N39" s="179"/>
    </row>
    <row r="40" spans="1:14" ht="13.5">
      <c r="A40" s="164" t="s">
        <v>406</v>
      </c>
      <c r="B40" s="119"/>
      <c r="C40" s="263"/>
      <c r="D40" s="119"/>
      <c r="F40" s="120"/>
      <c r="G40" s="120"/>
      <c r="H40" s="120"/>
      <c r="N40" s="179"/>
    </row>
    <row r="41" spans="1:14" ht="13.5">
      <c r="A41" s="119"/>
      <c r="B41" s="119"/>
      <c r="C41" s="263"/>
      <c r="D41" s="119"/>
      <c r="F41" s="120"/>
      <c r="G41" s="120"/>
      <c r="H41" s="120"/>
      <c r="N41" s="179"/>
    </row>
    <row r="42" spans="1:14" ht="13.5">
      <c r="A42" s="119" t="s">
        <v>424</v>
      </c>
      <c r="B42" s="119" t="s">
        <v>407</v>
      </c>
      <c r="C42" s="263" t="s">
        <v>98</v>
      </c>
      <c r="D42" s="119"/>
      <c r="F42" s="165">
        <f>'R4 Licence Condition Values'!F34</f>
        <v>5.0000000000000001E-3</v>
      </c>
      <c r="G42" s="120"/>
      <c r="H42" s="120"/>
      <c r="N42" s="179"/>
    </row>
    <row r="43" spans="1:14" ht="13.5">
      <c r="A43" s="119" t="s">
        <v>425</v>
      </c>
      <c r="B43" s="119" t="s">
        <v>190</v>
      </c>
      <c r="C43" s="263" t="s">
        <v>98</v>
      </c>
      <c r="D43" s="119"/>
      <c r="F43" s="165">
        <f>'R4 Licence Condition Values'!F35</f>
        <v>-7.4999999999999997E-3</v>
      </c>
      <c r="G43" s="120"/>
      <c r="H43" s="120"/>
      <c r="N43" s="179"/>
    </row>
    <row r="44" spans="1:14" ht="13.5">
      <c r="A44" s="119" t="s">
        <v>426</v>
      </c>
      <c r="B44" s="119" t="s">
        <v>408</v>
      </c>
      <c r="C44" s="263" t="s">
        <v>429</v>
      </c>
      <c r="D44" s="119"/>
      <c r="F44" s="166">
        <f>'R4 Licence Condition Values'!F32</f>
        <v>10</v>
      </c>
      <c r="G44" s="120"/>
      <c r="H44" s="120"/>
      <c r="N44" s="179"/>
    </row>
    <row r="45" spans="1:14" ht="13.5">
      <c r="A45" s="119" t="s">
        <v>427</v>
      </c>
      <c r="B45" s="119" t="s">
        <v>409</v>
      </c>
      <c r="C45" s="263" t="s">
        <v>429</v>
      </c>
      <c r="D45" s="119"/>
      <c r="F45" s="166">
        <f>'R4 Licence Condition Values'!F37</f>
        <v>22</v>
      </c>
      <c r="G45" s="120"/>
      <c r="H45" s="120"/>
      <c r="N45" s="179"/>
    </row>
    <row r="46" spans="1:14" ht="13.5">
      <c r="A46" s="119" t="s">
        <v>423</v>
      </c>
      <c r="B46" s="119" t="s">
        <v>410</v>
      </c>
      <c r="C46" s="263"/>
      <c r="D46" s="119"/>
      <c r="F46" s="166">
        <f>'R5 Input page'!F57</f>
        <v>0</v>
      </c>
      <c r="G46" s="120"/>
      <c r="H46" s="120"/>
      <c r="N46" s="179"/>
    </row>
    <row r="47" spans="1:14" ht="13.5">
      <c r="A47" s="119" t="s">
        <v>428</v>
      </c>
      <c r="B47" s="119" t="s">
        <v>411</v>
      </c>
      <c r="C47" s="263" t="s">
        <v>429</v>
      </c>
      <c r="D47" s="119"/>
      <c r="F47" s="166">
        <f>'R4 Licence Condition Values'!F31</f>
        <v>8</v>
      </c>
      <c r="G47" s="120"/>
      <c r="H47" s="120"/>
      <c r="N47" s="179"/>
    </row>
    <row r="48" spans="1:14" ht="13.5">
      <c r="A48" s="119"/>
      <c r="B48" s="119"/>
      <c r="C48" s="258"/>
      <c r="F48" s="120"/>
      <c r="G48" s="120"/>
      <c r="H48" s="120"/>
      <c r="N48" s="179"/>
    </row>
    <row r="49" spans="1:14" ht="13.5">
      <c r="A49" s="119"/>
      <c r="B49" s="119"/>
      <c r="C49" s="263"/>
      <c r="D49" s="119"/>
      <c r="F49" s="120"/>
      <c r="G49" s="120"/>
      <c r="H49" s="120"/>
      <c r="N49" s="179"/>
    </row>
    <row r="50" spans="1:14" ht="13.15">
      <c r="A50" s="119" t="s">
        <v>412</v>
      </c>
      <c r="B50" s="119" t="s">
        <v>413</v>
      </c>
      <c r="C50" s="263" t="s">
        <v>98</v>
      </c>
      <c r="D50" s="119"/>
      <c r="F50" s="182">
        <f>IF(F46&lt;F47,F42*((F47-F46)/F47),IF(F46&gt;F44,MAX(F43,F43*((F46-F44)/(F45-F44))),0))</f>
        <v>5.0000000000000001E-3</v>
      </c>
      <c r="N50" s="179"/>
    </row>
    <row r="51" spans="1:14" ht="13.5">
      <c r="A51" s="119"/>
      <c r="B51" s="119"/>
      <c r="D51" s="119"/>
      <c r="E51" s="120"/>
      <c r="G51" s="123"/>
      <c r="H51" s="123"/>
      <c r="I51" s="123"/>
      <c r="J51" s="123"/>
      <c r="N51" s="179"/>
    </row>
    <row r="52" spans="1:14" ht="13.15">
      <c r="A52" s="119" t="s">
        <v>414</v>
      </c>
      <c r="B52" s="119" t="s">
        <v>248</v>
      </c>
      <c r="C52" s="263" t="s">
        <v>1</v>
      </c>
      <c r="D52" s="119"/>
      <c r="F52" s="183">
        <f>F38*F50</f>
        <v>1.0039499999999999</v>
      </c>
      <c r="G52" s="123"/>
      <c r="H52" s="123"/>
      <c r="I52" s="123"/>
      <c r="J52" s="123"/>
      <c r="N52" s="179"/>
    </row>
    <row r="53" spans="1:14">
      <c r="C53" s="258"/>
      <c r="G53" s="123"/>
      <c r="N53" s="179"/>
    </row>
    <row r="54" spans="1:14">
      <c r="C54" s="258"/>
      <c r="G54" s="123"/>
      <c r="N54" s="179"/>
    </row>
    <row r="55" spans="1:14" ht="13.5">
      <c r="A55" s="157" t="s">
        <v>20</v>
      </c>
      <c r="C55" s="258"/>
      <c r="G55" s="123"/>
      <c r="N55" s="179"/>
    </row>
    <row r="56" spans="1:14">
      <c r="C56" s="258"/>
      <c r="L56" s="123"/>
      <c r="N56" s="179"/>
    </row>
    <row r="57" spans="1:14">
      <c r="A57" s="154" t="s">
        <v>313</v>
      </c>
      <c r="B57" s="154"/>
      <c r="C57" s="258"/>
      <c r="L57" s="123"/>
      <c r="N57" s="179"/>
    </row>
    <row r="58" spans="1:14">
      <c r="A58" s="154" t="s">
        <v>479</v>
      </c>
      <c r="C58" s="258"/>
      <c r="N58" s="179"/>
    </row>
    <row r="59" spans="1:14">
      <c r="C59" s="258"/>
      <c r="N59" s="179"/>
    </row>
    <row r="60" spans="1:14" ht="14.25">
      <c r="C60" s="258"/>
      <c r="F60" s="156">
        <v>2014</v>
      </c>
      <c r="G60" s="117">
        <v>2015</v>
      </c>
      <c r="H60" s="117">
        <v>2016</v>
      </c>
      <c r="I60" s="117">
        <v>2017</v>
      </c>
      <c r="J60" s="117">
        <v>2018</v>
      </c>
      <c r="K60" s="117">
        <v>2019</v>
      </c>
      <c r="L60" s="117">
        <v>2020</v>
      </c>
      <c r="M60" s="117">
        <v>2021</v>
      </c>
      <c r="N60" s="179"/>
    </row>
    <row r="61" spans="1:14">
      <c r="A61" s="136" t="s">
        <v>34</v>
      </c>
      <c r="B61" s="136" t="s">
        <v>315</v>
      </c>
      <c r="C61" s="291" t="s">
        <v>1</v>
      </c>
      <c r="F61" s="148">
        <f t="shared" ref="F61:M61" si="17">IF(SER&lt;F73*SERLIMIT,SER,F73*SERLIMIT)</f>
        <v>0</v>
      </c>
      <c r="G61" s="148">
        <f t="shared" si="17"/>
        <v>0</v>
      </c>
      <c r="H61" s="148">
        <f t="shared" si="17"/>
        <v>0</v>
      </c>
      <c r="I61" s="148">
        <f t="shared" si="17"/>
        <v>0</v>
      </c>
      <c r="J61" s="148">
        <f t="shared" si="17"/>
        <v>0</v>
      </c>
      <c r="K61" s="148">
        <f t="shared" si="17"/>
        <v>0</v>
      </c>
      <c r="L61" s="148">
        <f t="shared" si="17"/>
        <v>0</v>
      </c>
      <c r="M61" s="148">
        <f t="shared" si="17"/>
        <v>0</v>
      </c>
      <c r="N61" s="178" t="s">
        <v>315</v>
      </c>
    </row>
    <row r="62" spans="1:14">
      <c r="A62" s="136" t="s">
        <v>35</v>
      </c>
      <c r="B62" s="136" t="s">
        <v>300</v>
      </c>
      <c r="C62" s="291" t="s">
        <v>1</v>
      </c>
      <c r="F62" s="148">
        <f t="shared" ref="F62:M62" si="18">SSI</f>
        <v>0</v>
      </c>
      <c r="G62" s="148">
        <f t="shared" si="18"/>
        <v>0</v>
      </c>
      <c r="H62" s="148">
        <f t="shared" si="18"/>
        <v>0</v>
      </c>
      <c r="I62" s="148">
        <f t="shared" si="18"/>
        <v>-2.4932288596700354</v>
      </c>
      <c r="J62" s="148">
        <f t="shared" si="18"/>
        <v>-2.9360879493255885</v>
      </c>
      <c r="K62" s="148">
        <f t="shared" si="18"/>
        <v>-3.2357747364673703</v>
      </c>
      <c r="L62" s="148">
        <f t="shared" si="18"/>
        <v>-3.4164017743166966</v>
      </c>
      <c r="M62" s="148">
        <f t="shared" si="18"/>
        <v>-3.2087000943960731</v>
      </c>
      <c r="N62" s="178" t="s">
        <v>300</v>
      </c>
    </row>
    <row r="63" spans="1:14">
      <c r="A63" s="136" t="s">
        <v>196</v>
      </c>
      <c r="B63" s="136" t="s">
        <v>316</v>
      </c>
      <c r="C63" s="283" t="s">
        <v>98</v>
      </c>
      <c r="F63" s="148">
        <f t="shared" ref="F63:M63" si="19">It</f>
        <v>0.5</v>
      </c>
      <c r="G63" s="138">
        <f t="shared" si="19"/>
        <v>0.5</v>
      </c>
      <c r="H63" s="138">
        <f t="shared" si="19"/>
        <v>0.5</v>
      </c>
      <c r="I63" s="138">
        <f t="shared" si="19"/>
        <v>0.34</v>
      </c>
      <c r="J63" s="138">
        <f t="shared" si="19"/>
        <v>0.35</v>
      </c>
      <c r="K63" s="138">
        <f t="shared" si="19"/>
        <v>0.67</v>
      </c>
      <c r="L63" s="138">
        <f t="shared" si="19"/>
        <v>0</v>
      </c>
      <c r="M63" s="138">
        <f t="shared" si="19"/>
        <v>0</v>
      </c>
      <c r="N63" s="178" t="s">
        <v>316</v>
      </c>
    </row>
    <row r="64" spans="1:14">
      <c r="A64" s="136" t="s">
        <v>20</v>
      </c>
      <c r="B64" s="136" t="s">
        <v>311</v>
      </c>
      <c r="C64" s="291" t="s">
        <v>1</v>
      </c>
      <c r="F64" s="241"/>
      <c r="G64" s="241"/>
      <c r="H64" s="143">
        <f>SUM(F61:F62)*(1+F63/100)*(1+G63/100)</f>
        <v>0</v>
      </c>
      <c r="I64" s="143">
        <f t="shared" ref="I64:M64" si="20">SUM(G61:G62)*(1+G63/100)*(1+H63/100)</f>
        <v>0</v>
      </c>
      <c r="J64" s="143">
        <f t="shared" si="20"/>
        <v>0</v>
      </c>
      <c r="K64" s="143">
        <f t="shared" si="20"/>
        <v>-2.5104618082251888</v>
      </c>
      <c r="L64" s="143">
        <f t="shared" si="20"/>
        <v>-2.9661048976711211</v>
      </c>
      <c r="M64" s="143">
        <f t="shared" si="20"/>
        <v>-3.2574544272017016</v>
      </c>
      <c r="N64" s="178" t="s">
        <v>311</v>
      </c>
    </row>
    <row r="65" spans="1:14">
      <c r="C65" s="258"/>
      <c r="F65" s="123"/>
      <c r="H65" s="123"/>
      <c r="I65" s="123"/>
      <c r="N65" s="179"/>
    </row>
    <row r="66" spans="1:14">
      <c r="C66" s="258"/>
      <c r="N66" s="179"/>
    </row>
    <row r="67" spans="1:14" ht="13.5">
      <c r="A67" s="351"/>
      <c r="C67" s="258"/>
      <c r="E67" s="167"/>
      <c r="N67" s="179"/>
    </row>
    <row r="68" spans="1:14" ht="17.649999999999999">
      <c r="A68" s="352" t="s">
        <v>301</v>
      </c>
      <c r="C68" s="258"/>
      <c r="D68" s="343"/>
      <c r="F68" s="168" t="s">
        <v>582</v>
      </c>
      <c r="L68" s="123"/>
      <c r="N68" s="179"/>
    </row>
    <row r="69" spans="1:14">
      <c r="A69" s="352" t="s">
        <v>480</v>
      </c>
      <c r="C69" s="258"/>
      <c r="N69" s="179"/>
    </row>
    <row r="70" spans="1:14" ht="14.25">
      <c r="A70" s="351"/>
      <c r="C70" s="258"/>
      <c r="E70" s="325"/>
      <c r="F70" s="156">
        <v>2014</v>
      </c>
      <c r="G70" s="117">
        <v>2015</v>
      </c>
      <c r="H70" s="117">
        <v>2016</v>
      </c>
      <c r="I70" s="117">
        <v>2017</v>
      </c>
      <c r="J70" s="117">
        <v>2018</v>
      </c>
      <c r="K70" s="117">
        <v>2019</v>
      </c>
      <c r="L70" s="117">
        <v>2020</v>
      </c>
      <c r="M70" s="117">
        <v>2021</v>
      </c>
      <c r="N70" s="179"/>
    </row>
    <row r="71" spans="1:14">
      <c r="A71" s="351" t="s">
        <v>192</v>
      </c>
      <c r="B71" s="136" t="s">
        <v>296</v>
      </c>
      <c r="C71" s="284" t="s">
        <v>1</v>
      </c>
      <c r="E71" s="325"/>
      <c r="F71" s="162">
        <f t="shared" ref="F71:M71" si="21">BR</f>
        <v>261.81688600000001</v>
      </c>
      <c r="G71" s="137">
        <f t="shared" si="21"/>
        <v>292.91396867050065</v>
      </c>
      <c r="H71" s="137">
        <f t="shared" si="21"/>
        <v>293.58046195096097</v>
      </c>
      <c r="I71" s="137">
        <f t="shared" si="21"/>
        <v>270.34750085222618</v>
      </c>
      <c r="J71" s="137">
        <f t="shared" si="21"/>
        <v>293.19141391350985</v>
      </c>
      <c r="K71" s="137">
        <f t="shared" si="21"/>
        <v>326.49433773015232</v>
      </c>
      <c r="L71" s="137">
        <f t="shared" si="21"/>
        <v>346.61756029829962</v>
      </c>
      <c r="M71" s="137">
        <f t="shared" si="21"/>
        <v>331.96878743067481</v>
      </c>
      <c r="N71" s="178" t="s">
        <v>296</v>
      </c>
    </row>
    <row r="72" spans="1:14">
      <c r="A72" s="351" t="s">
        <v>193</v>
      </c>
      <c r="B72" s="136" t="s">
        <v>130</v>
      </c>
      <c r="C72" s="284" t="s">
        <v>1</v>
      </c>
      <c r="E72" s="325"/>
      <c r="F72" s="162">
        <f t="shared" ref="F72:M72" si="22">TIRG</f>
        <v>26.21188008</v>
      </c>
      <c r="G72" s="137">
        <f t="shared" si="22"/>
        <v>21.199189039999997</v>
      </c>
      <c r="H72" s="137">
        <f t="shared" si="22"/>
        <v>19.893881064000002</v>
      </c>
      <c r="I72" s="137">
        <f t="shared" si="22"/>
        <v>6.6779280000000005</v>
      </c>
      <c r="J72" s="137">
        <f t="shared" si="22"/>
        <v>33.040580456000001</v>
      </c>
      <c r="K72" s="137">
        <f t="shared" si="22"/>
        <v>33.036188543999998</v>
      </c>
      <c r="L72" s="137">
        <f t="shared" si="22"/>
        <v>32.982636848000006</v>
      </c>
      <c r="M72" s="137">
        <f t="shared" si="22"/>
        <v>24.553445280000002</v>
      </c>
      <c r="N72" s="178" t="s">
        <v>130</v>
      </c>
    </row>
    <row r="73" spans="1:14">
      <c r="A73" s="351"/>
      <c r="B73" s="136" t="s">
        <v>77</v>
      </c>
      <c r="C73" s="284" t="s">
        <v>1</v>
      </c>
      <c r="E73" s="325"/>
      <c r="F73" s="184">
        <f>F71+F72</f>
        <v>288.02876608000003</v>
      </c>
      <c r="G73" s="142">
        <f t="shared" ref="G73:M73" si="23">G71+G72</f>
        <v>314.11315771050067</v>
      </c>
      <c r="H73" s="142">
        <f t="shared" si="23"/>
        <v>313.47434301496099</v>
      </c>
      <c r="I73" s="142">
        <f t="shared" si="23"/>
        <v>277.02542885222618</v>
      </c>
      <c r="J73" s="142">
        <f t="shared" si="23"/>
        <v>326.23199436950983</v>
      </c>
      <c r="K73" s="142">
        <f t="shared" si="23"/>
        <v>359.53052627415229</v>
      </c>
      <c r="L73" s="142">
        <f t="shared" si="23"/>
        <v>379.60019714629965</v>
      </c>
      <c r="M73" s="142">
        <f t="shared" si="23"/>
        <v>356.52223271067481</v>
      </c>
      <c r="N73" s="178"/>
    </row>
    <row r="74" spans="1:14">
      <c r="A74" s="351" t="s">
        <v>535</v>
      </c>
      <c r="B74" s="136" t="s">
        <v>534</v>
      </c>
      <c r="C74" s="284" t="s">
        <v>110</v>
      </c>
      <c r="E74" s="325"/>
      <c r="F74" s="162">
        <f t="shared" ref="F74:M74" si="24">SSPRO</f>
        <v>0</v>
      </c>
      <c r="G74" s="162">
        <f t="shared" si="24"/>
        <v>0</v>
      </c>
      <c r="H74" s="162">
        <f t="shared" si="24"/>
        <v>0</v>
      </c>
      <c r="I74" s="162">
        <f t="shared" si="24"/>
        <v>0.6</v>
      </c>
      <c r="J74" s="162">
        <f t="shared" si="24"/>
        <v>0.6</v>
      </c>
      <c r="K74" s="162">
        <f t="shared" si="24"/>
        <v>0.6</v>
      </c>
      <c r="L74" s="162">
        <f t="shared" si="24"/>
        <v>0.6</v>
      </c>
      <c r="M74" s="162">
        <f t="shared" si="24"/>
        <v>0.6</v>
      </c>
      <c r="N74" s="178" t="s">
        <v>534</v>
      </c>
    </row>
    <row r="75" spans="1:14">
      <c r="A75" s="351" t="s">
        <v>194</v>
      </c>
      <c r="B75" s="136" t="s">
        <v>302</v>
      </c>
      <c r="C75" s="284" t="s">
        <v>110</v>
      </c>
      <c r="E75" s="325"/>
      <c r="F75" s="162">
        <f>F95</f>
        <v>0</v>
      </c>
      <c r="G75" s="162">
        <f t="shared" ref="G75:M75" si="25">G95</f>
        <v>0</v>
      </c>
      <c r="H75" s="162">
        <f t="shared" si="25"/>
        <v>0</v>
      </c>
      <c r="I75" s="162">
        <f t="shared" si="25"/>
        <v>-1</v>
      </c>
      <c r="J75" s="162">
        <f t="shared" si="25"/>
        <v>-1</v>
      </c>
      <c r="K75" s="162">
        <f t="shared" si="25"/>
        <v>-1</v>
      </c>
      <c r="L75" s="162">
        <f t="shared" si="25"/>
        <v>-1</v>
      </c>
      <c r="M75" s="162">
        <f t="shared" si="25"/>
        <v>-1</v>
      </c>
      <c r="N75" s="178"/>
    </row>
    <row r="76" spans="1:14">
      <c r="A76" s="351"/>
      <c r="B76" s="136" t="s">
        <v>195</v>
      </c>
      <c r="C76" s="284" t="s">
        <v>110</v>
      </c>
      <c r="E76" s="325"/>
      <c r="F76" s="181">
        <f>F74*F75</f>
        <v>0</v>
      </c>
      <c r="G76" s="143">
        <f t="shared" ref="G76:M76" si="26">G74*G75</f>
        <v>0</v>
      </c>
      <c r="H76" s="143">
        <f t="shared" si="26"/>
        <v>0</v>
      </c>
      <c r="I76" s="143">
        <f t="shared" si="26"/>
        <v>-0.6</v>
      </c>
      <c r="J76" s="143">
        <f t="shared" si="26"/>
        <v>-0.6</v>
      </c>
      <c r="K76" s="143">
        <f t="shared" si="26"/>
        <v>-0.6</v>
      </c>
      <c r="L76" s="143">
        <f t="shared" si="26"/>
        <v>-0.6</v>
      </c>
      <c r="M76" s="143">
        <f t="shared" si="26"/>
        <v>-0.6</v>
      </c>
      <c r="N76" s="178"/>
    </row>
    <row r="77" spans="1:14">
      <c r="A77" s="351" t="s">
        <v>535</v>
      </c>
      <c r="B77" s="136" t="s">
        <v>536</v>
      </c>
      <c r="C77" s="284" t="s">
        <v>110</v>
      </c>
      <c r="E77" s="325"/>
      <c r="F77" s="162">
        <f t="shared" ref="F77:M77" si="27">SKPIPRO</f>
        <v>0</v>
      </c>
      <c r="G77" s="162">
        <f t="shared" si="27"/>
        <v>0</v>
      </c>
      <c r="H77" s="162">
        <f t="shared" si="27"/>
        <v>0</v>
      </c>
      <c r="I77" s="162">
        <f t="shared" si="27"/>
        <v>0.3</v>
      </c>
      <c r="J77" s="162">
        <f t="shared" si="27"/>
        <v>0.3</v>
      </c>
      <c r="K77" s="162">
        <f t="shared" si="27"/>
        <v>0.3</v>
      </c>
      <c r="L77" s="162">
        <f t="shared" si="27"/>
        <v>0.3</v>
      </c>
      <c r="M77" s="162">
        <f t="shared" si="27"/>
        <v>0.3</v>
      </c>
      <c r="N77" s="178" t="s">
        <v>536</v>
      </c>
    </row>
    <row r="78" spans="1:14">
      <c r="A78" s="351" t="s">
        <v>194</v>
      </c>
      <c r="B78" s="136" t="s">
        <v>303</v>
      </c>
      <c r="C78" s="284" t="s">
        <v>110</v>
      </c>
      <c r="E78" s="325"/>
      <c r="F78" s="162">
        <f t="shared" ref="F78:M78" si="28">SKPI</f>
        <v>0</v>
      </c>
      <c r="G78" s="162">
        <f t="shared" si="28"/>
        <v>0</v>
      </c>
      <c r="H78" s="162">
        <f t="shared" si="28"/>
        <v>0</v>
      </c>
      <c r="I78" s="162">
        <f t="shared" si="28"/>
        <v>-1</v>
      </c>
      <c r="J78" s="162">
        <f t="shared" si="28"/>
        <v>-1</v>
      </c>
      <c r="K78" s="162">
        <f t="shared" si="28"/>
        <v>-1</v>
      </c>
      <c r="L78" s="162">
        <f t="shared" si="28"/>
        <v>-1</v>
      </c>
      <c r="M78" s="162">
        <f t="shared" si="28"/>
        <v>-1</v>
      </c>
      <c r="N78" s="178" t="s">
        <v>303</v>
      </c>
    </row>
    <row r="79" spans="1:14">
      <c r="A79" s="351"/>
      <c r="B79" s="136" t="s">
        <v>195</v>
      </c>
      <c r="C79" s="284" t="s">
        <v>110</v>
      </c>
      <c r="E79" s="325"/>
      <c r="F79" s="181">
        <f>F77*F78</f>
        <v>0</v>
      </c>
      <c r="G79" s="143">
        <f t="shared" ref="G79:M79" si="29">G77*G78</f>
        <v>0</v>
      </c>
      <c r="H79" s="143">
        <f t="shared" si="29"/>
        <v>0</v>
      </c>
      <c r="I79" s="143">
        <f t="shared" si="29"/>
        <v>-0.3</v>
      </c>
      <c r="J79" s="143">
        <f t="shared" si="29"/>
        <v>-0.3</v>
      </c>
      <c r="K79" s="143">
        <f t="shared" si="29"/>
        <v>-0.3</v>
      </c>
      <c r="L79" s="143">
        <f t="shared" si="29"/>
        <v>-0.3</v>
      </c>
      <c r="M79" s="143">
        <f t="shared" si="29"/>
        <v>-0.3</v>
      </c>
      <c r="N79" s="178"/>
    </row>
    <row r="80" spans="1:14">
      <c r="A80" s="351" t="s">
        <v>535</v>
      </c>
      <c r="B80" s="136" t="s">
        <v>537</v>
      </c>
      <c r="C80" s="284" t="s">
        <v>110</v>
      </c>
      <c r="E80" s="325"/>
      <c r="F80" s="162">
        <f t="shared" ref="F80:M80" si="30">SEAPRO</f>
        <v>0.1</v>
      </c>
      <c r="G80" s="162">
        <f t="shared" si="30"/>
        <v>0.1</v>
      </c>
      <c r="H80" s="162">
        <f t="shared" si="30"/>
        <v>0.1</v>
      </c>
      <c r="I80" s="162">
        <f t="shared" si="30"/>
        <v>0.1</v>
      </c>
      <c r="J80" s="162">
        <f t="shared" si="30"/>
        <v>0.1</v>
      </c>
      <c r="K80" s="162">
        <f t="shared" si="30"/>
        <v>0.1</v>
      </c>
      <c r="L80" s="162">
        <f t="shared" si="30"/>
        <v>0.1</v>
      </c>
      <c r="M80" s="162">
        <f t="shared" si="30"/>
        <v>0.1</v>
      </c>
      <c r="N80" s="178" t="s">
        <v>537</v>
      </c>
    </row>
    <row r="81" spans="1:14">
      <c r="A81" s="351" t="s">
        <v>194</v>
      </c>
      <c r="B81" s="136" t="s">
        <v>304</v>
      </c>
      <c r="C81" s="284" t="s">
        <v>110</v>
      </c>
      <c r="E81" s="325"/>
      <c r="F81" s="162">
        <f t="shared" ref="F81:M81" si="31">SEA</f>
        <v>0</v>
      </c>
      <c r="G81" s="162">
        <f t="shared" si="31"/>
        <v>0</v>
      </c>
      <c r="H81" s="162">
        <f t="shared" si="31"/>
        <v>0</v>
      </c>
      <c r="I81" s="162">
        <f t="shared" si="31"/>
        <v>0</v>
      </c>
      <c r="J81" s="162">
        <f t="shared" si="31"/>
        <v>0</v>
      </c>
      <c r="K81" s="162">
        <f t="shared" si="31"/>
        <v>0</v>
      </c>
      <c r="L81" s="162">
        <f t="shared" si="31"/>
        <v>0</v>
      </c>
      <c r="M81" s="162">
        <f t="shared" si="31"/>
        <v>0</v>
      </c>
      <c r="N81" s="178" t="s">
        <v>304</v>
      </c>
    </row>
    <row r="82" spans="1:14">
      <c r="A82" s="351"/>
      <c r="B82" s="136" t="s">
        <v>195</v>
      </c>
      <c r="C82" s="284" t="s">
        <v>110</v>
      </c>
      <c r="E82" s="325"/>
      <c r="F82" s="181">
        <f>F80*F81</f>
        <v>0</v>
      </c>
      <c r="G82" s="143">
        <f t="shared" ref="G82:M82" si="32">G80*G81</f>
        <v>0</v>
      </c>
      <c r="H82" s="143">
        <f t="shared" si="32"/>
        <v>0</v>
      </c>
      <c r="I82" s="143">
        <f t="shared" si="32"/>
        <v>0</v>
      </c>
      <c r="J82" s="143">
        <f t="shared" si="32"/>
        <v>0</v>
      </c>
      <c r="K82" s="143">
        <f t="shared" si="32"/>
        <v>0</v>
      </c>
      <c r="L82" s="143">
        <f t="shared" si="32"/>
        <v>0</v>
      </c>
      <c r="M82" s="143">
        <f t="shared" si="32"/>
        <v>0</v>
      </c>
      <c r="N82" s="179"/>
    </row>
    <row r="83" spans="1:14">
      <c r="A83" s="351" t="s">
        <v>35</v>
      </c>
      <c r="B83" s="136" t="s">
        <v>300</v>
      </c>
      <c r="C83" s="327" t="s">
        <v>1</v>
      </c>
      <c r="E83" s="325"/>
      <c r="F83" s="143">
        <f>0.01*(F76+F79+F82)*(F71+F72)</f>
        <v>0</v>
      </c>
      <c r="G83" s="143">
        <f>0.01*(G76+G79+G82)*(G71+G72)</f>
        <v>0</v>
      </c>
      <c r="H83" s="143">
        <f t="shared" ref="H83:M83" si="33">0.01*(H76+H79+H82)*(H71+H72)</f>
        <v>0</v>
      </c>
      <c r="I83" s="143">
        <f t="shared" si="33"/>
        <v>-2.4932288596700354</v>
      </c>
      <c r="J83" s="143">
        <f t="shared" si="33"/>
        <v>-2.9360879493255885</v>
      </c>
      <c r="K83" s="143">
        <f t="shared" si="33"/>
        <v>-3.2357747364673703</v>
      </c>
      <c r="L83" s="143">
        <f t="shared" si="33"/>
        <v>-3.4164017743166966</v>
      </c>
      <c r="M83" s="143">
        <f t="shared" si="33"/>
        <v>-3.2087000943960731</v>
      </c>
      <c r="N83" s="178" t="s">
        <v>300</v>
      </c>
    </row>
    <row r="84" spans="1:14">
      <c r="A84" s="351"/>
      <c r="C84" s="258"/>
      <c r="F84" s="123"/>
      <c r="I84" s="123"/>
      <c r="N84" s="178"/>
    </row>
    <row r="85" spans="1:14" ht="15.4">
      <c r="A85" s="351"/>
      <c r="C85" s="258"/>
      <c r="F85" s="342" t="s">
        <v>538</v>
      </c>
      <c r="K85" s="342" t="s">
        <v>539</v>
      </c>
      <c r="N85" s="178"/>
    </row>
    <row r="86" spans="1:14" s="287" customFormat="1" ht="17.649999999999999">
      <c r="A86" s="352" t="s">
        <v>541</v>
      </c>
      <c r="B86" s="325"/>
      <c r="C86" s="291"/>
      <c r="D86" s="325"/>
      <c r="E86" s="325"/>
      <c r="F86" s="169" t="s">
        <v>583</v>
      </c>
      <c r="K86" s="169" t="s">
        <v>584</v>
      </c>
      <c r="N86" s="178"/>
    </row>
    <row r="87" spans="1:14" s="287" customFormat="1" ht="15.4">
      <c r="A87" s="352" t="s">
        <v>540</v>
      </c>
      <c r="B87" s="325"/>
      <c r="C87" s="291"/>
      <c r="D87" s="325"/>
      <c r="E87" s="325"/>
      <c r="F87" s="169"/>
      <c r="N87" s="178"/>
    </row>
    <row r="88" spans="1:14" s="287" customFormat="1" ht="15.4">
      <c r="A88" s="351"/>
      <c r="B88" s="325"/>
      <c r="C88" s="291"/>
      <c r="D88" s="325"/>
      <c r="E88" s="325"/>
      <c r="F88" s="169"/>
      <c r="N88" s="178"/>
    </row>
    <row r="89" spans="1:14" s="287" customFormat="1">
      <c r="A89" s="351" t="s">
        <v>542</v>
      </c>
      <c r="B89" s="131" t="s">
        <v>549</v>
      </c>
      <c r="C89" s="287" t="s">
        <v>543</v>
      </c>
      <c r="F89" s="148">
        <f t="shared" ref="F89:M89" si="34">SST</f>
        <v>0</v>
      </c>
      <c r="G89" s="148">
        <f t="shared" si="34"/>
        <v>0</v>
      </c>
      <c r="H89" s="148">
        <f t="shared" si="34"/>
        <v>0</v>
      </c>
      <c r="I89" s="148">
        <f t="shared" si="34"/>
        <v>7.4</v>
      </c>
      <c r="J89" s="148">
        <f t="shared" si="34"/>
        <v>7.4</v>
      </c>
      <c r="K89" s="148">
        <f t="shared" si="34"/>
        <v>7.4</v>
      </c>
      <c r="L89" s="148">
        <f t="shared" si="34"/>
        <v>7.4</v>
      </c>
      <c r="M89" s="148">
        <f t="shared" si="34"/>
        <v>7.4</v>
      </c>
      <c r="N89" s="380" t="s">
        <v>549</v>
      </c>
    </row>
    <row r="90" spans="1:14" s="287" customFormat="1">
      <c r="A90" s="351" t="s">
        <v>544</v>
      </c>
      <c r="B90" s="131" t="s">
        <v>550</v>
      </c>
      <c r="C90" s="287" t="s">
        <v>543</v>
      </c>
      <c r="F90" s="148">
        <f t="shared" ref="F90:M90" si="35">SSCAP</f>
        <v>0</v>
      </c>
      <c r="G90" s="148">
        <f t="shared" si="35"/>
        <v>0</v>
      </c>
      <c r="H90" s="148">
        <f t="shared" si="35"/>
        <v>0</v>
      </c>
      <c r="I90" s="148">
        <f t="shared" si="35"/>
        <v>9</v>
      </c>
      <c r="J90" s="148">
        <f t="shared" si="35"/>
        <v>9</v>
      </c>
      <c r="K90" s="148">
        <f t="shared" si="35"/>
        <v>9</v>
      </c>
      <c r="L90" s="148">
        <f t="shared" si="35"/>
        <v>9</v>
      </c>
      <c r="M90" s="148">
        <f t="shared" si="35"/>
        <v>9</v>
      </c>
      <c r="N90" s="380" t="s">
        <v>550</v>
      </c>
    </row>
    <row r="91" spans="1:14" s="287" customFormat="1">
      <c r="A91" s="351" t="s">
        <v>545</v>
      </c>
      <c r="B91" s="325" t="s">
        <v>551</v>
      </c>
      <c r="C91" s="287" t="s">
        <v>576</v>
      </c>
      <c r="F91" s="348">
        <f t="shared" ref="F91:M91" si="36">SSUPA</f>
        <v>1</v>
      </c>
      <c r="G91" s="348">
        <f t="shared" si="36"/>
        <v>1</v>
      </c>
      <c r="H91" s="348">
        <f t="shared" si="36"/>
        <v>1</v>
      </c>
      <c r="I91" s="348">
        <f t="shared" si="36"/>
        <v>1</v>
      </c>
      <c r="J91" s="348">
        <f t="shared" si="36"/>
        <v>1</v>
      </c>
      <c r="K91" s="348">
        <f t="shared" si="36"/>
        <v>1</v>
      </c>
      <c r="L91" s="348">
        <f t="shared" si="36"/>
        <v>1</v>
      </c>
      <c r="M91" s="348">
        <f t="shared" si="36"/>
        <v>1</v>
      </c>
      <c r="N91" s="178" t="s">
        <v>551</v>
      </c>
    </row>
    <row r="92" spans="1:14" s="287" customFormat="1">
      <c r="A92" s="351" t="s">
        <v>546</v>
      </c>
      <c r="B92" s="131" t="s">
        <v>552</v>
      </c>
      <c r="C92" s="287" t="s">
        <v>543</v>
      </c>
      <c r="F92" s="349">
        <f t="shared" ref="F92:M92" si="37">SSCOL</f>
        <v>0</v>
      </c>
      <c r="G92" s="349">
        <f t="shared" si="37"/>
        <v>0</v>
      </c>
      <c r="H92" s="349">
        <f t="shared" si="37"/>
        <v>0</v>
      </c>
      <c r="I92" s="349">
        <f t="shared" si="37"/>
        <v>5.8</v>
      </c>
      <c r="J92" s="349">
        <f t="shared" si="37"/>
        <v>5.8</v>
      </c>
      <c r="K92" s="349">
        <f t="shared" si="37"/>
        <v>5.8</v>
      </c>
      <c r="L92" s="349">
        <f t="shared" si="37"/>
        <v>5.8</v>
      </c>
      <c r="M92" s="349">
        <f t="shared" si="37"/>
        <v>5.8</v>
      </c>
      <c r="N92" s="380" t="s">
        <v>552</v>
      </c>
    </row>
    <row r="93" spans="1:14" s="287" customFormat="1">
      <c r="A93" s="351" t="s">
        <v>547</v>
      </c>
      <c r="B93" s="131" t="s">
        <v>553</v>
      </c>
      <c r="C93" s="287" t="s">
        <v>576</v>
      </c>
      <c r="F93" s="348">
        <f t="shared" ref="F93:M93" si="38">SSDPA</f>
        <v>-1</v>
      </c>
      <c r="G93" s="348">
        <f t="shared" si="38"/>
        <v>-1</v>
      </c>
      <c r="H93" s="348">
        <f t="shared" si="38"/>
        <v>-1</v>
      </c>
      <c r="I93" s="348">
        <f t="shared" si="38"/>
        <v>-1</v>
      </c>
      <c r="J93" s="348">
        <f t="shared" si="38"/>
        <v>-1</v>
      </c>
      <c r="K93" s="348">
        <f t="shared" si="38"/>
        <v>-1</v>
      </c>
      <c r="L93" s="348">
        <f t="shared" si="38"/>
        <v>-1</v>
      </c>
      <c r="M93" s="348">
        <f t="shared" si="38"/>
        <v>-1</v>
      </c>
      <c r="N93" s="380" t="s">
        <v>553</v>
      </c>
    </row>
    <row r="94" spans="1:14" s="287" customFormat="1">
      <c r="A94" s="351" t="s">
        <v>548</v>
      </c>
      <c r="B94" s="131" t="s">
        <v>314</v>
      </c>
      <c r="C94" s="287" t="s">
        <v>543</v>
      </c>
      <c r="F94" s="148">
        <f t="shared" ref="F94:M94" si="39">SSC</f>
        <v>0</v>
      </c>
      <c r="G94" s="148">
        <f t="shared" si="39"/>
        <v>0</v>
      </c>
      <c r="H94" s="148">
        <f t="shared" si="39"/>
        <v>0</v>
      </c>
      <c r="I94" s="148">
        <f t="shared" si="39"/>
        <v>0</v>
      </c>
      <c r="J94" s="148">
        <f t="shared" si="39"/>
        <v>0</v>
      </c>
      <c r="K94" s="148">
        <f t="shared" si="39"/>
        <v>0</v>
      </c>
      <c r="L94" s="148">
        <f t="shared" si="39"/>
        <v>0</v>
      </c>
      <c r="M94" s="148">
        <f t="shared" si="39"/>
        <v>0</v>
      </c>
      <c r="N94" s="178" t="s">
        <v>314</v>
      </c>
    </row>
    <row r="95" spans="1:14" s="287" customFormat="1">
      <c r="A95" s="351"/>
      <c r="B95" s="131" t="s">
        <v>302</v>
      </c>
      <c r="C95" s="287" t="s">
        <v>110</v>
      </c>
      <c r="D95" s="180"/>
      <c r="E95" s="180"/>
      <c r="F95" s="415"/>
      <c r="G95" s="415"/>
      <c r="H95" s="416"/>
      <c r="I95" s="344">
        <f t="shared" ref="I95:M95" si="40">IF(I94&gt;I89,MIN(I91,I91*(I94-I89)/(I90-I89)),IF(I94&lt;I89,MAX(I93,I93*(I89-I94)/(I89-I92)),0))</f>
        <v>-1</v>
      </c>
      <c r="J95" s="344">
        <f>IF(J94&gt;J89,MIN(J91,J91*(J94-J89)/(J90-J89)),IF(J94&lt;J89,MAX(J93,J93*(J89-J94)/(J89-J92)),0))</f>
        <v>-1</v>
      </c>
      <c r="K95" s="344">
        <f t="shared" si="40"/>
        <v>-1</v>
      </c>
      <c r="L95" s="344">
        <f t="shared" si="40"/>
        <v>-1</v>
      </c>
      <c r="M95" s="344">
        <f t="shared" si="40"/>
        <v>-1</v>
      </c>
      <c r="N95" s="178"/>
    </row>
    <row r="96" spans="1:14" s="287" customFormat="1" ht="15.4">
      <c r="A96" s="351"/>
      <c r="B96" s="325"/>
      <c r="C96" s="291"/>
      <c r="D96" s="325"/>
      <c r="E96" s="325"/>
      <c r="F96" s="169"/>
      <c r="N96" s="178"/>
    </row>
    <row r="97" spans="1:14" s="287" customFormat="1" ht="15.4">
      <c r="A97" s="179"/>
      <c r="B97" s="325"/>
      <c r="C97" s="291"/>
      <c r="D97" s="325"/>
      <c r="E97" s="325"/>
      <c r="F97" s="169"/>
      <c r="N97" s="178"/>
    </row>
    <row r="98" spans="1:14" ht="15.75">
      <c r="A98" s="352" t="s">
        <v>557</v>
      </c>
      <c r="C98" s="258"/>
      <c r="F98" s="342" t="s">
        <v>558</v>
      </c>
      <c r="J98" s="123"/>
      <c r="L98" s="342" t="s">
        <v>559</v>
      </c>
      <c r="N98" s="179"/>
    </row>
    <row r="99" spans="1:14" ht="17.649999999999999">
      <c r="A99" s="352" t="s">
        <v>540</v>
      </c>
      <c r="C99" s="258"/>
      <c r="F99" s="169" t="s">
        <v>586</v>
      </c>
      <c r="L99" s="169" t="s">
        <v>585</v>
      </c>
      <c r="N99" s="179"/>
    </row>
    <row r="100" spans="1:14">
      <c r="A100" s="351"/>
      <c r="C100" s="258"/>
      <c r="N100" s="179"/>
    </row>
    <row r="101" spans="1:14" s="287" customFormat="1">
      <c r="A101" s="351" t="s">
        <v>561</v>
      </c>
      <c r="B101" s="131" t="s">
        <v>560</v>
      </c>
      <c r="C101" s="287" t="s">
        <v>543</v>
      </c>
      <c r="F101" s="148">
        <f t="shared" ref="F101:M101" si="41">SKPIT</f>
        <v>0</v>
      </c>
      <c r="G101" s="148">
        <f t="shared" si="41"/>
        <v>0</v>
      </c>
      <c r="H101" s="148">
        <f t="shared" si="41"/>
        <v>0</v>
      </c>
      <c r="I101" s="148">
        <f t="shared" si="41"/>
        <v>69</v>
      </c>
      <c r="J101" s="148">
        <f t="shared" si="41"/>
        <v>69</v>
      </c>
      <c r="K101" s="148">
        <f t="shared" si="41"/>
        <v>69</v>
      </c>
      <c r="L101" s="148">
        <f t="shared" si="41"/>
        <v>69</v>
      </c>
      <c r="M101" s="148">
        <f t="shared" si="41"/>
        <v>69</v>
      </c>
      <c r="N101" s="178" t="s">
        <v>560</v>
      </c>
    </row>
    <row r="102" spans="1:14" s="287" customFormat="1">
      <c r="A102" s="351" t="s">
        <v>567</v>
      </c>
      <c r="B102" s="131" t="s">
        <v>562</v>
      </c>
      <c r="C102" s="287" t="s">
        <v>543</v>
      </c>
      <c r="F102" s="148">
        <f t="shared" ref="F102:M102" si="42">SKPICAP</f>
        <v>0</v>
      </c>
      <c r="G102" s="148">
        <f t="shared" si="42"/>
        <v>0</v>
      </c>
      <c r="H102" s="148">
        <f t="shared" si="42"/>
        <v>0</v>
      </c>
      <c r="I102" s="148">
        <f t="shared" si="42"/>
        <v>85</v>
      </c>
      <c r="J102" s="148">
        <f t="shared" si="42"/>
        <v>85</v>
      </c>
      <c r="K102" s="148">
        <f t="shared" si="42"/>
        <v>85</v>
      </c>
      <c r="L102" s="148">
        <f t="shared" si="42"/>
        <v>85</v>
      </c>
      <c r="M102" s="148">
        <f t="shared" si="42"/>
        <v>85</v>
      </c>
      <c r="N102" s="178" t="s">
        <v>562</v>
      </c>
    </row>
    <row r="103" spans="1:14" s="287" customFormat="1">
      <c r="A103" s="351" t="s">
        <v>568</v>
      </c>
      <c r="B103" s="325" t="s">
        <v>563</v>
      </c>
      <c r="C103" s="287" t="s">
        <v>575</v>
      </c>
      <c r="F103" s="335">
        <f t="shared" ref="F103:M103" si="43">SKPIUPA</f>
        <v>1</v>
      </c>
      <c r="G103" s="335">
        <f t="shared" si="43"/>
        <v>1</v>
      </c>
      <c r="H103" s="335">
        <f t="shared" si="43"/>
        <v>1</v>
      </c>
      <c r="I103" s="335">
        <f t="shared" si="43"/>
        <v>1</v>
      </c>
      <c r="J103" s="335">
        <f t="shared" si="43"/>
        <v>1</v>
      </c>
      <c r="K103" s="335">
        <f t="shared" si="43"/>
        <v>1</v>
      </c>
      <c r="L103" s="335">
        <f t="shared" si="43"/>
        <v>1</v>
      </c>
      <c r="M103" s="335">
        <f t="shared" si="43"/>
        <v>1</v>
      </c>
      <c r="N103" s="178" t="s">
        <v>563</v>
      </c>
    </row>
    <row r="104" spans="1:14" s="287" customFormat="1">
      <c r="A104" s="351" t="s">
        <v>569</v>
      </c>
      <c r="B104" s="131" t="s">
        <v>564</v>
      </c>
      <c r="C104" s="287" t="s">
        <v>543</v>
      </c>
      <c r="F104" s="335">
        <f t="shared" ref="F104:M104" si="44">SKPICOL</f>
        <v>0</v>
      </c>
      <c r="G104" s="335">
        <f t="shared" si="44"/>
        <v>0</v>
      </c>
      <c r="H104" s="335">
        <f t="shared" si="44"/>
        <v>0</v>
      </c>
      <c r="I104" s="335">
        <f t="shared" si="44"/>
        <v>53</v>
      </c>
      <c r="J104" s="335">
        <f t="shared" si="44"/>
        <v>53</v>
      </c>
      <c r="K104" s="335">
        <f t="shared" si="44"/>
        <v>53</v>
      </c>
      <c r="L104" s="335">
        <f t="shared" si="44"/>
        <v>53</v>
      </c>
      <c r="M104" s="335">
        <f t="shared" si="44"/>
        <v>53</v>
      </c>
      <c r="N104" s="178" t="s">
        <v>564</v>
      </c>
    </row>
    <row r="105" spans="1:14" s="287" customFormat="1">
      <c r="A105" s="351" t="s">
        <v>570</v>
      </c>
      <c r="B105" s="131" t="s">
        <v>565</v>
      </c>
      <c r="C105" s="287" t="s">
        <v>575</v>
      </c>
      <c r="F105" s="335">
        <f t="shared" ref="F105:M105" si="45">SKPIDPA</f>
        <v>-1</v>
      </c>
      <c r="G105" s="335">
        <f t="shared" si="45"/>
        <v>-1</v>
      </c>
      <c r="H105" s="335">
        <f t="shared" si="45"/>
        <v>-1</v>
      </c>
      <c r="I105" s="335">
        <f t="shared" si="45"/>
        <v>-1</v>
      </c>
      <c r="J105" s="335">
        <f t="shared" si="45"/>
        <v>-1</v>
      </c>
      <c r="K105" s="335">
        <f t="shared" si="45"/>
        <v>-1</v>
      </c>
      <c r="L105" s="335">
        <f t="shared" si="45"/>
        <v>-1</v>
      </c>
      <c r="M105" s="335">
        <f t="shared" si="45"/>
        <v>-1</v>
      </c>
      <c r="N105" s="178" t="s">
        <v>565</v>
      </c>
    </row>
    <row r="106" spans="1:14" s="287" customFormat="1">
      <c r="A106" s="351" t="s">
        <v>571</v>
      </c>
      <c r="B106" s="131" t="s">
        <v>566</v>
      </c>
      <c r="C106" s="287" t="s">
        <v>543</v>
      </c>
      <c r="F106" s="148">
        <f t="shared" ref="F106:M106" si="46">SKPIC</f>
        <v>0</v>
      </c>
      <c r="G106" s="148">
        <f t="shared" si="46"/>
        <v>0</v>
      </c>
      <c r="H106" s="148">
        <f t="shared" si="46"/>
        <v>0</v>
      </c>
      <c r="I106" s="148">
        <f t="shared" si="46"/>
        <v>0</v>
      </c>
      <c r="J106" s="148">
        <f t="shared" si="46"/>
        <v>0</v>
      </c>
      <c r="K106" s="148">
        <f t="shared" si="46"/>
        <v>0</v>
      </c>
      <c r="L106" s="148">
        <f t="shared" si="46"/>
        <v>0</v>
      </c>
      <c r="M106" s="148">
        <f t="shared" si="46"/>
        <v>0</v>
      </c>
      <c r="N106" s="178" t="s">
        <v>566</v>
      </c>
    </row>
    <row r="107" spans="1:14" s="287" customFormat="1">
      <c r="A107" s="351"/>
      <c r="B107" s="131" t="s">
        <v>303</v>
      </c>
      <c r="C107" s="287" t="s">
        <v>110</v>
      </c>
      <c r="D107" s="180"/>
      <c r="E107" s="180"/>
      <c r="F107" s="415"/>
      <c r="G107" s="415"/>
      <c r="H107" s="416"/>
      <c r="I107" s="344">
        <f t="shared" ref="I107" si="47">IF(I106&gt;I101,MIN(I103,I103*(I106-I101)/(I102-I101)),IF(I106&lt;I101,MAX(I105,I105*(I101-I106)/(I101-I104)),0))</f>
        <v>-1</v>
      </c>
      <c r="J107" s="344">
        <f>IF(J106&gt;J101,MIN(J103,J103*(J106-J101)/(J102-J101)),IF(J106&lt;J101,MAX(J105,J105*(J101-J106)/(J101-J104)),0))</f>
        <v>-1</v>
      </c>
      <c r="K107" s="344">
        <f t="shared" ref="K107:L107" si="48">IF(K106&gt;K101,MIN(K103,K103*(K106-K101)/(K102-K101)),IF(K106&lt;K101,MAX(K105,K105*(K101-K106)/(K101-K104)),0))</f>
        <v>-1</v>
      </c>
      <c r="L107" s="344">
        <f t="shared" si="48"/>
        <v>-1</v>
      </c>
      <c r="M107" s="344">
        <f>IF(M106&gt;M101,MIN(M103,M103*(M106-M101)/(M102-M101)),IF(M106&lt;M101,MAX(M105,M105*(M101-M106)/(M101-M104)),0))</f>
        <v>-1</v>
      </c>
      <c r="N107" s="178" t="s">
        <v>303</v>
      </c>
    </row>
    <row r="108" spans="1:14" s="287" customFormat="1">
      <c r="A108" s="325"/>
      <c r="B108" s="325"/>
      <c r="C108" s="291"/>
      <c r="D108" s="325"/>
      <c r="E108" s="325"/>
      <c r="F108" s="325"/>
      <c r="N108" s="179"/>
    </row>
    <row r="109" spans="1:14">
      <c r="C109" s="258"/>
      <c r="N109" s="179"/>
    </row>
    <row r="110" spans="1:14" ht="13.5">
      <c r="A110" s="157" t="s">
        <v>197</v>
      </c>
      <c r="C110" s="258"/>
      <c r="N110" s="179"/>
    </row>
    <row r="111" spans="1:14">
      <c r="A111" s="154"/>
      <c r="C111" s="258"/>
      <c r="L111" s="123"/>
      <c r="N111" s="179"/>
    </row>
    <row r="112" spans="1:14" ht="17.649999999999999">
      <c r="A112" s="154" t="s">
        <v>36</v>
      </c>
      <c r="C112" s="258"/>
      <c r="F112" s="170" t="s">
        <v>430</v>
      </c>
      <c r="N112" s="179"/>
    </row>
    <row r="113" spans="1:14" ht="14.25">
      <c r="A113" s="154" t="s">
        <v>481</v>
      </c>
      <c r="C113" s="258"/>
      <c r="F113" s="156">
        <v>2014</v>
      </c>
      <c r="G113" s="117">
        <v>2015</v>
      </c>
      <c r="H113" s="117">
        <v>2016</v>
      </c>
      <c r="I113" s="117">
        <v>2017</v>
      </c>
      <c r="J113" s="117">
        <v>2018</v>
      </c>
      <c r="K113" s="117">
        <v>2019</v>
      </c>
      <c r="L113" s="117">
        <v>2020</v>
      </c>
      <c r="M113" s="117">
        <v>2021</v>
      </c>
      <c r="N113" s="179"/>
    </row>
    <row r="114" spans="1:14">
      <c r="A114" s="136" t="s">
        <v>38</v>
      </c>
      <c r="B114" s="136" t="s">
        <v>305</v>
      </c>
      <c r="C114" s="255" t="s">
        <v>467</v>
      </c>
      <c r="F114" s="138">
        <f>F165</f>
        <v>0</v>
      </c>
      <c r="G114" s="138">
        <f t="shared" ref="G114:M114" si="49">G165</f>
        <v>0</v>
      </c>
      <c r="H114" s="138">
        <f t="shared" si="49"/>
        <v>0</v>
      </c>
      <c r="I114" s="138">
        <f t="shared" si="49"/>
        <v>0</v>
      </c>
      <c r="J114" s="138">
        <f t="shared" si="49"/>
        <v>0</v>
      </c>
      <c r="K114" s="138">
        <f t="shared" si="49"/>
        <v>0</v>
      </c>
      <c r="L114" s="138">
        <f t="shared" si="49"/>
        <v>0</v>
      </c>
      <c r="M114" s="138">
        <f t="shared" si="49"/>
        <v>0</v>
      </c>
      <c r="N114" s="178" t="s">
        <v>305</v>
      </c>
    </row>
    <row r="115" spans="1:14">
      <c r="A115" s="136" t="s">
        <v>39</v>
      </c>
      <c r="B115" s="136" t="s">
        <v>212</v>
      </c>
      <c r="C115" s="255" t="s">
        <v>467</v>
      </c>
      <c r="F115" s="148">
        <f t="shared" ref="F115:M115" si="50">ALE</f>
        <v>0</v>
      </c>
      <c r="G115" s="138">
        <f t="shared" si="50"/>
        <v>0</v>
      </c>
      <c r="H115" s="138">
        <f t="shared" si="50"/>
        <v>0</v>
      </c>
      <c r="I115" s="138">
        <f t="shared" si="50"/>
        <v>0</v>
      </c>
      <c r="J115" s="138">
        <f t="shared" si="50"/>
        <v>0</v>
      </c>
      <c r="K115" s="138">
        <f t="shared" si="50"/>
        <v>0</v>
      </c>
      <c r="L115" s="138">
        <f t="shared" si="50"/>
        <v>0</v>
      </c>
      <c r="M115" s="138">
        <f t="shared" si="50"/>
        <v>0</v>
      </c>
      <c r="N115" s="178" t="s">
        <v>212</v>
      </c>
    </row>
    <row r="116" spans="1:14">
      <c r="A116" s="136" t="s">
        <v>40</v>
      </c>
      <c r="B116" s="136" t="s">
        <v>37</v>
      </c>
      <c r="C116" s="255" t="s">
        <v>110</v>
      </c>
      <c r="F116" s="148">
        <f t="shared" ref="F116:M116" si="51">CF</f>
        <v>23.9</v>
      </c>
      <c r="G116" s="138">
        <f t="shared" si="51"/>
        <v>23.9</v>
      </c>
      <c r="H116" s="138">
        <f t="shared" si="51"/>
        <v>23.9</v>
      </c>
      <c r="I116" s="138">
        <f t="shared" si="51"/>
        <v>23.9</v>
      </c>
      <c r="J116" s="138">
        <f t="shared" si="51"/>
        <v>23.9</v>
      </c>
      <c r="K116" s="138">
        <f t="shared" si="51"/>
        <v>23.9</v>
      </c>
      <c r="L116" s="138">
        <f t="shared" si="51"/>
        <v>23.9</v>
      </c>
      <c r="M116" s="138">
        <f t="shared" si="51"/>
        <v>23.9</v>
      </c>
      <c r="N116" s="178" t="s">
        <v>37</v>
      </c>
    </row>
    <row r="117" spans="1:14">
      <c r="A117" s="136" t="s">
        <v>41</v>
      </c>
      <c r="B117" s="136" t="s">
        <v>213</v>
      </c>
      <c r="C117" s="255" t="s">
        <v>389</v>
      </c>
      <c r="F117" s="148">
        <f t="shared" ref="F117:M117" si="52">NTPC</f>
        <v>50</v>
      </c>
      <c r="G117" s="138">
        <f t="shared" si="52"/>
        <v>51</v>
      </c>
      <c r="H117" s="138">
        <f t="shared" si="52"/>
        <v>52</v>
      </c>
      <c r="I117" s="138">
        <f t="shared" si="52"/>
        <v>53</v>
      </c>
      <c r="J117" s="138">
        <f t="shared" si="52"/>
        <v>54</v>
      </c>
      <c r="K117" s="138">
        <f t="shared" si="52"/>
        <v>55</v>
      </c>
      <c r="L117" s="138">
        <f t="shared" si="52"/>
        <v>56</v>
      </c>
      <c r="M117" s="138">
        <f t="shared" si="52"/>
        <v>57</v>
      </c>
      <c r="N117" s="178" t="s">
        <v>213</v>
      </c>
    </row>
    <row r="118" spans="1:14">
      <c r="A118" s="136" t="s">
        <v>205</v>
      </c>
      <c r="B118" s="136" t="s">
        <v>198</v>
      </c>
      <c r="C118" s="255"/>
      <c r="F118" s="148">
        <f>F130</f>
        <v>0.64935064935064934</v>
      </c>
      <c r="G118" s="148">
        <f t="shared" ref="G118:M118" si="53">G130</f>
        <v>0.63291139240506322</v>
      </c>
      <c r="H118" s="148">
        <f t="shared" si="53"/>
        <v>0.625</v>
      </c>
      <c r="I118" s="148">
        <f t="shared" si="53"/>
        <v>0.625</v>
      </c>
      <c r="J118" s="148">
        <f t="shared" si="53"/>
        <v>0.61728395061728392</v>
      </c>
      <c r="K118" s="148">
        <f t="shared" si="53"/>
        <v>0.61728395061728392</v>
      </c>
      <c r="L118" s="148">
        <f t="shared" si="53"/>
        <v>0.61728395061728392</v>
      </c>
      <c r="M118" s="148">
        <f t="shared" si="53"/>
        <v>0.60240963855421692</v>
      </c>
      <c r="N118" s="178" t="s">
        <v>198</v>
      </c>
    </row>
    <row r="119" spans="1:14">
      <c r="A119" s="136" t="s">
        <v>180</v>
      </c>
      <c r="B119" s="136" t="s">
        <v>120</v>
      </c>
      <c r="C119" s="285" t="s">
        <v>110</v>
      </c>
      <c r="F119" s="148">
        <f t="shared" ref="F119:M119" si="54">PVF</f>
        <v>1.0476000000000001</v>
      </c>
      <c r="G119" s="148">
        <f t="shared" si="54"/>
        <v>1.0465</v>
      </c>
      <c r="H119" s="148">
        <f t="shared" si="54"/>
        <v>1.0455000000000001</v>
      </c>
      <c r="I119" s="148">
        <f t="shared" si="54"/>
        <v>1.0446</v>
      </c>
      <c r="J119" s="148">
        <f t="shared" si="54"/>
        <v>1.0437000000000001</v>
      </c>
      <c r="K119" s="148">
        <f t="shared" si="54"/>
        <v>1.042</v>
      </c>
      <c r="L119" s="148">
        <f t="shared" si="54"/>
        <v>1.0402</v>
      </c>
      <c r="M119" s="148">
        <f t="shared" si="54"/>
        <v>1.0402</v>
      </c>
      <c r="N119" s="178" t="s">
        <v>120</v>
      </c>
    </row>
    <row r="120" spans="1:14">
      <c r="A120" s="136" t="s">
        <v>199</v>
      </c>
      <c r="B120" s="136" t="s">
        <v>109</v>
      </c>
      <c r="C120" s="285" t="s">
        <v>110</v>
      </c>
      <c r="F120" s="148">
        <f t="shared" ref="F120:M120" si="55">RPIF</f>
        <v>1.163</v>
      </c>
      <c r="G120" s="138">
        <f t="shared" si="55"/>
        <v>1.2050000000000001</v>
      </c>
      <c r="H120" s="138">
        <f t="shared" si="55"/>
        <v>1.2270000000000001</v>
      </c>
      <c r="I120" s="138">
        <f t="shared" si="55"/>
        <v>1.2330000000000001</v>
      </c>
      <c r="J120" s="138">
        <f t="shared" si="55"/>
        <v>1.2709999999999999</v>
      </c>
      <c r="K120" s="138">
        <f t="shared" si="55"/>
        <v>1.3140000000000001</v>
      </c>
      <c r="L120" s="138">
        <f t="shared" si="55"/>
        <v>1.3580000000000001</v>
      </c>
      <c r="M120" s="138">
        <f t="shared" si="55"/>
        <v>1.31</v>
      </c>
      <c r="N120" s="178" t="s">
        <v>109</v>
      </c>
    </row>
    <row r="121" spans="1:14">
      <c r="A121" s="136" t="s">
        <v>21</v>
      </c>
      <c r="B121" s="136" t="s">
        <v>18</v>
      </c>
      <c r="C121" s="291" t="s">
        <v>1</v>
      </c>
      <c r="F121" s="232"/>
      <c r="G121" s="232"/>
      <c r="H121" s="143">
        <f>(F114-F115)*H116*F117*F118*F119*G119*H120/1000000</f>
        <v>0</v>
      </c>
      <c r="I121" s="143">
        <f t="shared" ref="I121:M121" si="56">(G114-G115)*I116*G117*G118*G119*H119*I120/1000000</f>
        <v>0</v>
      </c>
      <c r="J121" s="143">
        <f t="shared" si="56"/>
        <v>0</v>
      </c>
      <c r="K121" s="143">
        <f t="shared" si="56"/>
        <v>0</v>
      </c>
      <c r="L121" s="143">
        <f t="shared" si="56"/>
        <v>0</v>
      </c>
      <c r="M121" s="143">
        <f t="shared" si="56"/>
        <v>0</v>
      </c>
      <c r="N121" s="178" t="s">
        <v>215</v>
      </c>
    </row>
    <row r="122" spans="1:14">
      <c r="G122" s="123"/>
      <c r="H122" s="123"/>
      <c r="I122" s="249"/>
      <c r="J122" s="249"/>
      <c r="K122" s="123"/>
      <c r="N122" s="178"/>
    </row>
    <row r="123" spans="1:14">
      <c r="N123" s="178"/>
    </row>
    <row r="124" spans="1:14">
      <c r="N124" s="179"/>
    </row>
    <row r="125" spans="1:14">
      <c r="A125" s="154" t="s">
        <v>200</v>
      </c>
      <c r="F125" s="171"/>
      <c r="H125" s="123"/>
      <c r="N125" s="179"/>
    </row>
    <row r="126" spans="1:14">
      <c r="A126" s="154" t="s">
        <v>482</v>
      </c>
      <c r="C126" s="258"/>
      <c r="F126" s="171"/>
      <c r="H126" s="123"/>
      <c r="N126" s="179"/>
    </row>
    <row r="127" spans="1:14" ht="14.25">
      <c r="C127" s="258"/>
      <c r="D127" s="325"/>
      <c r="E127" s="325"/>
      <c r="F127" s="156">
        <v>2014</v>
      </c>
      <c r="G127" s="117">
        <v>2015</v>
      </c>
      <c r="H127" s="117">
        <v>2016</v>
      </c>
      <c r="I127" s="117">
        <v>2017</v>
      </c>
      <c r="J127" s="117">
        <v>2018</v>
      </c>
      <c r="K127" s="117">
        <v>2019</v>
      </c>
      <c r="L127" s="117">
        <v>2020</v>
      </c>
      <c r="M127" s="117">
        <v>2021</v>
      </c>
      <c r="N127" s="179"/>
    </row>
    <row r="128" spans="1:14">
      <c r="A128" s="136" t="s">
        <v>202</v>
      </c>
      <c r="B128" s="136" t="s">
        <v>201</v>
      </c>
      <c r="C128" s="258" t="s">
        <v>98</v>
      </c>
      <c r="D128" s="325"/>
      <c r="E128" s="325"/>
      <c r="F128" s="172">
        <f t="shared" ref="F128:M128" si="57">TIS</f>
        <v>0.5</v>
      </c>
      <c r="G128" s="173">
        <f t="shared" si="57"/>
        <v>0.5</v>
      </c>
      <c r="H128" s="173">
        <f t="shared" si="57"/>
        <v>0.5</v>
      </c>
      <c r="I128" s="173">
        <f t="shared" si="57"/>
        <v>0.5</v>
      </c>
      <c r="J128" s="173">
        <f t="shared" si="57"/>
        <v>0.5</v>
      </c>
      <c r="K128" s="173">
        <f t="shared" si="57"/>
        <v>0.5</v>
      </c>
      <c r="L128" s="173">
        <f t="shared" si="57"/>
        <v>0.5</v>
      </c>
      <c r="M128" s="173">
        <f t="shared" si="57"/>
        <v>0.5</v>
      </c>
      <c r="N128" s="178" t="s">
        <v>201</v>
      </c>
    </row>
    <row r="129" spans="1:14">
      <c r="A129" s="136" t="s">
        <v>204</v>
      </c>
      <c r="B129" s="136" t="s">
        <v>203</v>
      </c>
      <c r="C129" s="286" t="s">
        <v>98</v>
      </c>
      <c r="D129" s="325"/>
      <c r="E129" s="325"/>
      <c r="F129" s="148">
        <f t="shared" ref="F129:M129" si="58">TR</f>
        <v>0.23</v>
      </c>
      <c r="G129" s="138">
        <f t="shared" si="58"/>
        <v>0.21</v>
      </c>
      <c r="H129" s="138">
        <f t="shared" si="58"/>
        <v>0.2</v>
      </c>
      <c r="I129" s="138">
        <f t="shared" si="58"/>
        <v>0.2</v>
      </c>
      <c r="J129" s="138">
        <f t="shared" si="58"/>
        <v>0.19</v>
      </c>
      <c r="K129" s="138">
        <f t="shared" si="58"/>
        <v>0.19</v>
      </c>
      <c r="L129" s="138">
        <f t="shared" si="58"/>
        <v>0.19</v>
      </c>
      <c r="M129" s="138">
        <f t="shared" si="58"/>
        <v>0.17</v>
      </c>
      <c r="N129" s="178" t="s">
        <v>203</v>
      </c>
    </row>
    <row r="130" spans="1:14">
      <c r="A130" s="136" t="s">
        <v>308</v>
      </c>
      <c r="B130" s="136" t="s">
        <v>198</v>
      </c>
      <c r="C130" s="258"/>
      <c r="F130" s="181">
        <f>F128/(1-F129)</f>
        <v>0.64935064935064934</v>
      </c>
      <c r="G130" s="181">
        <f t="shared" ref="G130:M130" si="59">G128/(1-G129)</f>
        <v>0.63291139240506322</v>
      </c>
      <c r="H130" s="181">
        <f t="shared" si="59"/>
        <v>0.625</v>
      </c>
      <c r="I130" s="181">
        <f t="shared" si="59"/>
        <v>0.625</v>
      </c>
      <c r="J130" s="181">
        <f t="shared" si="59"/>
        <v>0.61728395061728392</v>
      </c>
      <c r="K130" s="181">
        <f t="shared" si="59"/>
        <v>0.61728395061728392</v>
      </c>
      <c r="L130" s="181">
        <f t="shared" si="59"/>
        <v>0.61728395061728392</v>
      </c>
      <c r="M130" s="181">
        <f t="shared" si="59"/>
        <v>0.60240963855421692</v>
      </c>
      <c r="N130" s="178" t="s">
        <v>198</v>
      </c>
    </row>
    <row r="131" spans="1:14">
      <c r="C131" s="258"/>
      <c r="F131" s="123"/>
      <c r="G131" s="249"/>
      <c r="H131" s="249"/>
      <c r="I131" s="249"/>
      <c r="J131" s="123"/>
      <c r="N131" s="179"/>
    </row>
    <row r="132" spans="1:14">
      <c r="C132" s="258"/>
      <c r="N132" s="179"/>
    </row>
    <row r="133" spans="1:14" ht="17.649999999999999">
      <c r="A133" s="154" t="s">
        <v>431</v>
      </c>
      <c r="C133" s="258"/>
      <c r="F133" s="169" t="s">
        <v>216</v>
      </c>
      <c r="K133" s="123"/>
      <c r="N133" s="179"/>
    </row>
    <row r="134" spans="1:14" ht="14.25">
      <c r="A134" s="154" t="s">
        <v>484</v>
      </c>
      <c r="C134" s="258"/>
      <c r="F134" s="156">
        <v>2014</v>
      </c>
      <c r="G134" s="117">
        <v>2015</v>
      </c>
      <c r="H134" s="117">
        <v>2016</v>
      </c>
      <c r="I134" s="117">
        <v>2017</v>
      </c>
      <c r="J134" s="117">
        <v>2018</v>
      </c>
      <c r="K134" s="117">
        <v>2019</v>
      </c>
      <c r="L134" s="117">
        <v>2020</v>
      </c>
      <c r="M134" s="117">
        <v>2021</v>
      </c>
      <c r="N134" s="179"/>
    </row>
    <row r="135" spans="1:14">
      <c r="A135" s="136" t="s">
        <v>218</v>
      </c>
      <c r="B135" s="136" t="s">
        <v>217</v>
      </c>
      <c r="C135" s="288" t="s">
        <v>1</v>
      </c>
      <c r="F135" s="148">
        <f t="shared" ref="F135:M135" si="60">EDRO</f>
        <v>0</v>
      </c>
      <c r="G135" s="138">
        <f t="shared" si="60"/>
        <v>0</v>
      </c>
      <c r="H135" s="138">
        <f t="shared" si="60"/>
        <v>0</v>
      </c>
      <c r="I135" s="138">
        <f t="shared" si="60"/>
        <v>0</v>
      </c>
      <c r="J135" s="138">
        <f t="shared" si="60"/>
        <v>0</v>
      </c>
      <c r="K135" s="138">
        <f t="shared" si="60"/>
        <v>0</v>
      </c>
      <c r="L135" s="138">
        <f t="shared" si="60"/>
        <v>0</v>
      </c>
      <c r="M135" s="138">
        <f t="shared" si="60"/>
        <v>0</v>
      </c>
      <c r="N135" s="178" t="s">
        <v>217</v>
      </c>
    </row>
    <row r="136" spans="1:14">
      <c r="A136" s="136" t="s">
        <v>196</v>
      </c>
      <c r="B136" s="136" t="s">
        <v>316</v>
      </c>
      <c r="C136" s="288" t="s">
        <v>98</v>
      </c>
      <c r="F136" s="148">
        <f t="shared" ref="F136:M136" si="61">It</f>
        <v>0.5</v>
      </c>
      <c r="G136" s="138">
        <f t="shared" si="61"/>
        <v>0.5</v>
      </c>
      <c r="H136" s="138">
        <f t="shared" si="61"/>
        <v>0.5</v>
      </c>
      <c r="I136" s="138">
        <f t="shared" si="61"/>
        <v>0.34</v>
      </c>
      <c r="J136" s="138">
        <f t="shared" si="61"/>
        <v>0.35</v>
      </c>
      <c r="K136" s="138">
        <f t="shared" si="61"/>
        <v>0.67</v>
      </c>
      <c r="L136" s="138">
        <f t="shared" si="61"/>
        <v>0</v>
      </c>
      <c r="M136" s="138">
        <f t="shared" si="61"/>
        <v>0</v>
      </c>
      <c r="N136" s="178" t="s">
        <v>316</v>
      </c>
    </row>
    <row r="137" spans="1:14">
      <c r="A137" s="136" t="s">
        <v>22</v>
      </c>
      <c r="B137" s="136" t="s">
        <v>312</v>
      </c>
      <c r="C137" s="288" t="s">
        <v>1</v>
      </c>
      <c r="F137" s="241"/>
      <c r="G137" s="241"/>
      <c r="H137" s="143">
        <f>F135*(1+F136/100)*(1+G136/100)</f>
        <v>0</v>
      </c>
      <c r="I137" s="143">
        <f t="shared" ref="I137:M137" si="62">G135*(1+G136/100)*(1+H136/100)</f>
        <v>0</v>
      </c>
      <c r="J137" s="143">
        <f t="shared" si="62"/>
        <v>0</v>
      </c>
      <c r="K137" s="143">
        <f t="shared" si="62"/>
        <v>0</v>
      </c>
      <c r="L137" s="143">
        <f t="shared" si="62"/>
        <v>0</v>
      </c>
      <c r="M137" s="143">
        <f t="shared" si="62"/>
        <v>0</v>
      </c>
      <c r="N137" s="178" t="s">
        <v>312</v>
      </c>
    </row>
    <row r="138" spans="1:14">
      <c r="C138" s="258"/>
      <c r="G138" s="123"/>
      <c r="H138" s="249"/>
      <c r="I138" s="249"/>
      <c r="J138" s="249"/>
      <c r="K138" s="123"/>
      <c r="N138" s="179"/>
    </row>
    <row r="139" spans="1:14">
      <c r="C139" s="258"/>
      <c r="N139" s="179"/>
    </row>
    <row r="140" spans="1:14">
      <c r="C140" s="258"/>
      <c r="N140" s="179"/>
    </row>
    <row r="141" spans="1:14">
      <c r="N141" s="179"/>
    </row>
    <row r="142" spans="1:14">
      <c r="A142" s="154" t="s">
        <v>292</v>
      </c>
      <c r="J142" s="123"/>
      <c r="N142" s="179"/>
    </row>
    <row r="143" spans="1:14">
      <c r="A143" s="154" t="s">
        <v>485</v>
      </c>
      <c r="N143" s="179"/>
    </row>
    <row r="144" spans="1:14" ht="14.25">
      <c r="F144" s="156">
        <v>2014</v>
      </c>
      <c r="G144" s="117">
        <v>2015</v>
      </c>
      <c r="H144" s="117">
        <v>2016</v>
      </c>
      <c r="I144" s="117">
        <v>2017</v>
      </c>
      <c r="J144" s="117">
        <v>2018</v>
      </c>
      <c r="K144" s="117">
        <v>2019</v>
      </c>
      <c r="L144" s="117">
        <v>2020</v>
      </c>
      <c r="M144" s="117">
        <v>2021</v>
      </c>
      <c r="N144" s="179"/>
    </row>
    <row r="145" spans="1:14">
      <c r="A145" s="136" t="s">
        <v>293</v>
      </c>
      <c r="B145" s="136" t="s">
        <v>298</v>
      </c>
      <c r="C145" s="289" t="s">
        <v>1</v>
      </c>
      <c r="F145" s="148">
        <f t="shared" ref="F145:M145" si="63">UNTO</f>
        <v>0</v>
      </c>
      <c r="G145" s="138">
        <f t="shared" si="63"/>
        <v>0</v>
      </c>
      <c r="H145" s="138">
        <f t="shared" si="63"/>
        <v>0</v>
      </c>
      <c r="I145" s="138">
        <f t="shared" si="63"/>
        <v>0</v>
      </c>
      <c r="J145" s="138">
        <f t="shared" si="63"/>
        <v>0</v>
      </c>
      <c r="K145" s="138">
        <f t="shared" si="63"/>
        <v>0</v>
      </c>
      <c r="L145" s="138">
        <f t="shared" si="63"/>
        <v>0</v>
      </c>
      <c r="M145" s="138">
        <f t="shared" si="63"/>
        <v>0</v>
      </c>
      <c r="N145" s="178" t="s">
        <v>298</v>
      </c>
    </row>
    <row r="146" spans="1:14">
      <c r="A146" s="136" t="s">
        <v>294</v>
      </c>
      <c r="B146" s="136" t="s">
        <v>299</v>
      </c>
      <c r="C146" s="289" t="s">
        <v>1</v>
      </c>
      <c r="F146" s="148">
        <f t="shared" ref="F146:M146" si="64">TOTO</f>
        <v>0</v>
      </c>
      <c r="G146" s="138">
        <f t="shared" si="64"/>
        <v>0</v>
      </c>
      <c r="H146" s="138">
        <f t="shared" si="64"/>
        <v>0</v>
      </c>
      <c r="I146" s="138">
        <f t="shared" si="64"/>
        <v>0</v>
      </c>
      <c r="J146" s="138">
        <f t="shared" si="64"/>
        <v>0</v>
      </c>
      <c r="K146" s="138">
        <f t="shared" si="64"/>
        <v>0</v>
      </c>
      <c r="L146" s="138">
        <f t="shared" si="64"/>
        <v>0</v>
      </c>
      <c r="M146" s="138">
        <f t="shared" si="64"/>
        <v>0</v>
      </c>
      <c r="N146" s="178" t="s">
        <v>299</v>
      </c>
    </row>
    <row r="147" spans="1:14">
      <c r="A147" s="136" t="s">
        <v>295</v>
      </c>
      <c r="B147" s="136" t="s">
        <v>296</v>
      </c>
      <c r="C147" s="258" t="s">
        <v>1</v>
      </c>
      <c r="F147" s="148">
        <f t="shared" ref="F147:M147" si="65">BR</f>
        <v>261.81688600000001</v>
      </c>
      <c r="G147" s="138">
        <f t="shared" si="65"/>
        <v>292.91396867050065</v>
      </c>
      <c r="H147" s="138">
        <f t="shared" si="65"/>
        <v>293.58046195096097</v>
      </c>
      <c r="I147" s="138">
        <f t="shared" si="65"/>
        <v>270.34750085222618</v>
      </c>
      <c r="J147" s="138">
        <f t="shared" si="65"/>
        <v>293.19141391350985</v>
      </c>
      <c r="K147" s="138">
        <f t="shared" si="65"/>
        <v>326.49433773015232</v>
      </c>
      <c r="L147" s="138">
        <f t="shared" si="65"/>
        <v>346.61756029829962</v>
      </c>
      <c r="M147" s="138">
        <f t="shared" si="65"/>
        <v>331.96878743067481</v>
      </c>
      <c r="N147" s="178" t="s">
        <v>296</v>
      </c>
    </row>
    <row r="148" spans="1:14">
      <c r="A148" s="136" t="s">
        <v>193</v>
      </c>
      <c r="B148" s="136" t="s">
        <v>130</v>
      </c>
      <c r="C148" s="258" t="s">
        <v>1</v>
      </c>
      <c r="F148" s="148">
        <f t="shared" ref="F148:M148" si="66">TIRG</f>
        <v>26.21188008</v>
      </c>
      <c r="G148" s="138">
        <f t="shared" si="66"/>
        <v>21.199189039999997</v>
      </c>
      <c r="H148" s="138">
        <f t="shared" si="66"/>
        <v>19.893881064000002</v>
      </c>
      <c r="I148" s="138">
        <f t="shared" si="66"/>
        <v>6.6779280000000005</v>
      </c>
      <c r="J148" s="138">
        <f t="shared" si="66"/>
        <v>33.040580456000001</v>
      </c>
      <c r="K148" s="138">
        <f t="shared" si="66"/>
        <v>33.036188543999998</v>
      </c>
      <c r="L148" s="138">
        <f t="shared" si="66"/>
        <v>32.982636848000006</v>
      </c>
      <c r="M148" s="138">
        <f t="shared" si="66"/>
        <v>24.553445280000002</v>
      </c>
      <c r="N148" s="178" t="s">
        <v>130</v>
      </c>
    </row>
    <row r="149" spans="1:14">
      <c r="A149" s="136" t="s">
        <v>110</v>
      </c>
      <c r="C149" s="258"/>
      <c r="F149" s="175">
        <v>5.0000000000000001E-3</v>
      </c>
      <c r="G149" s="176">
        <v>5.0000000000000001E-3</v>
      </c>
      <c r="H149" s="176">
        <v>5.0000000000000001E-3</v>
      </c>
      <c r="I149" s="176">
        <v>5.0000000000000001E-3</v>
      </c>
      <c r="J149" s="176">
        <v>5.0000000000000001E-3</v>
      </c>
      <c r="K149" s="176">
        <v>5.0000000000000001E-3</v>
      </c>
      <c r="L149" s="176">
        <v>5.0000000000000001E-3</v>
      </c>
      <c r="M149" s="176">
        <v>5.0000000000000001E-3</v>
      </c>
      <c r="N149" s="178"/>
    </row>
    <row r="150" spans="1:14">
      <c r="A150" s="136" t="s">
        <v>297</v>
      </c>
      <c r="B150" s="136" t="s">
        <v>316</v>
      </c>
      <c r="C150" s="288" t="s">
        <v>98</v>
      </c>
      <c r="F150" s="148">
        <f t="shared" ref="F150:M150" si="67">It</f>
        <v>0.5</v>
      </c>
      <c r="G150" s="138">
        <f t="shared" si="67"/>
        <v>0.5</v>
      </c>
      <c r="H150" s="138">
        <f t="shared" si="67"/>
        <v>0.5</v>
      </c>
      <c r="I150" s="138">
        <f t="shared" si="67"/>
        <v>0.34</v>
      </c>
      <c r="J150" s="138">
        <f t="shared" si="67"/>
        <v>0.35</v>
      </c>
      <c r="K150" s="138">
        <f t="shared" si="67"/>
        <v>0.67</v>
      </c>
      <c r="L150" s="138">
        <f t="shared" si="67"/>
        <v>0</v>
      </c>
      <c r="M150" s="138">
        <f t="shared" si="67"/>
        <v>0</v>
      </c>
      <c r="N150" s="178" t="s">
        <v>316</v>
      </c>
    </row>
    <row r="151" spans="1:14">
      <c r="C151" s="258"/>
      <c r="H151" s="231">
        <f>IF(F146&gt;0,F145/F146*F149*(F147+F148)*(1+F150/100)*(1+G150/100),0)</f>
        <v>0</v>
      </c>
      <c r="I151" s="231">
        <f>IF(G146&gt;0,G145/G146*G149*(G147+G148)*(1+G150/100)*(1+H150/100),0)</f>
        <v>0</v>
      </c>
      <c r="J151" s="231">
        <f t="shared" ref="J151:M151" si="68">IF(H146&gt;0,H145/H146*H149*(H147+H148)*(1+H150/100)*(1+I150/100),0)</f>
        <v>0</v>
      </c>
      <c r="K151" s="231">
        <f t="shared" si="68"/>
        <v>0</v>
      </c>
      <c r="L151" s="231">
        <f t="shared" si="68"/>
        <v>0</v>
      </c>
      <c r="M151" s="231">
        <f t="shared" si="68"/>
        <v>0</v>
      </c>
      <c r="N151" s="178" t="s">
        <v>290</v>
      </c>
    </row>
    <row r="152" spans="1:14">
      <c r="C152" s="258"/>
      <c r="G152" s="123"/>
      <c r="H152" s="123"/>
      <c r="I152" s="249"/>
      <c r="J152" s="249"/>
      <c r="K152" s="123"/>
      <c r="L152" s="177"/>
      <c r="M152" s="177"/>
      <c r="N152" s="178"/>
    </row>
    <row r="153" spans="1:14">
      <c r="C153" s="258"/>
      <c r="H153" s="179"/>
      <c r="I153" s="179"/>
      <c r="J153" s="179"/>
      <c r="K153" s="179"/>
      <c r="L153" s="179"/>
      <c r="M153" s="179"/>
      <c r="N153" s="179"/>
    </row>
    <row r="154" spans="1:14">
      <c r="N154" s="179"/>
    </row>
    <row r="155" spans="1:14" ht="14.25">
      <c r="A155" s="154" t="s">
        <v>390</v>
      </c>
      <c r="B155" s="325"/>
      <c r="C155" s="287"/>
      <c r="D155" s="287"/>
      <c r="E155" s="287"/>
      <c r="F155" s="287"/>
      <c r="G155" s="287"/>
      <c r="H155" s="287"/>
      <c r="I155" s="333"/>
      <c r="J155" s="333"/>
      <c r="K155" s="333"/>
      <c r="L155" s="333"/>
      <c r="M155" s="333"/>
      <c r="N155" s="179"/>
    </row>
    <row r="156" spans="1:14">
      <c r="A156" s="154" t="s">
        <v>486</v>
      </c>
      <c r="B156" s="325"/>
      <c r="C156" s="291"/>
      <c r="D156" s="325"/>
      <c r="E156" s="325" t="s">
        <v>391</v>
      </c>
      <c r="F156" s="325"/>
      <c r="H156" s="287"/>
      <c r="I156" s="325" t="s">
        <v>460</v>
      </c>
      <c r="J156" s="287"/>
      <c r="K156" s="287"/>
      <c r="L156" s="287"/>
      <c r="M156" s="287"/>
      <c r="N156" s="179"/>
    </row>
    <row r="157" spans="1:14" ht="17.25" customHeight="1">
      <c r="A157" s="287"/>
      <c r="B157" s="325"/>
      <c r="C157" s="291"/>
      <c r="D157" s="325"/>
      <c r="E157" s="325" t="s">
        <v>432</v>
      </c>
      <c r="F157" s="325"/>
      <c r="G157" s="180"/>
      <c r="H157" s="123"/>
      <c r="I157" s="287"/>
      <c r="J157" s="287"/>
      <c r="K157" s="287"/>
      <c r="L157" s="287"/>
      <c r="M157" s="287"/>
      <c r="N157" s="179"/>
    </row>
    <row r="158" spans="1:14" ht="14.25">
      <c r="A158" s="325"/>
      <c r="B158" s="325"/>
      <c r="C158" s="291"/>
      <c r="D158" s="325"/>
      <c r="E158" s="325"/>
      <c r="F158" s="156">
        <v>2014</v>
      </c>
      <c r="G158" s="117">
        <v>2015</v>
      </c>
      <c r="H158" s="117">
        <v>2016</v>
      </c>
      <c r="I158" s="117">
        <v>2017</v>
      </c>
      <c r="J158" s="117">
        <v>2018</v>
      </c>
      <c r="K158" s="117">
        <v>2019</v>
      </c>
      <c r="L158" s="117">
        <v>2020</v>
      </c>
      <c r="M158" s="117">
        <v>2021</v>
      </c>
      <c r="N158" s="179"/>
    </row>
    <row r="159" spans="1:14">
      <c r="A159" s="325" t="s">
        <v>530</v>
      </c>
      <c r="B159" s="330"/>
      <c r="C159" s="291" t="s">
        <v>467</v>
      </c>
      <c r="D159" s="325"/>
      <c r="E159" s="325"/>
      <c r="F159" s="334"/>
      <c r="G159" s="334">
        <f>F162</f>
        <v>0</v>
      </c>
      <c r="H159" s="334">
        <f t="shared" ref="H159:M159" si="69">G162</f>
        <v>0</v>
      </c>
      <c r="I159" s="334">
        <f>H162</f>
        <v>0</v>
      </c>
      <c r="J159" s="334">
        <f t="shared" si="69"/>
        <v>0</v>
      </c>
      <c r="K159" s="334">
        <f t="shared" si="69"/>
        <v>0</v>
      </c>
      <c r="L159" s="334">
        <f t="shared" si="69"/>
        <v>0</v>
      </c>
      <c r="M159" s="334">
        <f t="shared" si="69"/>
        <v>0</v>
      </c>
      <c r="N159" s="178"/>
    </row>
    <row r="160" spans="1:14">
      <c r="A160" s="325" t="s">
        <v>531</v>
      </c>
      <c r="B160" s="330" t="s">
        <v>527</v>
      </c>
      <c r="C160" s="291" t="s">
        <v>467</v>
      </c>
      <c r="D160" s="325"/>
      <c r="E160" s="325"/>
      <c r="F160" s="335">
        <f t="shared" ref="F160" si="70">FYADD</f>
        <v>0</v>
      </c>
      <c r="G160" s="335">
        <f t="shared" ref="G160:M160" si="71">FYADD</f>
        <v>0</v>
      </c>
      <c r="H160" s="335">
        <f t="shared" si="71"/>
        <v>0</v>
      </c>
      <c r="I160" s="335">
        <f t="shared" si="71"/>
        <v>0</v>
      </c>
      <c r="J160" s="335">
        <f t="shared" si="71"/>
        <v>0</v>
      </c>
      <c r="K160" s="335">
        <f t="shared" si="71"/>
        <v>0</v>
      </c>
      <c r="L160" s="335">
        <f t="shared" si="71"/>
        <v>0</v>
      </c>
      <c r="M160" s="335">
        <f t="shared" si="71"/>
        <v>0</v>
      </c>
      <c r="N160" s="178" t="s">
        <v>527</v>
      </c>
    </row>
    <row r="161" spans="1:14">
      <c r="A161" s="325" t="s">
        <v>532</v>
      </c>
      <c r="B161" s="330" t="s">
        <v>529</v>
      </c>
      <c r="C161" s="291" t="s">
        <v>467</v>
      </c>
      <c r="D161" s="325"/>
      <c r="E161" s="325"/>
      <c r="F161" s="335">
        <f t="shared" ref="F161" si="72">FYDSP</f>
        <v>0</v>
      </c>
      <c r="G161" s="335">
        <f t="shared" ref="G161:M161" si="73">FYDSP</f>
        <v>0</v>
      </c>
      <c r="H161" s="335">
        <f t="shared" si="73"/>
        <v>0</v>
      </c>
      <c r="I161" s="335">
        <f t="shared" si="73"/>
        <v>0</v>
      </c>
      <c r="J161" s="335">
        <f t="shared" si="73"/>
        <v>0</v>
      </c>
      <c r="K161" s="335">
        <f t="shared" si="73"/>
        <v>0</v>
      </c>
      <c r="L161" s="335">
        <f t="shared" si="73"/>
        <v>0</v>
      </c>
      <c r="M161" s="335">
        <f t="shared" si="73"/>
        <v>0</v>
      </c>
      <c r="N161" s="178" t="s">
        <v>529</v>
      </c>
    </row>
    <row r="162" spans="1:14">
      <c r="A162" s="131" t="s">
        <v>207</v>
      </c>
      <c r="B162" s="330" t="s">
        <v>42</v>
      </c>
      <c r="C162" s="291" t="s">
        <v>467</v>
      </c>
      <c r="D162" s="325"/>
      <c r="E162" s="325"/>
      <c r="F162" s="334">
        <f>BASE</f>
        <v>0</v>
      </c>
      <c r="G162" s="334">
        <f>G159+G160-G161</f>
        <v>0</v>
      </c>
      <c r="H162" s="334">
        <f t="shared" ref="H162:M162" si="74">H159+H160-H161</f>
        <v>0</v>
      </c>
      <c r="I162" s="334">
        <f t="shared" si="74"/>
        <v>0</v>
      </c>
      <c r="J162" s="334">
        <f t="shared" si="74"/>
        <v>0</v>
      </c>
      <c r="K162" s="334">
        <f t="shared" si="74"/>
        <v>0</v>
      </c>
      <c r="L162" s="334">
        <f t="shared" si="74"/>
        <v>0</v>
      </c>
      <c r="M162" s="334">
        <f t="shared" si="74"/>
        <v>0</v>
      </c>
      <c r="N162" s="178" t="s">
        <v>42</v>
      </c>
    </row>
    <row r="163" spans="1:14">
      <c r="A163" s="131" t="s">
        <v>208</v>
      </c>
      <c r="B163" s="330" t="s">
        <v>209</v>
      </c>
      <c r="C163" s="291" t="s">
        <v>467</v>
      </c>
      <c r="D163" s="325"/>
      <c r="E163" s="325"/>
      <c r="F163" s="336">
        <f t="shared" ref="F163" si="75">ADD</f>
        <v>0</v>
      </c>
      <c r="G163" s="335">
        <f t="shared" ref="G163:M163" si="76">ADD</f>
        <v>0</v>
      </c>
      <c r="H163" s="335">
        <f t="shared" si="76"/>
        <v>0</v>
      </c>
      <c r="I163" s="335">
        <f t="shared" si="76"/>
        <v>0</v>
      </c>
      <c r="J163" s="335">
        <f t="shared" si="76"/>
        <v>0</v>
      </c>
      <c r="K163" s="335">
        <f t="shared" si="76"/>
        <v>0</v>
      </c>
      <c r="L163" s="335">
        <f t="shared" si="76"/>
        <v>0</v>
      </c>
      <c r="M163" s="335">
        <f t="shared" si="76"/>
        <v>0</v>
      </c>
      <c r="N163" s="178" t="s">
        <v>209</v>
      </c>
    </row>
    <row r="164" spans="1:14">
      <c r="A164" s="131" t="s">
        <v>211</v>
      </c>
      <c r="B164" s="330" t="s">
        <v>210</v>
      </c>
      <c r="C164" s="291" t="s">
        <v>467</v>
      </c>
      <c r="D164" s="325"/>
      <c r="E164" s="325"/>
      <c r="F164" s="336">
        <f t="shared" ref="F164" si="77">DSP</f>
        <v>0</v>
      </c>
      <c r="G164" s="335">
        <f t="shared" ref="G164:M164" si="78">DSP</f>
        <v>0</v>
      </c>
      <c r="H164" s="335">
        <f t="shared" si="78"/>
        <v>0</v>
      </c>
      <c r="I164" s="335">
        <f t="shared" si="78"/>
        <v>0</v>
      </c>
      <c r="J164" s="335">
        <f t="shared" si="78"/>
        <v>0</v>
      </c>
      <c r="K164" s="335">
        <f t="shared" si="78"/>
        <v>0</v>
      </c>
      <c r="L164" s="335">
        <f t="shared" si="78"/>
        <v>0</v>
      </c>
      <c r="M164" s="335">
        <f t="shared" si="78"/>
        <v>0</v>
      </c>
      <c r="N164" s="178" t="s">
        <v>210</v>
      </c>
    </row>
    <row r="165" spans="1:14">
      <c r="A165" s="131" t="s">
        <v>38</v>
      </c>
      <c r="B165" s="330" t="s">
        <v>533</v>
      </c>
      <c r="C165" s="291" t="s">
        <v>467</v>
      </c>
      <c r="D165" s="325"/>
      <c r="E165" s="325"/>
      <c r="F165" s="334">
        <f>F162+F163-F164</f>
        <v>0</v>
      </c>
      <c r="G165" s="334">
        <f>G162+G163-G164</f>
        <v>0</v>
      </c>
      <c r="H165" s="334">
        <f>H162+H163-H164</f>
        <v>0</v>
      </c>
      <c r="I165" s="334">
        <f>I162+I163-I164</f>
        <v>0</v>
      </c>
      <c r="J165" s="334">
        <f t="shared" ref="J165:M165" si="79">J162+J163-J164</f>
        <v>0</v>
      </c>
      <c r="K165" s="334">
        <f t="shared" si="79"/>
        <v>0</v>
      </c>
      <c r="L165" s="334">
        <f t="shared" si="79"/>
        <v>0</v>
      </c>
      <c r="M165" s="334">
        <f t="shared" si="79"/>
        <v>0</v>
      </c>
      <c r="N165" s="178"/>
    </row>
    <row r="166" spans="1:14">
      <c r="A166" s="325"/>
      <c r="B166" s="325"/>
      <c r="C166" s="291"/>
      <c r="D166" s="325"/>
      <c r="E166" s="351"/>
      <c r="F166" s="351"/>
      <c r="G166" s="178"/>
      <c r="H166" s="179"/>
      <c r="I166" s="179"/>
      <c r="J166" s="179"/>
      <c r="K166" s="179"/>
      <c r="L166" s="179"/>
      <c r="M166" s="179"/>
      <c r="N166" s="179"/>
    </row>
    <row r="167" spans="1:14">
      <c r="N167" s="179"/>
    </row>
    <row r="168" spans="1:14">
      <c r="N168" s="179"/>
    </row>
    <row r="169" spans="1:14">
      <c r="N169" s="179"/>
    </row>
    <row r="170" spans="1:14">
      <c r="N170" s="179"/>
    </row>
    <row r="171" spans="1:14">
      <c r="N171" s="179"/>
    </row>
    <row r="172" spans="1:14">
      <c r="N172" s="179"/>
    </row>
    <row r="173" spans="1:14">
      <c r="N173" s="179"/>
    </row>
    <row r="174" spans="1:14">
      <c r="N174" s="179"/>
    </row>
    <row r="175" spans="1:14">
      <c r="N175" s="179"/>
    </row>
    <row r="176" spans="1:14">
      <c r="N176" s="179"/>
    </row>
    <row r="177" spans="14:14">
      <c r="N177" s="179"/>
    </row>
    <row r="178" spans="14:14">
      <c r="N178" s="179"/>
    </row>
    <row r="179" spans="14:14">
      <c r="N179" s="179"/>
    </row>
    <row r="180" spans="14:14">
      <c r="N180" s="179"/>
    </row>
    <row r="181" spans="14:14">
      <c r="N181" s="179"/>
    </row>
    <row r="182" spans="14:14">
      <c r="N182" s="179"/>
    </row>
    <row r="183" spans="14:14">
      <c r="N183" s="179"/>
    </row>
    <row r="184" spans="14:14">
      <c r="N184" s="179"/>
    </row>
    <row r="185" spans="14:14">
      <c r="N185" s="179"/>
    </row>
    <row r="186" spans="14:14">
      <c r="N186" s="179"/>
    </row>
    <row r="187" spans="14:14">
      <c r="N187" s="179"/>
    </row>
    <row r="188" spans="14:14">
      <c r="N188" s="179"/>
    </row>
    <row r="189" spans="14:14">
      <c r="N189" s="179"/>
    </row>
    <row r="190" spans="14:14">
      <c r="N190" s="179"/>
    </row>
    <row r="191" spans="14:14">
      <c r="N191" s="179"/>
    </row>
    <row r="192" spans="14:14">
      <c r="N192" s="179"/>
    </row>
    <row r="193" spans="14:14">
      <c r="N193" s="179"/>
    </row>
    <row r="194" spans="14:14">
      <c r="N194" s="179"/>
    </row>
    <row r="195" spans="14:14">
      <c r="N195" s="179"/>
    </row>
    <row r="196" spans="14:14">
      <c r="N196" s="179"/>
    </row>
    <row r="197" spans="14:14">
      <c r="N197" s="179"/>
    </row>
    <row r="198" spans="14:14">
      <c r="N198" s="179"/>
    </row>
    <row r="199" spans="14:14">
      <c r="N199" s="179"/>
    </row>
    <row r="200" spans="14:14">
      <c r="N200" s="179"/>
    </row>
    <row r="201" spans="14:14">
      <c r="N201" s="179"/>
    </row>
    <row r="202" spans="14:14">
      <c r="N202" s="179"/>
    </row>
    <row r="203" spans="14:14">
      <c r="N203" s="179"/>
    </row>
    <row r="204" spans="14:14">
      <c r="N204" s="179"/>
    </row>
    <row r="205" spans="14:14">
      <c r="N205" s="179"/>
    </row>
    <row r="206" spans="14:14">
      <c r="N206" s="179"/>
    </row>
    <row r="207" spans="14:14">
      <c r="N207" s="179"/>
    </row>
    <row r="208" spans="14:14">
      <c r="N208" s="179"/>
    </row>
    <row r="209" spans="14:14">
      <c r="N209" s="179"/>
    </row>
    <row r="210" spans="14:14">
      <c r="N210" s="179"/>
    </row>
    <row r="211" spans="14:14">
      <c r="N211" s="179"/>
    </row>
    <row r="212" spans="14:14">
      <c r="N212" s="179"/>
    </row>
    <row r="213" spans="14:14">
      <c r="N213" s="179"/>
    </row>
    <row r="214" spans="14:14">
      <c r="N214" s="179"/>
    </row>
  </sheetData>
  <mergeCells count="4">
    <mergeCell ref="G17:M17"/>
    <mergeCell ref="E17:F17"/>
    <mergeCell ref="F95:H95"/>
    <mergeCell ref="F107:H107"/>
  </mergeCells>
  <pageMargins left="0.19685039370078741" right="0.19685039370078741" top="0.39370078740157483" bottom="0.51181102362204722" header="0.19685039370078741" footer="0.23622047244094491"/>
  <pageSetup paperSize="9" scale="41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2.1171875" style="114" customWidth="1"/>
    <col min="2" max="2" width="10.46875" style="114" customWidth="1"/>
    <col min="3" max="3" width="6.46875" style="114" customWidth="1"/>
    <col min="4" max="5" width="3.64453125" style="114" customWidth="1"/>
    <col min="6" max="6" width="10" style="114" customWidth="1"/>
    <col min="7" max="11" width="9.17578125" style="114" customWidth="1"/>
    <col min="12" max="13" width="9.17578125" style="114" bestFit="1" customWidth="1"/>
    <col min="14" max="16384" width="9" style="114"/>
  </cols>
  <sheetData>
    <row r="1" spans="1:19" s="131" customFormat="1" ht="14.65">
      <c r="A1" s="130" t="s">
        <v>127</v>
      </c>
      <c r="N1" s="369"/>
    </row>
    <row r="2" spans="1:19" s="131" customFormat="1" ht="14.65">
      <c r="A2" s="130" t="str">
        <f>CompName</f>
        <v>Scottish Power Transmission plc</v>
      </c>
      <c r="N2" s="369"/>
    </row>
    <row r="3" spans="1:19" s="131" customFormat="1">
      <c r="A3" s="133" t="str">
        <f>RegYr</f>
        <v>Regulatory Year ending 31 March 2019</v>
      </c>
      <c r="N3" s="369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70"/>
      <c r="O4" s="145"/>
      <c r="P4" s="145"/>
      <c r="Q4" s="145"/>
      <c r="R4" s="145"/>
      <c r="S4" s="145"/>
    </row>
    <row r="5" spans="1:19" ht="14.65">
      <c r="A5" s="185" t="s">
        <v>522</v>
      </c>
      <c r="B5" s="135"/>
      <c r="C5" s="135"/>
      <c r="D5" s="135"/>
      <c r="E5" s="135"/>
      <c r="F5" s="135"/>
      <c r="G5" s="135"/>
      <c r="H5" s="135"/>
      <c r="I5" s="135"/>
      <c r="N5" s="179"/>
    </row>
    <row r="6" spans="1:19" ht="13.5">
      <c r="B6" s="120"/>
      <c r="C6" s="120"/>
      <c r="D6" s="120"/>
      <c r="E6" s="120"/>
      <c r="F6" s="120"/>
      <c r="G6" s="120"/>
      <c r="H6" s="120"/>
      <c r="I6" s="120"/>
      <c r="N6" s="179"/>
    </row>
    <row r="7" spans="1:19" ht="16.5" customHeight="1">
      <c r="B7" s="120"/>
      <c r="C7" s="147"/>
      <c r="D7" s="120"/>
      <c r="E7" s="120"/>
      <c r="F7" s="117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D8" s="120"/>
      <c r="E8" s="120"/>
      <c r="F8" s="120"/>
      <c r="G8" s="120"/>
      <c r="H8" s="120"/>
      <c r="I8" s="120"/>
      <c r="N8" s="179"/>
    </row>
    <row r="9" spans="1:19" ht="13.5">
      <c r="A9" s="114" t="s">
        <v>29</v>
      </c>
      <c r="B9" s="114" t="s">
        <v>223</v>
      </c>
      <c r="C9" s="287" t="s">
        <v>1</v>
      </c>
      <c r="D9" s="120"/>
      <c r="E9" s="120"/>
      <c r="F9" s="159">
        <f t="shared" ref="F9:M9" si="0">NIA</f>
        <v>0</v>
      </c>
      <c r="G9" s="159">
        <f t="shared" si="0"/>
        <v>0</v>
      </c>
      <c r="H9" s="159">
        <f t="shared" si="0"/>
        <v>0</v>
      </c>
      <c r="I9" s="159">
        <f t="shared" si="0"/>
        <v>0</v>
      </c>
      <c r="J9" s="159">
        <f t="shared" si="0"/>
        <v>0</v>
      </c>
      <c r="K9" s="159">
        <f t="shared" si="0"/>
        <v>0</v>
      </c>
      <c r="L9" s="159">
        <f t="shared" si="0"/>
        <v>0</v>
      </c>
      <c r="M9" s="159">
        <f t="shared" si="0"/>
        <v>0</v>
      </c>
      <c r="N9" s="178" t="s">
        <v>223</v>
      </c>
    </row>
    <row r="10" spans="1:19">
      <c r="A10" s="114" t="s">
        <v>28</v>
      </c>
      <c r="B10" s="114" t="s">
        <v>224</v>
      </c>
      <c r="C10" s="287" t="s">
        <v>1</v>
      </c>
      <c r="F10" s="159">
        <f t="shared" ref="F10:M10" si="1">NICF</f>
        <v>0</v>
      </c>
      <c r="G10" s="159">
        <f t="shared" si="1"/>
        <v>0</v>
      </c>
      <c r="H10" s="159">
        <f t="shared" si="1"/>
        <v>0</v>
      </c>
      <c r="I10" s="159">
        <f t="shared" si="1"/>
        <v>0</v>
      </c>
      <c r="J10" s="159">
        <f t="shared" si="1"/>
        <v>0</v>
      </c>
      <c r="K10" s="159">
        <f t="shared" si="1"/>
        <v>0</v>
      </c>
      <c r="L10" s="159">
        <f t="shared" si="1"/>
        <v>0</v>
      </c>
      <c r="M10" s="159">
        <f t="shared" si="1"/>
        <v>0</v>
      </c>
      <c r="N10" s="178" t="s">
        <v>224</v>
      </c>
    </row>
    <row r="11" spans="1:19">
      <c r="F11" s="123"/>
      <c r="N11" s="179"/>
    </row>
    <row r="12" spans="1:19">
      <c r="F12" s="123"/>
      <c r="N12" s="179"/>
    </row>
    <row r="13" spans="1:19" ht="17.649999999999999">
      <c r="A13" s="116" t="s">
        <v>43</v>
      </c>
      <c r="E13" s="134" t="s">
        <v>220</v>
      </c>
      <c r="I13" s="123"/>
      <c r="N13" s="179"/>
    </row>
    <row r="14" spans="1:19">
      <c r="A14" s="260" t="s">
        <v>461</v>
      </c>
      <c r="N14" s="179"/>
    </row>
    <row r="15" spans="1:19">
      <c r="A15" s="140" t="s">
        <v>44</v>
      </c>
      <c r="B15" s="114" t="s">
        <v>324</v>
      </c>
      <c r="C15" s="114" t="s">
        <v>1</v>
      </c>
      <c r="F15" s="159">
        <f t="shared" ref="F15:M15" si="2">ANIA</f>
        <v>0</v>
      </c>
      <c r="G15" s="159">
        <f t="shared" si="2"/>
        <v>0</v>
      </c>
      <c r="H15" s="159">
        <f t="shared" si="2"/>
        <v>0</v>
      </c>
      <c r="I15" s="159">
        <f t="shared" si="2"/>
        <v>0</v>
      </c>
      <c r="J15" s="159">
        <f t="shared" si="2"/>
        <v>0</v>
      </c>
      <c r="K15" s="159">
        <f t="shared" si="2"/>
        <v>0</v>
      </c>
      <c r="L15" s="159">
        <f t="shared" si="2"/>
        <v>0</v>
      </c>
      <c r="M15" s="159">
        <f t="shared" si="2"/>
        <v>0</v>
      </c>
      <c r="N15" s="178" t="s">
        <v>324</v>
      </c>
    </row>
    <row r="16" spans="1:19">
      <c r="A16" s="140" t="s">
        <v>45</v>
      </c>
      <c r="B16" s="114" t="s">
        <v>225</v>
      </c>
      <c r="C16" s="114" t="s">
        <v>1</v>
      </c>
      <c r="F16" s="159">
        <f t="shared" ref="F16:M16" si="3">NIAR</f>
        <v>0</v>
      </c>
      <c r="G16" s="159">
        <f t="shared" si="3"/>
        <v>0</v>
      </c>
      <c r="H16" s="159">
        <f t="shared" si="3"/>
        <v>0</v>
      </c>
      <c r="I16" s="159">
        <f t="shared" si="3"/>
        <v>0</v>
      </c>
      <c r="J16" s="159">
        <f t="shared" si="3"/>
        <v>0</v>
      </c>
      <c r="K16" s="159">
        <f t="shared" si="3"/>
        <v>0</v>
      </c>
      <c r="L16" s="159">
        <f t="shared" si="3"/>
        <v>0</v>
      </c>
      <c r="M16" s="159">
        <f t="shared" si="3"/>
        <v>0</v>
      </c>
      <c r="N16" s="178" t="s">
        <v>225</v>
      </c>
    </row>
    <row r="17" spans="1:15">
      <c r="A17" s="140" t="s">
        <v>29</v>
      </c>
      <c r="B17" s="114" t="s">
        <v>223</v>
      </c>
      <c r="C17" s="287" t="s">
        <v>1</v>
      </c>
      <c r="F17" s="233">
        <f t="shared" ref="F17:M17" si="4">SUM(F15-F16)</f>
        <v>0</v>
      </c>
      <c r="G17" s="233">
        <f t="shared" si="4"/>
        <v>0</v>
      </c>
      <c r="H17" s="233">
        <f t="shared" si="4"/>
        <v>0</v>
      </c>
      <c r="I17" s="233">
        <f t="shared" si="4"/>
        <v>0</v>
      </c>
      <c r="J17" s="233">
        <f t="shared" si="4"/>
        <v>0</v>
      </c>
      <c r="K17" s="233">
        <f t="shared" si="4"/>
        <v>0</v>
      </c>
      <c r="L17" s="233">
        <f t="shared" si="4"/>
        <v>0</v>
      </c>
      <c r="M17" s="233">
        <f t="shared" si="4"/>
        <v>0</v>
      </c>
      <c r="N17" s="178" t="s">
        <v>223</v>
      </c>
    </row>
    <row r="18" spans="1:15">
      <c r="A18" s="140"/>
      <c r="F18" s="123"/>
      <c r="H18" s="123"/>
      <c r="I18" s="123"/>
      <c r="N18" s="179"/>
    </row>
    <row r="19" spans="1:15">
      <c r="A19" s="140"/>
      <c r="N19" s="179"/>
    </row>
    <row r="20" spans="1:15" ht="17.649999999999999">
      <c r="A20" s="116" t="s">
        <v>46</v>
      </c>
      <c r="E20" s="134" t="s">
        <v>219</v>
      </c>
      <c r="K20" s="123"/>
      <c r="N20" s="179"/>
    </row>
    <row r="21" spans="1:15">
      <c r="A21" s="260" t="s">
        <v>462</v>
      </c>
      <c r="N21" s="179"/>
    </row>
    <row r="22" spans="1:15">
      <c r="A22" s="114" t="s">
        <v>50</v>
      </c>
      <c r="B22" s="114" t="s">
        <v>47</v>
      </c>
      <c r="C22" s="255" t="s">
        <v>110</v>
      </c>
      <c r="F22" s="159">
        <f t="shared" ref="F22:M22" si="5">PTRA</f>
        <v>0.9</v>
      </c>
      <c r="G22" s="159">
        <f t="shared" si="5"/>
        <v>0.9</v>
      </c>
      <c r="H22" s="159">
        <f t="shared" si="5"/>
        <v>0.9</v>
      </c>
      <c r="I22" s="159">
        <f t="shared" si="5"/>
        <v>0.9</v>
      </c>
      <c r="J22" s="159">
        <f t="shared" si="5"/>
        <v>0.9</v>
      </c>
      <c r="K22" s="159">
        <f t="shared" si="5"/>
        <v>0.9</v>
      </c>
      <c r="L22" s="159">
        <f t="shared" si="5"/>
        <v>0.9</v>
      </c>
      <c r="M22" s="159">
        <f t="shared" si="5"/>
        <v>0.9</v>
      </c>
      <c r="N22" s="178" t="s">
        <v>47</v>
      </c>
      <c r="O22" s="123"/>
    </row>
    <row r="23" spans="1:15">
      <c r="A23" s="114" t="s">
        <v>51</v>
      </c>
      <c r="B23" s="114" t="s">
        <v>222</v>
      </c>
      <c r="C23" s="255" t="s">
        <v>1</v>
      </c>
      <c r="F23" s="159">
        <f t="shared" ref="F23:M23" si="6">ENIA</f>
        <v>0</v>
      </c>
      <c r="G23" s="159">
        <f t="shared" si="6"/>
        <v>0</v>
      </c>
      <c r="H23" s="159">
        <f t="shared" si="6"/>
        <v>0</v>
      </c>
      <c r="I23" s="159">
        <f t="shared" si="6"/>
        <v>0</v>
      </c>
      <c r="J23" s="159">
        <f t="shared" si="6"/>
        <v>0</v>
      </c>
      <c r="K23" s="159">
        <f t="shared" si="6"/>
        <v>0</v>
      </c>
      <c r="L23" s="159">
        <f t="shared" si="6"/>
        <v>0</v>
      </c>
      <c r="M23" s="159">
        <f t="shared" si="6"/>
        <v>0</v>
      </c>
      <c r="N23" s="382" t="s">
        <v>222</v>
      </c>
      <c r="O23" s="123"/>
    </row>
    <row r="24" spans="1:15">
      <c r="A24" s="114" t="s">
        <v>221</v>
      </c>
      <c r="B24" s="114" t="s">
        <v>48</v>
      </c>
      <c r="C24" s="255" t="s">
        <v>1</v>
      </c>
      <c r="F24" s="159">
        <f t="shared" ref="F24:M24" si="7">BPC</f>
        <v>0</v>
      </c>
      <c r="G24" s="159">
        <f t="shared" si="7"/>
        <v>0</v>
      </c>
      <c r="H24" s="159">
        <f t="shared" si="7"/>
        <v>0</v>
      </c>
      <c r="I24" s="159">
        <f t="shared" si="7"/>
        <v>0</v>
      </c>
      <c r="J24" s="159">
        <f t="shared" si="7"/>
        <v>0</v>
      </c>
      <c r="K24" s="159">
        <f t="shared" si="7"/>
        <v>0</v>
      </c>
      <c r="L24" s="159">
        <f t="shared" si="7"/>
        <v>0</v>
      </c>
      <c r="M24" s="159">
        <f t="shared" si="7"/>
        <v>0</v>
      </c>
      <c r="N24" s="382" t="s">
        <v>48</v>
      </c>
      <c r="O24" s="178"/>
    </row>
    <row r="25" spans="1:15">
      <c r="A25" s="114" t="s">
        <v>52</v>
      </c>
      <c r="B25" s="114" t="s">
        <v>49</v>
      </c>
      <c r="C25" s="255" t="s">
        <v>98</v>
      </c>
      <c r="F25" s="173">
        <f t="shared" ref="F25:M25" si="8">NIAV</f>
        <v>5.0000000000000001E-3</v>
      </c>
      <c r="G25" s="173">
        <f t="shared" si="8"/>
        <v>5.0000000000000001E-3</v>
      </c>
      <c r="H25" s="173">
        <f t="shared" si="8"/>
        <v>5.0000000000000001E-3</v>
      </c>
      <c r="I25" s="173">
        <f t="shared" si="8"/>
        <v>5.0000000000000001E-3</v>
      </c>
      <c r="J25" s="173">
        <f t="shared" si="8"/>
        <v>5.0000000000000001E-3</v>
      </c>
      <c r="K25" s="173">
        <f t="shared" si="8"/>
        <v>5.0000000000000001E-3</v>
      </c>
      <c r="L25" s="173">
        <f t="shared" si="8"/>
        <v>5.0000000000000001E-3</v>
      </c>
      <c r="M25" s="173">
        <f t="shared" si="8"/>
        <v>5.0000000000000001E-3</v>
      </c>
      <c r="N25" s="178" t="s">
        <v>49</v>
      </c>
      <c r="O25" s="123"/>
    </row>
    <row r="26" spans="1:15">
      <c r="A26" s="114" t="s">
        <v>53</v>
      </c>
      <c r="B26" s="114" t="s">
        <v>296</v>
      </c>
      <c r="C26" s="255" t="s">
        <v>1</v>
      </c>
      <c r="F26" s="159">
        <f t="shared" ref="F26:M26" si="9">BR</f>
        <v>261.81688600000001</v>
      </c>
      <c r="G26" s="159">
        <f t="shared" si="9"/>
        <v>292.91396867050065</v>
      </c>
      <c r="H26" s="159">
        <f t="shared" si="9"/>
        <v>293.58046195096097</v>
      </c>
      <c r="I26" s="159">
        <f t="shared" si="9"/>
        <v>270.34750085222618</v>
      </c>
      <c r="J26" s="159">
        <f t="shared" si="9"/>
        <v>293.19141391350985</v>
      </c>
      <c r="K26" s="159">
        <f t="shared" si="9"/>
        <v>326.49433773015232</v>
      </c>
      <c r="L26" s="159">
        <f t="shared" si="9"/>
        <v>346.61756029829962</v>
      </c>
      <c r="M26" s="159">
        <f t="shared" si="9"/>
        <v>331.96878743067481</v>
      </c>
      <c r="N26" s="178" t="s">
        <v>296</v>
      </c>
      <c r="O26" s="123"/>
    </row>
    <row r="27" spans="1:15">
      <c r="A27" s="114" t="s">
        <v>44</v>
      </c>
      <c r="B27" s="114" t="s">
        <v>324</v>
      </c>
      <c r="C27" s="255" t="s">
        <v>1</v>
      </c>
      <c r="F27" s="233">
        <f>F22*MIN(F23+F24,F25*F26)</f>
        <v>0</v>
      </c>
      <c r="G27" s="233">
        <f t="shared" ref="G27:M27" si="10">G22*MIN(G23+G24,G25*G26)</f>
        <v>0</v>
      </c>
      <c r="H27" s="233">
        <f t="shared" si="10"/>
        <v>0</v>
      </c>
      <c r="I27" s="233">
        <f t="shared" si="10"/>
        <v>0</v>
      </c>
      <c r="J27" s="233">
        <f t="shared" si="10"/>
        <v>0</v>
      </c>
      <c r="K27" s="233">
        <f t="shared" si="10"/>
        <v>0</v>
      </c>
      <c r="L27" s="233">
        <f t="shared" si="10"/>
        <v>0</v>
      </c>
      <c r="M27" s="233">
        <f t="shared" si="10"/>
        <v>0</v>
      </c>
      <c r="N27" s="178" t="s">
        <v>324</v>
      </c>
      <c r="O27" s="123"/>
    </row>
    <row r="28" spans="1:15">
      <c r="C28" s="255"/>
      <c r="F28" s="123"/>
      <c r="I28" s="123"/>
      <c r="N28" s="179"/>
    </row>
    <row r="29" spans="1:15">
      <c r="C29" s="255"/>
      <c r="N29" s="179"/>
    </row>
    <row r="30" spans="1:15">
      <c r="C30" s="255"/>
      <c r="N30" s="179"/>
    </row>
    <row r="31" spans="1:15">
      <c r="A31" s="123" t="s">
        <v>284</v>
      </c>
      <c r="C31" s="255"/>
      <c r="N31" s="179"/>
    </row>
    <row r="32" spans="1:15">
      <c r="A32" s="116" t="s">
        <v>285</v>
      </c>
      <c r="C32" s="255"/>
      <c r="N32" s="179"/>
    </row>
    <row r="33" spans="1:15">
      <c r="A33" s="116" t="s">
        <v>472</v>
      </c>
      <c r="C33" s="255"/>
      <c r="J33" s="123"/>
      <c r="N33" s="179"/>
    </row>
    <row r="34" spans="1:15">
      <c r="A34" s="114" t="s">
        <v>51</v>
      </c>
      <c r="B34" s="114" t="s">
        <v>222</v>
      </c>
      <c r="C34" s="255" t="s">
        <v>1</v>
      </c>
      <c r="F34" s="138">
        <f>ENIA</f>
        <v>0</v>
      </c>
      <c r="G34" s="138">
        <f t="shared" ref="G34:M34" si="11">ENIA</f>
        <v>0</v>
      </c>
      <c r="H34" s="138">
        <f t="shared" si="11"/>
        <v>0</v>
      </c>
      <c r="I34" s="138">
        <f t="shared" si="11"/>
        <v>0</v>
      </c>
      <c r="J34" s="138">
        <f t="shared" si="11"/>
        <v>0</v>
      </c>
      <c r="K34" s="138">
        <f t="shared" si="11"/>
        <v>0</v>
      </c>
      <c r="L34" s="138">
        <f t="shared" si="11"/>
        <v>0</v>
      </c>
      <c r="M34" s="138">
        <f t="shared" si="11"/>
        <v>0</v>
      </c>
      <c r="N34" s="382" t="s">
        <v>222</v>
      </c>
    </row>
    <row r="35" spans="1:15" s="180" customFormat="1">
      <c r="A35" s="136" t="s">
        <v>287</v>
      </c>
      <c r="B35" s="287" t="s">
        <v>288</v>
      </c>
      <c r="C35" s="288" t="s">
        <v>1</v>
      </c>
      <c r="F35" s="186">
        <f t="shared" ref="F35:M35" si="12">NIAIE</f>
        <v>0</v>
      </c>
      <c r="G35" s="186">
        <f t="shared" si="12"/>
        <v>0</v>
      </c>
      <c r="H35" s="186">
        <f t="shared" si="12"/>
        <v>0</v>
      </c>
      <c r="I35" s="186">
        <f t="shared" si="12"/>
        <v>0</v>
      </c>
      <c r="J35" s="186">
        <f t="shared" si="12"/>
        <v>0</v>
      </c>
      <c r="K35" s="186">
        <f t="shared" si="12"/>
        <v>0</v>
      </c>
      <c r="L35" s="186">
        <f t="shared" si="12"/>
        <v>0</v>
      </c>
      <c r="M35" s="186">
        <f t="shared" si="12"/>
        <v>0</v>
      </c>
      <c r="N35" s="178" t="s">
        <v>288</v>
      </c>
    </row>
    <row r="36" spans="1:15">
      <c r="A36" s="114" t="s">
        <v>110</v>
      </c>
      <c r="B36" s="114" t="s">
        <v>286</v>
      </c>
      <c r="C36" s="255" t="s">
        <v>110</v>
      </c>
      <c r="F36" s="296">
        <v>0.25</v>
      </c>
      <c r="G36" s="296">
        <v>0.25</v>
      </c>
      <c r="H36" s="296">
        <v>0.25</v>
      </c>
      <c r="I36" s="296">
        <v>0.25</v>
      </c>
      <c r="J36" s="296">
        <v>0.25</v>
      </c>
      <c r="K36" s="296">
        <v>0.25</v>
      </c>
      <c r="L36" s="296">
        <v>0.25</v>
      </c>
      <c r="M36" s="296">
        <v>0.25</v>
      </c>
      <c r="N36" s="382" t="s">
        <v>286</v>
      </c>
    </row>
    <row r="37" spans="1:15">
      <c r="A37" s="114" t="s">
        <v>502</v>
      </c>
      <c r="C37" s="255"/>
      <c r="F37" s="143" t="str">
        <f>IF(F35&lt;=(F34*F36),"OK","NON COMPLIANT")</f>
        <v>OK</v>
      </c>
      <c r="G37" s="143" t="str">
        <f t="shared" ref="G37:M37" si="13">IF(G35&lt;=(G34*G36),"OK","NON COMPLIANT")</f>
        <v>OK</v>
      </c>
      <c r="H37" s="143" t="str">
        <f t="shared" si="13"/>
        <v>OK</v>
      </c>
      <c r="I37" s="143" t="str">
        <f t="shared" si="13"/>
        <v>OK</v>
      </c>
      <c r="J37" s="143" t="str">
        <f t="shared" si="13"/>
        <v>OK</v>
      </c>
      <c r="K37" s="143" t="str">
        <f t="shared" si="13"/>
        <v>OK</v>
      </c>
      <c r="L37" s="143" t="str">
        <f t="shared" si="13"/>
        <v>OK</v>
      </c>
      <c r="M37" s="143" t="str">
        <f t="shared" si="13"/>
        <v>OK</v>
      </c>
      <c r="N37" s="382" t="s">
        <v>288</v>
      </c>
      <c r="O37" s="179"/>
    </row>
    <row r="38" spans="1:15">
      <c r="H38" s="123"/>
      <c r="N38" s="179"/>
    </row>
    <row r="39" spans="1:15">
      <c r="N39" s="179"/>
    </row>
    <row r="40" spans="1:15">
      <c r="N40" s="179"/>
    </row>
    <row r="41" spans="1:15">
      <c r="N41" s="179"/>
    </row>
    <row r="42" spans="1:15">
      <c r="N42" s="179"/>
    </row>
    <row r="43" spans="1:15">
      <c r="N43" s="179"/>
    </row>
    <row r="44" spans="1:15">
      <c r="N44" s="179"/>
    </row>
    <row r="45" spans="1:15">
      <c r="N45" s="179"/>
    </row>
    <row r="46" spans="1:15">
      <c r="N46" s="179"/>
    </row>
    <row r="47" spans="1:15">
      <c r="N47" s="179"/>
    </row>
    <row r="48" spans="1:15">
      <c r="N48" s="179"/>
    </row>
    <row r="49" spans="14:14">
      <c r="N49" s="179"/>
    </row>
    <row r="50" spans="14:14">
      <c r="N50" s="179"/>
    </row>
    <row r="51" spans="14:14">
      <c r="N51" s="179"/>
    </row>
    <row r="52" spans="14:14">
      <c r="N52" s="179"/>
    </row>
    <row r="53" spans="14:14">
      <c r="N53" s="179"/>
    </row>
    <row r="54" spans="14:14">
      <c r="N54" s="179"/>
    </row>
    <row r="55" spans="14:14">
      <c r="N55" s="179"/>
    </row>
    <row r="56" spans="14:14">
      <c r="N56" s="179"/>
    </row>
    <row r="57" spans="14:14">
      <c r="N57" s="179"/>
    </row>
    <row r="58" spans="14:14">
      <c r="N58" s="179"/>
    </row>
    <row r="59" spans="14:14">
      <c r="N59" s="179"/>
    </row>
    <row r="60" spans="14:14">
      <c r="N60" s="179"/>
    </row>
    <row r="61" spans="14:14">
      <c r="N61" s="179"/>
    </row>
    <row r="62" spans="14:14">
      <c r="N62" s="179"/>
    </row>
    <row r="63" spans="14:14">
      <c r="N63" s="179"/>
    </row>
    <row r="64" spans="14:14">
      <c r="N64" s="179"/>
    </row>
    <row r="65" spans="14:14">
      <c r="N65" s="179"/>
    </row>
    <row r="66" spans="14:14">
      <c r="N66" s="179"/>
    </row>
    <row r="67" spans="14:14">
      <c r="N67" s="179"/>
    </row>
    <row r="68" spans="14:14">
      <c r="N68" s="179"/>
    </row>
    <row r="69" spans="14:14">
      <c r="N69" s="179"/>
    </row>
    <row r="70" spans="14:14">
      <c r="N70" s="179"/>
    </row>
    <row r="71" spans="14:14">
      <c r="N71" s="179"/>
    </row>
    <row r="72" spans="14:14">
      <c r="N72" s="179"/>
    </row>
    <row r="73" spans="14:14">
      <c r="N73" s="179"/>
    </row>
    <row r="74" spans="14:14">
      <c r="N74" s="179"/>
    </row>
    <row r="75" spans="14:14">
      <c r="N75" s="179"/>
    </row>
  </sheetData>
  <pageMargins left="0.31496062992125984" right="0.23622047244094491" top="0.43307086614173229" bottom="0.55118110236220474" header="0.19685039370078741" footer="0.19685039370078741"/>
  <pageSetup paperSize="9" scale="89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3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Choose an Organisation</Organisation>
    <Descriptor xmlns="631298fc-6a88-4548-b7d9-3b164918c4a3" xsi:nil="true"/>
    <_x003a__x003a_ xmlns="631298fc-6a88-4548-b7d9-3b164918c4a3">-Main Document</_x003a__x003a_>
  </documentManagement>
</p:properties>
</file>

<file path=customXml/itemProps1.xml><?xml version="1.0" encoding="utf-8"?>
<ds:datastoreItem xmlns:ds="http://schemas.openxmlformats.org/officeDocument/2006/customXml" ds:itemID="{98B480C2-F7DD-4EB6-91CB-6E49F3369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434F4A-5233-4C17-8DB7-5B967B358D54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A180300-37D5-4DB8-9E55-EDFCDB92269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310CED8-BAE2-4612-951F-CEEFA734AECB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/fields"/>
    <ds:schemaRef ds:uri="http://purl.org/dc/elements/1.1/"/>
    <ds:schemaRef ds:uri="http://schemas.openxmlformats.org/package/2006/metadata/core-properties"/>
    <ds:schemaRef ds:uri="631298fc-6a88-4548-b7d9-3b164918c4a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143</vt:i4>
      </vt:variant>
    </vt:vector>
  </HeadingPairs>
  <TitlesOfParts>
    <vt:vector size="157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ADD</vt:lpstr>
      <vt:lpstr>AFFTIRG</vt:lpstr>
      <vt:lpstr>AFFTIRG2</vt:lpstr>
      <vt:lpstr>AFFTIRG3</vt:lpstr>
      <vt:lpstr>AFFTIRG4</vt:lpstr>
      <vt:lpstr>AFFTIRG5</vt:lpstr>
      <vt:lpstr>AFFTIRGDepn</vt:lpstr>
      <vt:lpstr>AFFTIRGDepn2</vt:lpstr>
      <vt:lpstr>AFFTIRGDepn3</vt:lpstr>
      <vt:lpstr>AFFTIRGDepn4</vt:lpstr>
      <vt:lpstr>AFFTIRGDepn5</vt:lpstr>
      <vt:lpstr>ALE</vt:lpstr>
      <vt:lpstr>ANIA</vt:lpstr>
      <vt:lpstr>ATIRG</vt:lpstr>
      <vt:lpstr>ATIRG2</vt:lpstr>
      <vt:lpstr>ATIRG3</vt:lpstr>
      <vt:lpstr>ATIRG4</vt:lpstr>
      <vt:lpstr>ATIRG5</vt:lpstr>
      <vt:lpstr>BASE</vt:lpstr>
      <vt:lpstr>BPC</vt:lpstr>
      <vt:lpstr>BR</vt:lpstr>
      <vt:lpstr>CCTIRG</vt:lpstr>
      <vt:lpstr>CF</vt:lpstr>
      <vt:lpstr>CFTIRG1</vt:lpstr>
      <vt:lpstr>CFTIRG2</vt:lpstr>
      <vt:lpstr>CFTIRG3</vt:lpstr>
      <vt:lpstr>cftirg4</vt:lpstr>
      <vt:lpstr>CFTIRG5</vt:lpstr>
      <vt:lpstr>CompName</vt:lpstr>
      <vt:lpstr>CONADJ</vt:lpstr>
      <vt:lpstr>Dep</vt:lpstr>
      <vt:lpstr>Dep_3</vt:lpstr>
      <vt:lpstr>Dep_4</vt:lpstr>
      <vt:lpstr>Dep_5</vt:lpstr>
      <vt:lpstr>DSP</vt:lpstr>
      <vt:lpstr>EDR</vt:lpstr>
      <vt:lpstr>EDRO</vt:lpstr>
      <vt:lpstr>ENIA</vt:lpstr>
      <vt:lpstr>ENSA</vt:lpstr>
      <vt:lpstr>ENST</vt:lpstr>
      <vt:lpstr>ETIRGC</vt:lpstr>
      <vt:lpstr>ETIRGC2</vt:lpstr>
      <vt:lpstr>ETIRGC3</vt:lpstr>
      <vt:lpstr>ETIRGC4</vt:lpstr>
      <vt:lpstr>ETIRGC5</vt:lpstr>
      <vt:lpstr>ETIRGORAV</vt:lpstr>
      <vt:lpstr>ETIRGORAV2</vt:lpstr>
      <vt:lpstr>ETIRGORAV3</vt:lpstr>
      <vt:lpstr>ETIRGORAV4</vt:lpstr>
      <vt:lpstr>ETIRGORAV5</vt:lpstr>
      <vt:lpstr>FTIRG2</vt:lpstr>
      <vt:lpstr>FTIRGC</vt:lpstr>
      <vt:lpstr>FTIRGC3</vt:lpstr>
      <vt:lpstr>FTIRGC4</vt:lpstr>
      <vt:lpstr>FTIRGC5</vt:lpstr>
      <vt:lpstr>FTIRGDepn</vt:lpstr>
      <vt:lpstr>FTIRGDepn2</vt:lpstr>
      <vt:lpstr>FTIRGDepn3</vt:lpstr>
      <vt:lpstr>FTIRGDepn4</vt:lpstr>
      <vt:lpstr>FTIRGDEPN5</vt:lpstr>
      <vt:lpstr>FYADD</vt:lpstr>
      <vt:lpstr>FYDSP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SAFTIRG1</vt:lpstr>
      <vt:lpstr>SAFTIRG2</vt:lpstr>
      <vt:lpstr>SAFTIRG3</vt:lpstr>
      <vt:lpstr>SAFTIRG4</vt:lpstr>
      <vt:lpstr>SAFTIRG5</vt:lpstr>
      <vt:lpstr>SEA</vt:lpstr>
      <vt:lpstr>SEAPRO</vt:lpstr>
      <vt:lpstr>SER</vt:lpstr>
      <vt:lpstr>SERLIMIT</vt:lpstr>
      <vt:lpstr>SFI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SSC</vt:lpstr>
      <vt:lpstr>SSCAP</vt:lpstr>
      <vt:lpstr>SSCOL</vt:lpstr>
      <vt:lpstr>SSDPA</vt:lpstr>
      <vt:lpstr>SSI</vt:lpstr>
      <vt:lpstr>SSO</vt:lpstr>
      <vt:lpstr>SSPRO</vt:lpstr>
      <vt:lpstr>SST</vt:lpstr>
      <vt:lpstr>SSUPA</vt:lpstr>
      <vt:lpstr>SubTIRG</vt:lpstr>
      <vt:lpstr>TIRG</vt:lpstr>
      <vt:lpstr>TIRGIncAdj</vt:lpstr>
      <vt:lpstr>TIRGIncAdj2</vt:lpstr>
      <vt:lpstr>TIRGIncAdj3</vt:lpstr>
      <vt:lpstr>TIRGIncAdj4</vt:lpstr>
      <vt:lpstr>TIRGIncAdj5</vt:lpstr>
      <vt:lpstr>TIS</vt:lpstr>
      <vt:lpstr>TNR</vt:lpstr>
      <vt:lpstr>TO</vt:lpstr>
      <vt:lpstr>TOTO</vt:lpstr>
      <vt:lpstr>TPA</vt:lpstr>
      <vt:lpstr>TPD</vt:lpstr>
      <vt:lpstr>TR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2015-16 SPTL Revenue Return Model July 2016</dc:title>
  <dc:creator>DN</dc:creator>
  <cp:lastModifiedBy>Andrew Ryan</cp:lastModifiedBy>
  <cp:lastPrinted>2018-01-23T17:33:04Z</cp:lastPrinted>
  <dcterms:created xsi:type="dcterms:W3CDTF">2012-08-23T07:44:41Z</dcterms:created>
  <dcterms:modified xsi:type="dcterms:W3CDTF">2019-03-06T11:05:05Z</dcterms:modified>
  <cp:contentStatus>External 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_dlc_DocIdItemGuid">
    <vt:lpwstr>6ec17d7d-7bc3-4bf7-913e-906b1132fef9</vt:lpwstr>
  </property>
  <property fmtid="{D5CDD505-2E9C-101B-9397-08002B2CF9AE}" pid="4" name="docIndexRef">
    <vt:lpwstr>f85a5ec2-5b88-4ca5-8d9a-82ef993b56a1</vt:lpwstr>
  </property>
  <property fmtid="{D5CDD505-2E9C-101B-9397-08002B2CF9AE}" pid="5" name="bjSaver">
    <vt:lpwstr>XETPu0YqjTi2ilx1HpPGD/UHtprAFOwT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Classification">
    <vt:lpwstr>Unclassified</vt:lpwstr>
  </property>
  <property fmtid="{D5CDD505-2E9C-101B-9397-08002B2CF9AE}" pid="11" name="Organisation">
    <vt:lpwstr>Choose an Organisation</vt:lpwstr>
  </property>
  <property fmtid="{D5CDD505-2E9C-101B-9397-08002B2CF9AE}" pid="12" name="Order">
    <vt:r8>3204900</vt:r8>
  </property>
  <property fmtid="{D5CDD505-2E9C-101B-9397-08002B2CF9AE}" pid="13" name="bjDocumentSecurityLabel">
    <vt:lpwstr>This item has no classification</vt:lpwstr>
  </property>
</Properties>
</file>