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SeatonH\Desktop\Content\"/>
    </mc:Choice>
  </mc:AlternateContent>
  <xr:revisionPtr revIDLastSave="0" documentId="13_ncr:1_{FFD7AB66-38BB-4884-B86D-34FAF4950FFC}" xr6:coauthVersionLast="45" xr6:coauthVersionMax="45" xr10:uidLastSave="{00000000-0000-0000-0000-000000000000}"/>
  <bookViews>
    <workbookView xWindow="-28920" yWindow="-1590" windowWidth="29040" windowHeight="15840" tabRatio="908" activeTab="1" xr2:uid="{00000000-000D-0000-FFFF-FFFF00000000}"/>
  </bookViews>
  <sheets>
    <sheet name="LARt Summary" sheetId="19" r:id="rId1"/>
    <sheet name="R1 Cover" sheetId="13" r:id="rId2"/>
    <sheet name="R2 Schematic" sheetId="14" r:id="rId3"/>
    <sheet name="R3 Version log" sheetId="15" r:id="rId4"/>
    <sheet name="R4 Licence Condition Values" sheetId="16" r:id="rId5"/>
    <sheet name="R5 Input page" sheetId="17" r:id="rId6"/>
    <sheet name="R6 Base revenue" sheetId="3" r:id="rId7"/>
    <sheet name="R7 pass through" sheetId="4" r:id="rId8"/>
    <sheet name="R8 Output incentives" sheetId="5" r:id="rId9"/>
    <sheet name="R9 Innovation incentive" sheetId="6" r:id="rId10"/>
    <sheet name="R10 Correction" sheetId="7" r:id="rId11"/>
    <sheet name="R11 TIRG" sheetId="18" r:id="rId12"/>
    <sheet name="R12 TO MAR" sheetId="2" r:id="rId13"/>
    <sheet name="R13 Excluded Revenue" sheetId="11" r:id="rId14"/>
    <sheet name="R14 Rec to Stat Ac" sheetId="10" r:id="rId15"/>
  </sheets>
  <externalReferences>
    <externalReference r:id="rId16"/>
    <externalReference r:id="rId17"/>
    <externalReference r:id="rId18"/>
    <externalReference r:id="rId19"/>
    <externalReference r:id="rId20"/>
    <externalReference r:id="rId21"/>
    <externalReference r:id="rId22"/>
  </externalReferences>
  <definedNames>
    <definedName name="ADD" localSheetId="0">'[1]R5 Input page'!$D$78:$M$78</definedName>
    <definedName name="ADD">'R5 Input page'!#REF!</definedName>
    <definedName name="ADDSF6" localSheetId="0">'[2]R5 Input page'!$F$98:$M$98</definedName>
    <definedName name="ADDSF6">'[2]R5 Input page'!$F$98:$M$98</definedName>
    <definedName name="AFFTIRG" localSheetId="0">'[1]R5 Input page'!$F$103:$M$103</definedName>
    <definedName name="AFFTIRG">'[3]R5 Input page'!$E$115:$M$115</definedName>
    <definedName name="AFFTIRG1">'R5 Input page'!$D$122:$M$122</definedName>
    <definedName name="AFFTIRG2" localSheetId="0">'[1]R5 Input page'!$F$112:$M$112</definedName>
    <definedName name="AFFTIRG2">'R5 Input page'!$D$131:$M$131</definedName>
    <definedName name="AFFTIRG3">'[1]R5 Input page'!$F$121:$M$121</definedName>
    <definedName name="AFFTIRG4">'[1]R5 Input page'!$F$130:$M$130</definedName>
    <definedName name="AFFTIRG5">'[1]R5 Input page'!$F$139:$M$139</definedName>
    <definedName name="AFFTIRGDepn" localSheetId="0">'[1]R5 Input page'!$F$104:$M$104</definedName>
    <definedName name="AFFTIRGDEPN">'[3]R5 Input page'!$E$116:$M$116</definedName>
    <definedName name="AFFTIRGDepn1">'R5 Input page'!$D$123:$M$123</definedName>
    <definedName name="AFFTIRGDepn2" localSheetId="0">'[1]R5 Input page'!$F$113:$M$113</definedName>
    <definedName name="AFFTIRGDepn2">'R5 Input page'!$D$132:$M$132</definedName>
    <definedName name="AFFTIRGDepn3">'[1]R5 Input page'!$F$122:$M$122</definedName>
    <definedName name="AFFTIRGDepn4">'[1]R5 Input page'!$F$131:$M$131</definedName>
    <definedName name="AFFTIRGDepn5">'[1]R5 Input page'!$F$140:$M$140</definedName>
    <definedName name="ALE" localSheetId="0">'[1]R5 Input page'!$D$82:$M$82</definedName>
    <definedName name="ALE">'R5 Input page'!$D$86:$M$86</definedName>
    <definedName name="ANIA" localSheetId="0">'[1]R9 Innovation incentive'!$F$27:$M$27</definedName>
    <definedName name="ANIA">'R9 Innovation incentive'!$F$27:$M$27</definedName>
    <definedName name="ASWWE">'R5 Input page'!$F$90:$M$90</definedName>
    <definedName name="ATIRG" localSheetId="0">'[1]R5 Input page'!$F$107:$M$107</definedName>
    <definedName name="ATIRG">'[3]R5 Input page'!$E$119:$M$119</definedName>
    <definedName name="ATIRG1">'R5 Input page'!$D$126:$M$126</definedName>
    <definedName name="ATIRG2" localSheetId="0">'[1]R5 Input page'!$F$116:$M$116</definedName>
    <definedName name="ATIRG2">'R5 Input page'!$D$135:$M$135</definedName>
    <definedName name="ATIRG3">'[1]R5 Input page'!$F$125:$M$125</definedName>
    <definedName name="ATIRG4">'[1]R5 Input page'!$F$134:$M$134</definedName>
    <definedName name="ATIRG5">'[1]R5 Input page'!$F$143:$M$143</definedName>
    <definedName name="atrig2">'R5 Input page'!$F$135:$M$135</definedName>
    <definedName name="BASE" localSheetId="0">'[1]R5 Input page'!$E$77</definedName>
    <definedName name="BASE">'[2]R5 Input page'!$E$97</definedName>
    <definedName name="BPC" localSheetId="0">'[1]R5 Input page'!$F$95:$M$95</definedName>
    <definedName name="BPC">'R5 Input page'!$F$114:$M$114</definedName>
    <definedName name="BPCGROUP">'[3]R5 Input page'!#REF!</definedName>
    <definedName name="BPCLIMIT">'[3]R4 Licence Condition Values'!#REF!</definedName>
    <definedName name="BPCLIMIT2">'[3]R5 Input page'!#REF!</definedName>
    <definedName name="BR" comment="Transmission Base Revenue" localSheetId="0">'[1]R6 Base revenue'!$F$14:$M$14</definedName>
    <definedName name="BR" comment="Transmission Base Revenue">'R6 Base revenue'!$F$12:$O$12</definedName>
    <definedName name="BRt" comment="Transmission Base Revenue">'[3]R6 Base revenue'!$F$12:$M$12</definedName>
    <definedName name="CANMR">'[3]R5 Input page'!#REF!</definedName>
    <definedName name="CC">'R5 Input page'!$F$107:$M$107</definedName>
    <definedName name="CCOS">'R5 Input page'!$F$106:$M$106</definedName>
    <definedName name="CCP">'R8 Output incentives'!$F$180:$M$180</definedName>
    <definedName name="CCTIRG" localSheetId="0">'[1]R4 Licence Condition Values'!$D$82:$M$82</definedName>
    <definedName name="CCTIRG">'R4 Licence Condition Values'!$D$78:$M$78</definedName>
    <definedName name="CF" localSheetId="0">'[1]R4 Licence Condition Values'!$F$45:$M$45</definedName>
    <definedName name="CF">'R4 Licence Condition Values'!$F$61:$M$61</definedName>
    <definedName name="CfDQD">'[3]R5 Input page'!#REF!</definedName>
    <definedName name="CfDS">'[3]R5 Input page'!$F$132:$M$132</definedName>
    <definedName name="CfDSD">'[3]R5 Input page'!$F$133:$M$133</definedName>
    <definedName name="CFTIRG">'[3]R4 Licence Condition Values'!$E$74:$M$74</definedName>
    <definedName name="CFTIRG1" localSheetId="0">'[1]R4 Licence Condition Values'!$F$75:$M$75</definedName>
    <definedName name="CFTIRG1">'R4 Licence Condition Values'!$E$71:$M$71</definedName>
    <definedName name="CFTIRG2" localSheetId="0">'[1]R4 Licence Condition Values'!$F$86:$M$86</definedName>
    <definedName name="CFTIRG2">'R4 Licence Condition Values'!$E$82:$M$82</definedName>
    <definedName name="CFTIRG3">'[1]R4 Licence Condition Values'!$F$96:$M$96</definedName>
    <definedName name="cftirg4">'[1]R4 Licence Condition Values'!$F$106:$M$106</definedName>
    <definedName name="CFTIRG5">'[1]R4 Licence Condition Values'!$F$116:$M$116</definedName>
    <definedName name="CMECAQD">'[3]R5 Input page'!#REF!</definedName>
    <definedName name="CMQD">'[3]R5 Input page'!#REF!</definedName>
    <definedName name="CMS">'[3]R5 Input page'!$F$134:$M$134</definedName>
    <definedName name="CMSD">'[3]R5 Input page'!$F$135:$M$135</definedName>
    <definedName name="CompName" localSheetId="0">[4]Input!$E$8</definedName>
    <definedName name="CompName">'R5 Input page'!$E$6</definedName>
    <definedName name="CONADJ" localSheetId="0">'[1]R8 Output incentives'!$H$151:$O$151</definedName>
    <definedName name="CONADJ">'R8 Output incentives'!$H$146:$M$146</definedName>
    <definedName name="CSSCAP">'[3]R4 Licence Condition Values'!$F$48:$M$48</definedName>
    <definedName name="CSSCOL">'[3]R4 Licence Condition Values'!$F$49:$M$49</definedName>
    <definedName name="CSSDPA">'[3]R4 Licence Condition Values'!$F$51:$M$51</definedName>
    <definedName name="CSSP">'[3]R5 Input page'!$D$91:$M$91</definedName>
    <definedName name="CSSPRO" localSheetId="0">'[1]R4 Licence Condition Values'!#REF!</definedName>
    <definedName name="CSSPRO">'[3]R4 Licence Condition Values'!$F$45:$M$45</definedName>
    <definedName name="CSSS">'[3]R15 SO Internal'!$F$91:$M$91</definedName>
    <definedName name="CSSSCfD">'[3]R5 Input page'!#REF!</definedName>
    <definedName name="CSSSCM">'[3]R5 Input page'!#REF!</definedName>
    <definedName name="CSST">'[3]R4 Licence Condition Values'!$F$47:$M$47</definedName>
    <definedName name="CSSUPA">'[3]R4 Licence Condition Values'!$F$50:$M$50</definedName>
    <definedName name="CTE" localSheetId="0">'[1]R5 Input page'!#REF!</definedName>
    <definedName name="CTE">'R8 Output incentives'!$F$189:$M$189</definedName>
    <definedName name="CTRIG2">'R11 TIRG'!$F$80:$M$80</definedName>
    <definedName name="DC">'R5 Input page'!$F$103:$M$103</definedName>
    <definedName name="DCOS">'R5 Input page'!$F$102:$M$102</definedName>
    <definedName name="DCP">'R8 Output incentives'!$F$170:$M$170</definedName>
    <definedName name="Dep" localSheetId="0">'[1]R4 Licence Condition Values'!$E$79:$M$79</definedName>
    <definedName name="Dep">'R4 Licence Condition Values'!$E$75:$M$75</definedName>
    <definedName name="Dep_3">'[1]R4 Licence Condition Values'!$F$100:$M$100</definedName>
    <definedName name="Dep_4">'[1]R4 Licence Condition Values'!$F$110:$M$110</definedName>
    <definedName name="Dep_5">'[1]R4 Licence Condition Values'!$F$120:$M$120</definedName>
    <definedName name="depn2">'R4 Licence Condition Values'!$E$86:$M$86</definedName>
    <definedName name="DFA">'[3]R15 SO Internal'!$F$68:$M$68</definedName>
    <definedName name="DFAA">'[3]R5 Input page'!#REF!</definedName>
    <definedName name="DFAB">'[3]R5 Input page'!#REF!</definedName>
    <definedName name="DFAC">'[3]R5 Input page'!#REF!</definedName>
    <definedName name="DIS" localSheetId="0">'[1]R5 Input page'!#REF!</definedName>
    <definedName name="DIS">'R5 Input page'!#REF!</definedName>
    <definedName name="DRI">'[3]R5 Input page'!$E$128:$M$128</definedName>
    <definedName name="DSP" localSheetId="0">'[1]R5 Input page'!$D$80:$M$80</definedName>
    <definedName name="DSP">'R5 Input page'!#REF!</definedName>
    <definedName name="DSR">'[3]R15 SO Internal'!$F$82:$M$82</definedName>
    <definedName name="DSRpq">'[3]R5 Input page'!$F$127:$M$127</definedName>
    <definedName name="ECC">'R5 Input page'!$F$109:$M$109</definedName>
    <definedName name="ECCOS">'R5 Input page'!$F$108:$M$108</definedName>
    <definedName name="EDC">'R5 Input page'!$F$105:$M$105</definedName>
    <definedName name="EDCOS">'R5 Input page'!$F$104:$M$104</definedName>
    <definedName name="EDR" localSheetId="0">'[1]R8 Output incentives'!$F$137:$O$137</definedName>
    <definedName name="EDR">'R8 Output incentives'!$F$132:$M$132</definedName>
    <definedName name="EDRO" localSheetId="0">'[1]R5 Input page'!$F$85:$M$85</definedName>
    <definedName name="EDRO">'R5 Input page'!$F$93:$M$93</definedName>
    <definedName name="EINIAT">'[3]R5 Input page'!#REF!</definedName>
    <definedName name="ENIA" localSheetId="0">'[1]R5 Input page'!$F$94:$M$94</definedName>
    <definedName name="ENIA">'R5 Input page'!$F$113:$M$113</definedName>
    <definedName name="ENSA" localSheetId="0">'[1]R5 Input page'!$D$63:$M$63</definedName>
    <definedName name="ENSA">'R5 Input page'!$D$74:$M$74</definedName>
    <definedName name="ENST" localSheetId="0">'[1]R4 Licence Condition Values'!$D$23:$M$23</definedName>
    <definedName name="ENST">'R4 Licence Condition Values'!$D$23:$M$23</definedName>
    <definedName name="ETIRG">'[3]R11 TIRG'!$E$69:$M$69</definedName>
    <definedName name="ETIRG2">'R4 Licence Condition Values'!$F$87:$M$87</definedName>
    <definedName name="ETIRGC" localSheetId="0">'[1]R4 Licence Condition Values'!$E$80:$M$80</definedName>
    <definedName name="ETIRGC">'R4 Licence Condition Values'!$E$76:$M$76</definedName>
    <definedName name="ETIRGC2" localSheetId="0">'[1]R4 Licence Condition Values'!$F$91:$M$91</definedName>
    <definedName name="ETIRGC2">'R4 Licence Condition Values'!$E$87:$M$87</definedName>
    <definedName name="ETIRGC3">'[1]R4 Licence Condition Values'!$F$101:$M$101</definedName>
    <definedName name="ETIRGC4">'[1]R4 Licence Condition Values'!$F$111:$M$111</definedName>
    <definedName name="ETIRGC5">'[1]R4 Licence Condition Values'!$F$121:$M$121</definedName>
    <definedName name="ETIRGORAV" localSheetId="0">'[1]R4 Licence Condition Values'!$E$78:$M$78</definedName>
    <definedName name="ETIRGORAV">'R4 Licence Condition Values'!$E$74:$M$74</definedName>
    <definedName name="ETIRGORAV2" localSheetId="0">'[1]R4 Licence Condition Values'!$F$89:$M$89</definedName>
    <definedName name="ETIRGORAV2">'R4 Licence Condition Values'!$E$85:$M$85</definedName>
    <definedName name="ETIRGORAV3">'[1]R4 Licence Condition Values'!$F$99:$M$99</definedName>
    <definedName name="ETIRGORAV4">'[1]R4 Licence Condition Values'!$F$109:$M$109</definedName>
    <definedName name="ETIRGORAV5">'[1]R4 Licence Condition Values'!$F$119:$M$119</definedName>
    <definedName name="FactAA" localSheetId="0">'[1]R5 Input page'!#REF!</definedName>
    <definedName name="FactAA">'R5 Input page'!#REF!</definedName>
    <definedName name="FactBB" localSheetId="0">'[1]R5 Input page'!#REF!</definedName>
    <definedName name="FactBB">'R5 Input page'!#REF!</definedName>
    <definedName name="FactX" localSheetId="0">'[1]R5 Input page'!#REF!</definedName>
    <definedName name="FactX">'R5 Input page'!#REF!</definedName>
    <definedName name="FactY" localSheetId="0">'[1]R5 Input page'!#REF!</definedName>
    <definedName name="FactY">'R5 Input page'!#REF!</definedName>
    <definedName name="FactZ" localSheetId="0">'[1]R5 Input page'!#REF!</definedName>
    <definedName name="FactZ">'R5 Input page'!#REF!</definedName>
    <definedName name="FTIRG">'[3]R11 TIRG'!$E$41:$M$41</definedName>
    <definedName name="FTIRG2">'[1]R4 Licence Condition Values'!$F$87:$M$87</definedName>
    <definedName name="FTIRGC" localSheetId="0">'[1]R4 Licence Condition Values'!$F$76:$M$76</definedName>
    <definedName name="FTIRGC">'[3]R4 Licence Condition Values'!$E$75:$M$75</definedName>
    <definedName name="FTIRGC1">'R4 Licence Condition Values'!$E$72:$M$72</definedName>
    <definedName name="FTIRGC2">'R4 Licence Condition Values'!$F$83:$M$83</definedName>
    <definedName name="FTIRGC3">'[1]R4 Licence Condition Values'!$F$97:$M$97</definedName>
    <definedName name="FTIRGC4">'[1]R4 Licence Condition Values'!$F$107:$M$107</definedName>
    <definedName name="FTIRGC5">'[1]R4 Licence Condition Values'!$F$117:$M$117</definedName>
    <definedName name="FTIRGCDEPN2">'R4 Licence Condition Values'!$E$84:$M$84</definedName>
    <definedName name="FTIRGDepn" localSheetId="0">'[1]R4 Licence Condition Values'!$F$77:$M$77</definedName>
    <definedName name="ftirgdepn">'[3]R4 Licence Condition Values'!$E$76:$M$76</definedName>
    <definedName name="FTIRGDEPN1">'R4 Licence Condition Values'!$E$73:$M$73</definedName>
    <definedName name="FTIRGDepn2">'[1]R4 Licence Condition Values'!$F$88:$M$88</definedName>
    <definedName name="FTIRGDepn3">'[1]R4 Licence Condition Values'!$F$98:$M$98</definedName>
    <definedName name="FTIRGDepn4">'[1]R4 Licence Condition Values'!$F$108:$M$108</definedName>
    <definedName name="FTIRGDEPN5">'[1]R4 Licence Condition Values'!$F$118:$M$118</definedName>
    <definedName name="FYADD" localSheetId="0">'[1]R5 Input page'!$F$79:$M$79</definedName>
    <definedName name="FYADD">'[3]R5 Input page'!$F$99:$M$99</definedName>
    <definedName name="FYDSP" localSheetId="0">'[1]R5 Input page'!$F$81:$M$81</definedName>
    <definedName name="FYDSP">'[3]R5 Input page'!$F$101:$M$101</definedName>
    <definedName name="IONT">'[3]R5 Input page'!#REF!</definedName>
    <definedName name="IPTIRG">'[3]R11 TIRG'!$E$23:$M$23</definedName>
    <definedName name="It" localSheetId="0">'[1]R5 Input page'!$E$47:$O$47</definedName>
    <definedName name="It">'R5 Input page'!$E$52:$M$52</definedName>
    <definedName name="ITA">'[3]R4 Licence Condition Values'!$D$14:$M$14</definedName>
    <definedName name="ITC">'[3]R7 pass through'!$F$84:$O$84</definedName>
    <definedName name="ITP">'[3]R5 Input page'!$D$69:$M$69</definedName>
    <definedName name="K">'[3]R10 Correction'!$E$19:$O$19</definedName>
    <definedName name="KPI">'[1]R5 Input page'!#REF!</definedName>
    <definedName name="Kt" localSheetId="0">'[1]R10 Correction'!$D$18:$O$18</definedName>
    <definedName name="Kt">'R10 Correction'!$D$18:$M$18</definedName>
    <definedName name="LF">'[3]R7 pass through'!$F$63:$O$63</definedName>
    <definedName name="LFA">'[3]R5 Input page'!$D$67:$M$67</definedName>
    <definedName name="LFE">'[3]R4 Licence Condition Values'!$D$13:$M$13</definedName>
    <definedName name="LFt">'[3]R7 pass through'!$E$16:$M$16</definedName>
    <definedName name="MOD" localSheetId="0">'[1]R5 Input page'!$F$27:$O$27</definedName>
    <definedName name="MOD">'R5 Input page'!$F$27:$M$27</definedName>
    <definedName name="MTC">'[3]R5 Input page'!#REF!</definedName>
    <definedName name="NC">#REF!</definedName>
    <definedName name="NIA" localSheetId="0">'[1]R9 Innovation incentive'!$F$17:$M$17</definedName>
    <definedName name="NIA">'R9 Innovation incentive'!$F$15:$M$15</definedName>
    <definedName name="NIAIE" localSheetId="0">'[1]R5 Input page'!$F$98:$M$98</definedName>
    <definedName name="NIAIE">'R5 Input page'!$F$117:$M$117</definedName>
    <definedName name="NIAINT">'[2]R5 Input page'!$F$105:$M$105</definedName>
    <definedName name="NIAR" localSheetId="0">'[1]R5 Input page'!$F$96:$M$96</definedName>
    <definedName name="NIAR">'R5 Input page'!$F$115:$M$115</definedName>
    <definedName name="NIAV" localSheetId="0">'[1]R4 Licence Condition Values'!$F$42:$M$42</definedName>
    <definedName name="NIAV">'R4 Licence Condition Values'!$F$40:$M$40</definedName>
    <definedName name="NICF" localSheetId="0">'[1]R5 Input page'!$F$97:$M$97</definedName>
    <definedName name="NICF">'R5 Input page'!$F$116:$M$116</definedName>
    <definedName name="NICF2">'[3]R9 Innovation incentive'!$F$9:$M$9</definedName>
    <definedName name="NTPC" localSheetId="0">'[1]R5 Input page'!$D$83:$M$83</definedName>
    <definedName name="NTPC">'R5 Input page'!$D$87:$M$87</definedName>
    <definedName name="OFET" localSheetId="0">'[3]R5 Input page'!$D$74:$M$74</definedName>
    <definedName name="OFET">'R5 Input page'!$D$64:$M$64</definedName>
    <definedName name="OIP" localSheetId="0">'[1]R8 Output incentives'!$F$14:$O$14</definedName>
    <definedName name="OIP">'R8 Output incentives'!$F$13:$M$13</definedName>
    <definedName name="PEAK2">'[3]R5 Input page'!#REF!</definedName>
    <definedName name="PEAK3">'[3]R5 Input page'!$F$131:$M$131</definedName>
    <definedName name="PEAKA">'[3]R5 Input page'!$F$129:$M$129</definedName>
    <definedName name="PR">'[5]PR t'!$I$24:$P$24</definedName>
    <definedName name="_xlnm.Print_Area" localSheetId="10">'R10 Correction'!$A$1:$P$30</definedName>
    <definedName name="_xlnm.Print_Area" localSheetId="11">'R11 TIRG'!$A$1:$M$132</definedName>
    <definedName name="_xlnm.Print_Area" localSheetId="12">'R12 TO MAR'!$A$1:$P$24</definedName>
    <definedName name="_xlnm.Print_Area" localSheetId="4">'R4 Licence Condition Values'!$A$69:$N$90</definedName>
    <definedName name="_xlnm.Print_Area" localSheetId="5">'R5 Input page'!$A$1:$J$136</definedName>
    <definedName name="_xlnm.Print_Area" localSheetId="6">'R6 Base revenue'!$A$1:$N$97</definedName>
    <definedName name="_xlnm.Print_Area" localSheetId="7">'R7 pass through'!$A$1:$N$52</definedName>
    <definedName name="_xlnm.Print_Area" localSheetId="8">'R8 Output incentives'!$A$1:$N$126</definedName>
    <definedName name="_xlnm.Print_Area" localSheetId="9">'R9 Innovation incentive'!$A$1:$N$37</definedName>
    <definedName name="PRt">#REF!</definedName>
    <definedName name="PT">'R7 pass through'!$F$10:$M$10</definedName>
    <definedName name="PTIS" localSheetId="0">'[1]R8 Output incentives'!$F$130:$M$130</definedName>
    <definedName name="PTIS">'R8 Output incentives'!$F$113:$M$113</definedName>
    <definedName name="PTRA" localSheetId="0">'[1]R4 Licence Condition Values'!$F$70:$M$70</definedName>
    <definedName name="PTRA">'R4 Licence Condition Values'!$F$66:$M$66</definedName>
    <definedName name="PTt" comment="Pass through Items" localSheetId="0">'[1]R7 pass through'!$F$12:$O$12</definedName>
    <definedName name="PTt" comment="Pass through Items">'R7 pass through'!$F$10:$M$10</definedName>
    <definedName name="PU" localSheetId="0">'[1]R4 Licence Condition Values'!$F$9:$M$9</definedName>
    <definedName name="PU">'R4 Licence Condition Values'!$F$9:$M$9</definedName>
    <definedName name="PVF" localSheetId="0">'[1]R5 Input page'!$E$44:$O$44</definedName>
    <definedName name="PVF">'R5 Input page'!$E$49:$P$49</definedName>
    <definedName name="RB" localSheetId="0">'[3]R7 pass through'!$F$52:$O$52</definedName>
    <definedName name="RB">'R7 pass through'!$F$21:$M$21</definedName>
    <definedName name="RBA" localSheetId="0">'[1]R5 Input page'!$D$51:$M$51</definedName>
    <definedName name="RBA">'R5 Input page'!$D$56:$M$56</definedName>
    <definedName name="RBE" localSheetId="0">'[1]R4 Licence Condition Values'!$D$12:$M$12</definedName>
    <definedName name="RBE">'R4 Licence Condition Values'!$D$12:$M$12</definedName>
    <definedName name="RBt" localSheetId="0">'[1]R7 pass through'!$E$10:$M$10</definedName>
    <definedName name="RBt">'R7 pass through'!$E$8:$O$8</definedName>
    <definedName name="RegYr" localSheetId="0">[4]Input!$F$9</definedName>
    <definedName name="RegYr">'R5 Input page'!$F$7</definedName>
    <definedName name="REV" localSheetId="0">'[1]R6 Base revenue'!$E$80:$M$80</definedName>
    <definedName name="REV">'[3]R6 Base revenue'!$E$77:$M$77</definedName>
    <definedName name="RFIIR">'[3]R5 Input page'!#REF!</definedName>
    <definedName name="RI" localSheetId="0">'[1]R8 Output incentives'!$E$32:$O$32</definedName>
    <definedName name="RI">'R8 Output incentives'!$E$31:$O$31</definedName>
    <definedName name="RICOL">'[5]Input TO'!$I$65:$P$65</definedName>
    <definedName name="RIDPA" localSheetId="0">'[1]R4 Licence Condition Values'!$F$24:$M$24</definedName>
    <definedName name="RIDPA">'R4 Licence Condition Values'!$F$24:$M$24</definedName>
    <definedName name="RIDPA1213">'[5]Input TO'!$I$63:$P$63</definedName>
    <definedName name="RIDPA201213">'[5]Input TO'!$I$63:$P$63</definedName>
    <definedName name="RILEG">'R5 Input page'!$F$69</definedName>
    <definedName name="RILT">'[5]Input TO'!$I$59:$P$59</definedName>
    <definedName name="RIP">'[5]Input TO'!$F$135:$P$135</definedName>
    <definedName name="RIUPA">'[5]Input TO'!$I$62:$P$62</definedName>
    <definedName name="RIUT">'[5]Input TO'!$I$60:$P$60</definedName>
    <definedName name="RPIA" localSheetId="0">'[1]R5 Input page'!$D$10:$M$10</definedName>
    <definedName name="RPIA">'R5 Input page'!$D$10:$M$10</definedName>
    <definedName name="RPIF" localSheetId="0">'[1]R6 Base revenue'!$E$32:$O$32</definedName>
    <definedName name="RPIF">'R6 Base revenue'!$E$30:$O$30</definedName>
    <definedName name="SAFTIRG" localSheetId="0">'[3]R5 Input page'!$D$117:$M$117</definedName>
    <definedName name="SAFTIRG">'[3]R5 Input page'!$D$117:$M$117</definedName>
    <definedName name="SAFTIRG1" localSheetId="0">'[1]R5 Input page'!$D$105:$M$105</definedName>
    <definedName name="SAFTIRG1">'R5 Input page'!$D$124:$M$124</definedName>
    <definedName name="SAFTIRG2" localSheetId="0">'[1]R5 Input page'!$F$114:$M$114</definedName>
    <definedName name="SAFTIRG2">'R5 Input page'!$D$133:$M$133</definedName>
    <definedName name="SAFTIRG3">'[1]R5 Input page'!$F$123:$M$123</definedName>
    <definedName name="SAFTIRG4">'[1]R5 Input page'!$F$132:$M$132</definedName>
    <definedName name="SAFTIRG5">'[1]R5 Input page'!$F$141:$M$141</definedName>
    <definedName name="SEA" localSheetId="0">'[1]R5 Input page'!$F$69:$M$69</definedName>
    <definedName name="SEA">'R5 Input page'!$F$80:$M$80</definedName>
    <definedName name="SEAPRO" localSheetId="0">'[1]R4 Licence Condition Values'!$F$65:$M$65</definedName>
    <definedName name="SEAPRO">'R4 Licence Condition Values'!$F$58:$M$58</definedName>
    <definedName name="SER" localSheetId="0">'[1]R5 Input page'!$F$67:$M$67</definedName>
    <definedName name="SER">'R5 Input page'!$F$78:$M$78</definedName>
    <definedName name="SERLIMIT" localSheetId="0">'[1]R4 Licence Condition Values'!$F$54:$M$54</definedName>
    <definedName name="SERLIMIT">'R4 Licence Condition Values'!$F$48:$M$48</definedName>
    <definedName name="SFI" localSheetId="0">'[1]R8 Output incentives'!$E$121:$O$121</definedName>
    <definedName name="SFI">'R8 Output incentives'!$E$116:$O$116</definedName>
    <definedName name="SHCP" localSheetId="0">'[6]R8 Output incentives'!$F$149:$M$149</definedName>
    <definedName name="SHCP">'R8 Output incentives'!$F$160:$O$160</definedName>
    <definedName name="SKPI" localSheetId="0">'[1]R8 Output incentives'!$F$107:$M$107</definedName>
    <definedName name="SKPI">'R8 Output incentives'!$F$102:$M$102</definedName>
    <definedName name="SKPIC" localSheetId="0">'[1]R5 Input page'!$F$68:$M$68</definedName>
    <definedName name="SKPIC">'R5 Input page'!$F$79:$M$79</definedName>
    <definedName name="SKPICAP" localSheetId="0">'[1]R4 Licence Condition Values'!$F$59:$M$59</definedName>
    <definedName name="SKPICAP">'R4 Licence Condition Values'!$F$52:$M$52</definedName>
    <definedName name="SKPICOL" localSheetId="0">'[1]R4 Licence Condition Values'!$F$61:$M$61</definedName>
    <definedName name="SKPICOL">'R4 Licence Condition Values'!$F$54:$M$54</definedName>
    <definedName name="SKPIDPA" localSheetId="0">'[1]R4 Licence Condition Values'!$F$62:$M$62</definedName>
    <definedName name="SKPIDPA">'R4 Licence Condition Values'!$F$55:$M$55</definedName>
    <definedName name="SKPIPRO" localSheetId="0">'[1]R4 Licence Condition Values'!$F$63:$M$63</definedName>
    <definedName name="SKPIPRO">'R4 Licence Condition Values'!$F$56:$M$56</definedName>
    <definedName name="SKPIT" localSheetId="0">'[1]R4 Licence Condition Values'!$F$58:$M$58</definedName>
    <definedName name="SKPIT">'R4 Licence Condition Values'!$F$51:$M$51</definedName>
    <definedName name="SKPIUPA" localSheetId="0">'[1]R4 Licence Condition Values'!$F$60:$M$60</definedName>
    <definedName name="SKPIUPA">'R4 Licence Condition Values'!$F$53:$M$53</definedName>
    <definedName name="SOEMR">'[3]R4 Licence Condition Values'!$E$87:$M$87</definedName>
    <definedName name="SOEMRCO">'[3]R5 Input page'!$F$124:$M$124</definedName>
    <definedName name="SOEMRDRI">'[3]R5 Input page'!#REF!</definedName>
    <definedName name="SOEMRINC">'[3]R15 SO Internal'!$F$60:$M$60</definedName>
    <definedName name="SOMOD" localSheetId="0">'[3]R5 Input page'!$F$29:$M$29</definedName>
    <definedName name="SOMOD">'R5 Input page'!$F$30:$M$30</definedName>
    <definedName name="SOPU" localSheetId="0">'[3]R4 Licence Condition Values'!$F$10:$M$10</definedName>
    <definedName name="SOPU">'R4 Licence Condition Values'!$F$10:$M$10</definedName>
    <definedName name="SOREV">'[3]R15 SO Internal'!$F$39:$M$39</definedName>
    <definedName name="SOTRU">'[3]R15 SO Internal'!$F$27:$M$27</definedName>
    <definedName name="SS" localSheetId="0">'[1]R8 Output incentives'!#REF!</definedName>
    <definedName name="SS">'R8 Output incentives'!$F$90:$M$90</definedName>
    <definedName name="SSC" localSheetId="0">'[1]R5 Input page'!$F$66:$M$66</definedName>
    <definedName name="SSC">'R5 Input page'!$F$77:$M$77</definedName>
    <definedName name="SSCAP" localSheetId="0">'[1]R4 Licence Condition Values'!$F$50:$M$50</definedName>
    <definedName name="SSCAP">'R4 Licence Condition Values'!$F$44:$M$44</definedName>
    <definedName name="SSCOL" localSheetId="0">'[1]R4 Licence Condition Values'!$F$51:$M$51</definedName>
    <definedName name="SSCOL">'R4 Licence Condition Values'!$F$45:$M$45</definedName>
    <definedName name="SSDPA" localSheetId="0">'[1]R4 Licence Condition Values'!$F$53:$M$53</definedName>
    <definedName name="SSDPA">'R4 Licence Condition Values'!$F$47:$M$47</definedName>
    <definedName name="SSI" localSheetId="0">'[1]R8 Output incentives'!$F$83:$M$83</definedName>
    <definedName name="SSI">'R8 Output incentives'!$F$78:$M$78</definedName>
    <definedName name="SSO" localSheetId="0">'[1]R8 Output incentives'!$F$64:$O$64</definedName>
    <definedName name="SSO">'R8 Output incentives'!$F$60:$M$60</definedName>
    <definedName name="SSPRO" localSheetId="0">'[1]R4 Licence Condition Values'!$F$55:$M$55</definedName>
    <definedName name="SSPRO">'R4 Licence Condition Values'!$F$49:$M$49</definedName>
    <definedName name="SSS">'[3]R8 Output incentives'!$F$80:$M$80</definedName>
    <definedName name="SSSCAP" localSheetId="0">'[1]R4 Licence Condition Values'!#REF!</definedName>
    <definedName name="SSSCAP">'R4 Licence Condition Values'!#REF!</definedName>
    <definedName name="SSSCOL" localSheetId="0">'[1]R4 Licence Condition Values'!#REF!</definedName>
    <definedName name="SSSCOL">'R4 Licence Condition Values'!#REF!</definedName>
    <definedName name="SSSDPA" localSheetId="0">'[1]R4 Licence Condition Values'!#REF!</definedName>
    <definedName name="SSSDPA">'R4 Licence Condition Values'!#REF!</definedName>
    <definedName name="SSSP" localSheetId="0">'[7]R5 Input page'!$D$81:$M$81</definedName>
    <definedName name="SSSP">'R5 Input page'!$D$77:$M$77</definedName>
    <definedName name="SSSPRO">'[3]R4 Licence Condition Values'!$F$53:$M$53</definedName>
    <definedName name="SSST" localSheetId="0">'[1]R4 Licence Condition Values'!#REF!</definedName>
    <definedName name="SSST">'R4 Licence Condition Values'!#REF!</definedName>
    <definedName name="SSSUPA" localSheetId="0">'[1]R4 Licence Condition Values'!#REF!</definedName>
    <definedName name="SSSUPA">'R4 Licence Condition Values'!#REF!</definedName>
    <definedName name="SST" localSheetId="0">'[1]R4 Licence Condition Values'!$F$49:$M$49</definedName>
    <definedName name="SST">'R4 Licence Condition Values'!$F$43:$M$43</definedName>
    <definedName name="SSUPA" localSheetId="0">'[1]R4 Licence Condition Values'!$F$52:$M$52</definedName>
    <definedName name="SSUPA">'R4 Licence Condition Values'!$F$46:$M$46</definedName>
    <definedName name="SubTIRG" localSheetId="0">'[1]R11 TIRG'!$E$12:$M$12</definedName>
    <definedName name="SubTIRG">'R11 TIRG'!$E$12:$O$12</definedName>
    <definedName name="SWWE">'R5 Input page'!$F$88:$M$88</definedName>
    <definedName name="TERMt" localSheetId="0">'[3]R5 Input page'!$D$70:$M$70</definedName>
    <definedName name="TERMt">'R5 Input page'!$D$60:$M$60</definedName>
    <definedName name="TF">'R5 Input page'!$F$89:$M$89</definedName>
    <definedName name="TIRG" localSheetId="0">'[1]R11 TIRG'!$E$16:$M$16</definedName>
    <definedName name="TIRG">'R11 TIRG'!$E$16:$O$16</definedName>
    <definedName name="TIRGIncAdj" localSheetId="0">'[1]R5 Input page'!$F$106:$M$106</definedName>
    <definedName name="TIRGINCADJ">'[3]R5 Input page'!$E$118:$M$118</definedName>
    <definedName name="TIRGIncAdj1">'R5 Input page'!$F$125:$M$125</definedName>
    <definedName name="TIRGIncAdj2" localSheetId="0">'[1]R5 Input page'!$F$115:$M$115</definedName>
    <definedName name="TIRGIncAdj2">'R5 Input page'!$F$134:$M$134</definedName>
    <definedName name="TIRGIncAdj3">'[1]R5 Input page'!$F$124:$M$124</definedName>
    <definedName name="TIRGIncAdj4">'[1]R5 Input page'!$F$133:$M$133</definedName>
    <definedName name="TIRGIncAdj5">'[1]R5 Input page'!$F$142:$M$142</definedName>
    <definedName name="TIS" localSheetId="0">'[1]R4 Licence Condition Values'!$D$40:$M$40</definedName>
    <definedName name="TIS">'R4 Licence Condition Values'!$D$37:$M$37</definedName>
    <definedName name="TNR" localSheetId="0">'[1]R5 Input page'!$D$35:$M$35</definedName>
    <definedName name="TNR">'R5 Input page'!$E$43:$M$43</definedName>
    <definedName name="TO" localSheetId="0">'[1]R12 TO MAR'!$F$16:$M$16</definedName>
    <definedName name="TO">'R12 TO MAR'!$F$17:$M$17</definedName>
    <definedName name="TOFTO" localSheetId="0">'[3]R5 Input page'!$D$73:$M$73</definedName>
    <definedName name="TOFTO">'R5 Input page'!$D$63:$M$63</definedName>
    <definedName name="TOTO" localSheetId="0">'[1]R5 Input page'!$F$90:$M$90</definedName>
    <definedName name="TOTO">'R5 Input page'!$F$97:$M$97</definedName>
    <definedName name="TPA" localSheetId="0">'[1]R5 Input page'!$E$53:$M$53</definedName>
    <definedName name="TPA">'R5 Input page'!$F$58:$M$58</definedName>
    <definedName name="TPD" localSheetId="0">'[1]R7 pass through'!$E$11:$O$11</definedName>
    <definedName name="TPD">'R7 pass through'!$E$9:$O$9</definedName>
    <definedName name="TR" localSheetId="0">'[1]R5 Input page'!$D$72:$M$72</definedName>
    <definedName name="TR">'R5 Input page'!$D$82:$M$82</definedName>
    <definedName name="TRU">'[3]R6 Base revenue'!$E$40:$O$40</definedName>
    <definedName name="TS" localSheetId="0">'[1]R5 Input page'!#REF!</definedName>
    <definedName name="TS">'R5 Input page'!#REF!</definedName>
    <definedName name="TSH" localSheetId="0">'[3]R5 Input page'!$D$72:$M$72</definedName>
    <definedName name="TSH">'R5 Input page'!$D$62:$M$62</definedName>
    <definedName name="TSP" localSheetId="0">'[3]R5 Input page'!$D$71:$M$71</definedName>
    <definedName name="TSP">'R5 Input page'!$D$61:$M$61</definedName>
    <definedName name="UNTO" localSheetId="0">'[1]R5 Input page'!$F$89:$M$89</definedName>
    <definedName name="UNTO">'R5 Input page'!$F$96:$M$96</definedName>
    <definedName name="VOLL" localSheetId="0">'[1]R4 Licence Condition Values'!$F$22:$O$22</definedName>
    <definedName name="VOLL">'R4 Licence Condition Values'!$F$22:$M$22</definedName>
    <definedName name="WACC" localSheetId="0">'[1]R5 Input page'!$E$43:$O$43</definedName>
    <definedName name="WACC">'R5 Input page'!$E$48:$P$48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 i="17" l="1"/>
  <c r="P39" i="3" s="1"/>
  <c r="N49" i="17" l="1"/>
  <c r="M16" i="4"/>
  <c r="N131" i="18"/>
  <c r="N130" i="18"/>
  <c r="N122" i="18"/>
  <c r="N111" i="18"/>
  <c r="N110" i="18"/>
  <c r="N112" i="18" s="1"/>
  <c r="N108" i="18"/>
  <c r="N96" i="18"/>
  <c r="N95" i="18"/>
  <c r="N91" i="18"/>
  <c r="N90" i="18"/>
  <c r="N80" i="18"/>
  <c r="N73" i="18"/>
  <c r="N72" i="18"/>
  <c r="N64" i="18"/>
  <c r="N53" i="18"/>
  <c r="N52" i="18"/>
  <c r="N54" i="18" s="1"/>
  <c r="N50" i="18"/>
  <c r="N38" i="18"/>
  <c r="N37" i="18"/>
  <c r="N33" i="18"/>
  <c r="N32" i="18"/>
  <c r="N31" i="18"/>
  <c r="N49" i="18" s="1"/>
  <c r="N89" i="18" s="1"/>
  <c r="N22" i="18"/>
  <c r="N107" i="18"/>
  <c r="O131" i="5"/>
  <c r="O145" i="5" s="1"/>
  <c r="N131" i="5"/>
  <c r="N145" i="5" s="1"/>
  <c r="O123" i="5"/>
  <c r="N123" i="5"/>
  <c r="O59" i="5"/>
  <c r="N59" i="5"/>
  <c r="O102" i="5"/>
  <c r="O90" i="5"/>
  <c r="O77" i="5"/>
  <c r="O74" i="5"/>
  <c r="O71" i="5"/>
  <c r="O68" i="5"/>
  <c r="N208" i="5"/>
  <c r="N102" i="5"/>
  <c r="N90" i="5"/>
  <c r="N77" i="5"/>
  <c r="N74" i="5"/>
  <c r="N71" i="5"/>
  <c r="N68" i="5"/>
  <c r="O78" i="3"/>
  <c r="O29" i="3"/>
  <c r="N29" i="3"/>
  <c r="N28" i="3"/>
  <c r="M28" i="3"/>
  <c r="O49" i="17"/>
  <c r="O19" i="4" s="1"/>
  <c r="O38" i="4" s="1"/>
  <c r="N14" i="18" l="1"/>
  <c r="N13" i="18"/>
  <c r="O39" i="3"/>
  <c r="O158" i="5"/>
  <c r="O29" i="5"/>
  <c r="N19" i="4"/>
  <c r="N38" i="4" s="1"/>
  <c r="N39" i="3"/>
  <c r="N158" i="5"/>
  <c r="N29" i="5"/>
  <c r="N123" i="18"/>
  <c r="N65" i="18"/>
  <c r="O208" i="5"/>
  <c r="N180" i="5"/>
  <c r="N170" i="5"/>
  <c r="N189" i="5"/>
  <c r="O170" i="5"/>
  <c r="O180" i="5"/>
  <c r="O189" i="5"/>
  <c r="N78" i="5"/>
  <c r="O78" i="5"/>
  <c r="M187" i="5"/>
  <c r="L187" i="5"/>
  <c r="K187" i="5"/>
  <c r="J187" i="5"/>
  <c r="I187" i="5"/>
  <c r="H187" i="5"/>
  <c r="G187" i="5"/>
  <c r="G109" i="5" s="1"/>
  <c r="F187" i="5"/>
  <c r="F109" i="5" s="1"/>
  <c r="M84" i="5"/>
  <c r="F32" i="16"/>
  <c r="F42" i="5" s="1"/>
  <c r="F31" i="16"/>
  <c r="F41" i="5" s="1"/>
  <c r="M35" i="6"/>
  <c r="L35" i="6"/>
  <c r="K35" i="6"/>
  <c r="J35" i="6"/>
  <c r="J34" i="6"/>
  <c r="I35" i="6"/>
  <c r="H35" i="6"/>
  <c r="G35" i="6"/>
  <c r="F35" i="6"/>
  <c r="F34" i="6"/>
  <c r="H70" i="5"/>
  <c r="G70" i="5"/>
  <c r="F70" i="5"/>
  <c r="I8" i="3"/>
  <c r="F110" i="5"/>
  <c r="G61" i="16"/>
  <c r="H61" i="16" s="1"/>
  <c r="F87" i="17"/>
  <c r="F112" i="5" s="1"/>
  <c r="F122" i="5"/>
  <c r="F123" i="5"/>
  <c r="F49" i="17"/>
  <c r="F114" i="5" s="1"/>
  <c r="G49" i="17"/>
  <c r="G114" i="5" s="1"/>
  <c r="F10" i="17"/>
  <c r="F19" i="3" s="1"/>
  <c r="G22" i="3"/>
  <c r="H22" i="3"/>
  <c r="M101" i="5"/>
  <c r="L101" i="5"/>
  <c r="K101" i="5"/>
  <c r="J101" i="5"/>
  <c r="I101" i="5"/>
  <c r="H101" i="5"/>
  <c r="G101" i="5"/>
  <c r="F101" i="5"/>
  <c r="M100" i="5"/>
  <c r="L100" i="5"/>
  <c r="K100" i="5"/>
  <c r="J100" i="5"/>
  <c r="I100" i="5"/>
  <c r="H100" i="5"/>
  <c r="G100" i="5"/>
  <c r="F100" i="5"/>
  <c r="M99" i="5"/>
  <c r="L99" i="5"/>
  <c r="K99" i="5"/>
  <c r="J99" i="5"/>
  <c r="I99" i="5"/>
  <c r="H99" i="5"/>
  <c r="G99" i="5"/>
  <c r="F99" i="5"/>
  <c r="M98" i="5"/>
  <c r="L98" i="5"/>
  <c r="K98" i="5"/>
  <c r="J98" i="5"/>
  <c r="I98" i="5"/>
  <c r="H98" i="5"/>
  <c r="G98" i="5"/>
  <c r="F98" i="5"/>
  <c r="M97" i="5"/>
  <c r="L97" i="5"/>
  <c r="K97" i="5"/>
  <c r="J97" i="5"/>
  <c r="I97" i="5"/>
  <c r="H97" i="5"/>
  <c r="G97" i="5"/>
  <c r="F97" i="5"/>
  <c r="M96" i="5"/>
  <c r="L96" i="5"/>
  <c r="K96" i="5"/>
  <c r="J96" i="5"/>
  <c r="I96" i="5"/>
  <c r="H96" i="5"/>
  <c r="G96" i="5"/>
  <c r="F96" i="5"/>
  <c r="M89" i="5"/>
  <c r="L89" i="5"/>
  <c r="K89" i="5"/>
  <c r="J89" i="5"/>
  <c r="I89" i="5"/>
  <c r="H89" i="5"/>
  <c r="G89" i="5"/>
  <c r="F89" i="5"/>
  <c r="M88" i="5"/>
  <c r="L88" i="5"/>
  <c r="K88" i="5"/>
  <c r="J88" i="5"/>
  <c r="I88" i="5"/>
  <c r="H88" i="5"/>
  <c r="G88" i="5"/>
  <c r="F88" i="5"/>
  <c r="M87" i="5"/>
  <c r="L87" i="5"/>
  <c r="K87" i="5"/>
  <c r="J87" i="5"/>
  <c r="I87" i="5"/>
  <c r="H87" i="5"/>
  <c r="G87" i="5"/>
  <c r="F87" i="5"/>
  <c r="M86" i="5"/>
  <c r="L86" i="5"/>
  <c r="K86" i="5"/>
  <c r="J86" i="5"/>
  <c r="I86" i="5"/>
  <c r="H86" i="5"/>
  <c r="G86" i="5"/>
  <c r="F86" i="5"/>
  <c r="M85" i="5"/>
  <c r="L85" i="5"/>
  <c r="K85" i="5"/>
  <c r="J85" i="5"/>
  <c r="I85" i="5"/>
  <c r="H85" i="5"/>
  <c r="G85" i="5"/>
  <c r="F85" i="5"/>
  <c r="L84" i="5"/>
  <c r="K84" i="5"/>
  <c r="J84" i="5"/>
  <c r="I84" i="5"/>
  <c r="H84" i="5"/>
  <c r="G84" i="5"/>
  <c r="F84" i="5"/>
  <c r="M76" i="5"/>
  <c r="L76" i="5"/>
  <c r="K76" i="5"/>
  <c r="J76" i="5"/>
  <c r="I76" i="5"/>
  <c r="H76" i="5"/>
  <c r="G76" i="5"/>
  <c r="F76" i="5"/>
  <c r="M75" i="5"/>
  <c r="L75" i="5"/>
  <c r="K75" i="5"/>
  <c r="J75" i="5"/>
  <c r="I75" i="5"/>
  <c r="H75" i="5"/>
  <c r="G75" i="5"/>
  <c r="F75" i="5"/>
  <c r="M72" i="5"/>
  <c r="L72" i="5"/>
  <c r="K72" i="5"/>
  <c r="J72" i="5"/>
  <c r="I72" i="5"/>
  <c r="H72" i="5"/>
  <c r="G72" i="5"/>
  <c r="F72" i="5"/>
  <c r="M69" i="5"/>
  <c r="L69" i="5"/>
  <c r="K69" i="5"/>
  <c r="J69" i="5"/>
  <c r="I69" i="5"/>
  <c r="H69" i="5"/>
  <c r="H71" i="5" s="1"/>
  <c r="G69" i="5"/>
  <c r="F69" i="5"/>
  <c r="F73" i="5"/>
  <c r="H73" i="5"/>
  <c r="G73" i="5"/>
  <c r="K102" i="5"/>
  <c r="K73" i="5" s="1"/>
  <c r="F73" i="18"/>
  <c r="H9" i="3"/>
  <c r="H8" i="3"/>
  <c r="H9" i="6"/>
  <c r="H28" i="13"/>
  <c r="H37" i="15"/>
  <c r="F74" i="13"/>
  <c r="F73" i="14"/>
  <c r="F83" i="15"/>
  <c r="F73" i="11"/>
  <c r="F73" i="10"/>
  <c r="F78" i="13"/>
  <c r="F79" i="13"/>
  <c r="F77" i="14"/>
  <c r="F78" i="14"/>
  <c r="F87" i="15"/>
  <c r="F88" i="15" s="1"/>
  <c r="F77" i="11"/>
  <c r="F78" i="11" s="1"/>
  <c r="F77" i="10"/>
  <c r="F78" i="10" s="1"/>
  <c r="F60" i="13"/>
  <c r="F58" i="13"/>
  <c r="F59" i="14"/>
  <c r="F69" i="15"/>
  <c r="F59" i="11"/>
  <c r="F59" i="10"/>
  <c r="H60" i="10" s="1"/>
  <c r="F59" i="5"/>
  <c r="F57" i="14"/>
  <c r="F67" i="15"/>
  <c r="F57" i="11"/>
  <c r="M9" i="6"/>
  <c r="L9" i="6"/>
  <c r="K9" i="6"/>
  <c r="J9" i="6"/>
  <c r="I9" i="6"/>
  <c r="G9" i="6"/>
  <c r="F9" i="6"/>
  <c r="E54" i="3"/>
  <c r="G10" i="7"/>
  <c r="M27" i="3"/>
  <c r="L27" i="3"/>
  <c r="L26" i="3"/>
  <c r="K26" i="3"/>
  <c r="K25" i="3"/>
  <c r="J25" i="3"/>
  <c r="J24" i="3"/>
  <c r="I24" i="3"/>
  <c r="I23" i="3"/>
  <c r="H23" i="3"/>
  <c r="G21" i="3"/>
  <c r="F21" i="3"/>
  <c r="F20" i="3"/>
  <c r="E20" i="3"/>
  <c r="E57" i="3"/>
  <c r="E55" i="3"/>
  <c r="E53" i="3"/>
  <c r="E52" i="3"/>
  <c r="F37" i="5" s="1"/>
  <c r="G10" i="2"/>
  <c r="F10" i="2"/>
  <c r="G96" i="18"/>
  <c r="H96" i="18"/>
  <c r="I96" i="18"/>
  <c r="J96" i="18"/>
  <c r="K96" i="18"/>
  <c r="L96" i="18"/>
  <c r="M96" i="18"/>
  <c r="F96" i="18"/>
  <c r="G91" i="18"/>
  <c r="H91" i="18"/>
  <c r="I91" i="18"/>
  <c r="J91" i="18"/>
  <c r="K91" i="18"/>
  <c r="L91" i="18"/>
  <c r="M91" i="18"/>
  <c r="F91" i="18"/>
  <c r="G33" i="18"/>
  <c r="H33" i="18"/>
  <c r="I33" i="18"/>
  <c r="J33" i="18"/>
  <c r="K33" i="18"/>
  <c r="L33" i="18"/>
  <c r="M33" i="18"/>
  <c r="F33" i="18"/>
  <c r="G32" i="18"/>
  <c r="H32" i="18"/>
  <c r="I32" i="18"/>
  <c r="J32" i="18"/>
  <c r="K32" i="18"/>
  <c r="L32" i="18"/>
  <c r="M32" i="18"/>
  <c r="F32" i="18"/>
  <c r="E83" i="18"/>
  <c r="J207" i="5"/>
  <c r="K207" i="5"/>
  <c r="L207" i="5"/>
  <c r="M207" i="5"/>
  <c r="I207" i="5"/>
  <c r="J206" i="5"/>
  <c r="K206" i="5"/>
  <c r="K205" i="5"/>
  <c r="L206" i="5"/>
  <c r="M206" i="5"/>
  <c r="I206" i="5"/>
  <c r="J205" i="5"/>
  <c r="L205" i="5"/>
  <c r="M205" i="5"/>
  <c r="I205" i="5"/>
  <c r="H197" i="5"/>
  <c r="H196" i="5"/>
  <c r="G11" i="5"/>
  <c r="F11" i="5"/>
  <c r="G10" i="5"/>
  <c r="F10" i="5"/>
  <c r="G9" i="5"/>
  <c r="F9" i="5"/>
  <c r="G8" i="5"/>
  <c r="G8" i="4"/>
  <c r="F8" i="4"/>
  <c r="E22" i="18"/>
  <c r="E10" i="18"/>
  <c r="E11" i="18"/>
  <c r="F77" i="3"/>
  <c r="G75" i="3"/>
  <c r="G77" i="3"/>
  <c r="F8" i="3"/>
  <c r="F46" i="5"/>
  <c r="F44" i="5"/>
  <c r="F43" i="5"/>
  <c r="F45" i="5"/>
  <c r="G131" i="18"/>
  <c r="H131" i="18"/>
  <c r="I131" i="18"/>
  <c r="J131" i="18"/>
  <c r="K131" i="18"/>
  <c r="L131" i="18"/>
  <c r="M131" i="18"/>
  <c r="F131" i="18"/>
  <c r="F14" i="18" s="1"/>
  <c r="G73" i="18"/>
  <c r="H73" i="18"/>
  <c r="H14" i="18" s="1"/>
  <c r="I73" i="18"/>
  <c r="J73" i="18"/>
  <c r="J14" i="18" s="1"/>
  <c r="K73" i="18"/>
  <c r="K14" i="18" s="1"/>
  <c r="L73" i="18"/>
  <c r="L14" i="18" s="1"/>
  <c r="M73" i="18"/>
  <c r="G72" i="18"/>
  <c r="H72" i="18"/>
  <c r="I72" i="18"/>
  <c r="J72" i="18"/>
  <c r="K72" i="18"/>
  <c r="L72" i="18"/>
  <c r="M72" i="18"/>
  <c r="M130" i="18"/>
  <c r="F72" i="18"/>
  <c r="G130" i="18"/>
  <c r="H130" i="18"/>
  <c r="I130" i="18"/>
  <c r="J130" i="18"/>
  <c r="K130" i="18"/>
  <c r="L130" i="18"/>
  <c r="F130" i="18"/>
  <c r="G107" i="18"/>
  <c r="H107" i="18"/>
  <c r="I107" i="18"/>
  <c r="J107" i="18"/>
  <c r="K107" i="18"/>
  <c r="L107" i="18"/>
  <c r="M107" i="18"/>
  <c r="F107" i="18"/>
  <c r="G108" i="18"/>
  <c r="H108" i="18"/>
  <c r="I108" i="18"/>
  <c r="J108" i="18"/>
  <c r="K108" i="18"/>
  <c r="L108" i="18"/>
  <c r="M108" i="18"/>
  <c r="F108" i="18"/>
  <c r="G122" i="18"/>
  <c r="H122" i="18"/>
  <c r="I122" i="18"/>
  <c r="J122" i="18"/>
  <c r="K122" i="18"/>
  <c r="L122" i="18"/>
  <c r="M122" i="18"/>
  <c r="F122" i="18"/>
  <c r="G111" i="18"/>
  <c r="H111" i="18"/>
  <c r="I111" i="18"/>
  <c r="J111" i="18"/>
  <c r="K111" i="18"/>
  <c r="L111" i="18"/>
  <c r="M111" i="18"/>
  <c r="G95" i="18"/>
  <c r="H95" i="18"/>
  <c r="I95" i="18"/>
  <c r="J95" i="18"/>
  <c r="K95" i="18"/>
  <c r="L95" i="18"/>
  <c r="M95" i="18"/>
  <c r="F95" i="18"/>
  <c r="G80" i="18"/>
  <c r="H80" i="18"/>
  <c r="I80" i="18"/>
  <c r="J80" i="18"/>
  <c r="K80" i="18"/>
  <c r="L80" i="18"/>
  <c r="M80" i="18"/>
  <c r="F80" i="18"/>
  <c r="G53" i="18"/>
  <c r="H53" i="18"/>
  <c r="I53" i="18"/>
  <c r="J53" i="18"/>
  <c r="K53" i="18"/>
  <c r="L53" i="18"/>
  <c r="M53" i="18"/>
  <c r="G37" i="18"/>
  <c r="H37" i="18"/>
  <c r="I37" i="18"/>
  <c r="J37" i="18"/>
  <c r="K37" i="18"/>
  <c r="L37" i="18"/>
  <c r="M37" i="18"/>
  <c r="G22" i="18"/>
  <c r="H22" i="18"/>
  <c r="I22" i="18"/>
  <c r="J22" i="18"/>
  <c r="K22" i="18"/>
  <c r="L22" i="18"/>
  <c r="M22" i="18"/>
  <c r="F22" i="18"/>
  <c r="F25" i="5"/>
  <c r="G25" i="5"/>
  <c r="E12" i="7"/>
  <c r="G23" i="6"/>
  <c r="H23" i="6"/>
  <c r="I23" i="6"/>
  <c r="J23" i="6"/>
  <c r="K23" i="6"/>
  <c r="L23" i="6"/>
  <c r="M23" i="6"/>
  <c r="F23" i="6"/>
  <c r="G34" i="6"/>
  <c r="H34" i="6"/>
  <c r="I34" i="6"/>
  <c r="K34" i="6"/>
  <c r="L34" i="6"/>
  <c r="L37" i="6" s="1"/>
  <c r="M34" i="6"/>
  <c r="G87" i="17"/>
  <c r="G112" i="5" s="1"/>
  <c r="H87" i="17"/>
  <c r="H112" i="5" s="1"/>
  <c r="I87" i="17"/>
  <c r="I112" i="5" s="1"/>
  <c r="J87" i="17"/>
  <c r="J112" i="5" s="1"/>
  <c r="K87" i="17"/>
  <c r="K112" i="5" s="1"/>
  <c r="L87" i="17"/>
  <c r="L112" i="5" s="1"/>
  <c r="M87" i="17"/>
  <c r="M112" i="5" s="1"/>
  <c r="F22" i="6"/>
  <c r="F48" i="6" s="1"/>
  <c r="G66" i="16"/>
  <c r="G22" i="6" s="1"/>
  <c r="F111" i="5"/>
  <c r="G15" i="7"/>
  <c r="G110" i="18"/>
  <c r="G112" i="18" s="1"/>
  <c r="H110" i="18"/>
  <c r="H112" i="18" s="1"/>
  <c r="H123" i="18" s="1"/>
  <c r="I110" i="18"/>
  <c r="I112" i="18" s="1"/>
  <c r="I123" i="18" s="1"/>
  <c r="J110" i="18"/>
  <c r="J112" i="18" s="1"/>
  <c r="J123" i="18" s="1"/>
  <c r="K110" i="18"/>
  <c r="K112" i="18" s="1"/>
  <c r="K123" i="18" s="1"/>
  <c r="L110" i="18"/>
  <c r="L112" i="18" s="1"/>
  <c r="L123" i="18" s="1"/>
  <c r="M110" i="18"/>
  <c r="M112" i="18" s="1"/>
  <c r="M123" i="18" s="1"/>
  <c r="F110" i="18"/>
  <c r="F112" i="18" s="1"/>
  <c r="F123" i="18" s="1"/>
  <c r="F111" i="18"/>
  <c r="F90" i="18"/>
  <c r="G90" i="18"/>
  <c r="H90" i="18"/>
  <c r="I90" i="18"/>
  <c r="J90" i="18"/>
  <c r="K90" i="18"/>
  <c r="L90" i="18"/>
  <c r="M90" i="18"/>
  <c r="H23" i="5"/>
  <c r="H49" i="17"/>
  <c r="H39" i="3" s="1"/>
  <c r="I49" i="17"/>
  <c r="I39" i="3" s="1"/>
  <c r="J49" i="17"/>
  <c r="J29" i="5" s="1"/>
  <c r="K49" i="17"/>
  <c r="K39" i="3" s="1"/>
  <c r="L49" i="17"/>
  <c r="L39" i="3" s="1"/>
  <c r="M49" i="17"/>
  <c r="M114" i="5" s="1"/>
  <c r="E49" i="17"/>
  <c r="E39" i="3" s="1"/>
  <c r="G36" i="4"/>
  <c r="H36" i="4"/>
  <c r="I36" i="4"/>
  <c r="J36" i="4"/>
  <c r="K36" i="4"/>
  <c r="L36" i="4"/>
  <c r="M36" i="4"/>
  <c r="F36" i="4"/>
  <c r="G176" i="5"/>
  <c r="H176" i="5"/>
  <c r="I176" i="5"/>
  <c r="J176" i="5"/>
  <c r="K176" i="5"/>
  <c r="L176" i="5"/>
  <c r="L177" i="5"/>
  <c r="L178" i="5"/>
  <c r="L179" i="5"/>
  <c r="M176" i="5"/>
  <c r="G177" i="5"/>
  <c r="H177" i="5"/>
  <c r="I177" i="5"/>
  <c r="J177" i="5"/>
  <c r="K177" i="5"/>
  <c r="M177" i="5"/>
  <c r="M178" i="5"/>
  <c r="M179" i="5"/>
  <c r="G178" i="5"/>
  <c r="H178" i="5"/>
  <c r="I178" i="5"/>
  <c r="J178" i="5"/>
  <c r="K178" i="5"/>
  <c r="G179" i="5"/>
  <c r="H179" i="5"/>
  <c r="I179" i="5"/>
  <c r="J179" i="5"/>
  <c r="K179" i="5"/>
  <c r="F179" i="5"/>
  <c r="F178" i="5"/>
  <c r="F177" i="5"/>
  <c r="F176" i="5"/>
  <c r="G166" i="5"/>
  <c r="H166" i="5"/>
  <c r="I166" i="5"/>
  <c r="J166" i="5"/>
  <c r="K166" i="5"/>
  <c r="L166" i="5"/>
  <c r="M166" i="5"/>
  <c r="G167" i="5"/>
  <c r="H167" i="5"/>
  <c r="I167" i="5"/>
  <c r="J167" i="5"/>
  <c r="K167" i="5"/>
  <c r="L167" i="5"/>
  <c r="M167" i="5"/>
  <c r="G168" i="5"/>
  <c r="H168" i="5"/>
  <c r="I168" i="5"/>
  <c r="J168" i="5"/>
  <c r="K168" i="5"/>
  <c r="L168" i="5"/>
  <c r="M168" i="5"/>
  <c r="G169" i="5"/>
  <c r="H169" i="5"/>
  <c r="I169" i="5"/>
  <c r="J169" i="5"/>
  <c r="K169" i="5"/>
  <c r="L169" i="5"/>
  <c r="M169" i="5"/>
  <c r="F169" i="5"/>
  <c r="F168" i="5"/>
  <c r="F166" i="5"/>
  <c r="F167" i="5"/>
  <c r="G110" i="5"/>
  <c r="H110" i="5"/>
  <c r="I110" i="5"/>
  <c r="J110" i="5"/>
  <c r="K110" i="5"/>
  <c r="L110" i="5"/>
  <c r="M110" i="5"/>
  <c r="G145" i="5"/>
  <c r="H145" i="5"/>
  <c r="I145" i="5"/>
  <c r="J145" i="5"/>
  <c r="K145" i="5"/>
  <c r="L145" i="5"/>
  <c r="M145" i="5"/>
  <c r="G140" i="5"/>
  <c r="H140" i="5"/>
  <c r="I140" i="5"/>
  <c r="J140" i="5"/>
  <c r="K140" i="5"/>
  <c r="L140" i="5"/>
  <c r="M140" i="5"/>
  <c r="G141" i="5"/>
  <c r="H141" i="5"/>
  <c r="I141" i="5"/>
  <c r="I9" i="3"/>
  <c r="G9" i="3"/>
  <c r="E56" i="3"/>
  <c r="F39" i="3"/>
  <c r="G38" i="18"/>
  <c r="G52" i="18"/>
  <c r="G54" i="18" s="1"/>
  <c r="I38" i="18"/>
  <c r="I52" i="18"/>
  <c r="I54" i="18" s="1"/>
  <c r="J141" i="5"/>
  <c r="F23" i="5"/>
  <c r="F38" i="18"/>
  <c r="F52" i="18"/>
  <c r="F54" i="18" s="1"/>
  <c r="F16" i="4"/>
  <c r="F17" i="4"/>
  <c r="F19" i="4"/>
  <c r="F38" i="4"/>
  <c r="H38" i="18"/>
  <c r="H52" i="18"/>
  <c r="H54" i="18" s="1"/>
  <c r="J9" i="3"/>
  <c r="J38" i="18"/>
  <c r="J52" i="18"/>
  <c r="K141" i="5"/>
  <c r="G123" i="5"/>
  <c r="G23" i="5"/>
  <c r="G16" i="4"/>
  <c r="K9" i="3"/>
  <c r="K38" i="18"/>
  <c r="K52" i="18"/>
  <c r="K54" i="18" s="1"/>
  <c r="K65" i="18" s="1"/>
  <c r="L141" i="5"/>
  <c r="M141" i="5"/>
  <c r="F145" i="5"/>
  <c r="F141" i="5"/>
  <c r="F140" i="5"/>
  <c r="M89" i="18"/>
  <c r="L89" i="18"/>
  <c r="K89" i="18"/>
  <c r="J89" i="18"/>
  <c r="I89" i="18"/>
  <c r="H89" i="18"/>
  <c r="G89" i="18"/>
  <c r="F89" i="18"/>
  <c r="M10" i="7"/>
  <c r="C15" i="19" s="1"/>
  <c r="L10" i="7"/>
  <c r="K10" i="7"/>
  <c r="J10" i="7"/>
  <c r="I10" i="7"/>
  <c r="H10" i="7"/>
  <c r="F10" i="7"/>
  <c r="E13" i="7"/>
  <c r="E15" i="7"/>
  <c r="F53" i="18"/>
  <c r="L52" i="18"/>
  <c r="L54" i="18" s="1"/>
  <c r="M52" i="18"/>
  <c r="M54" i="18" s="1"/>
  <c r="M65" i="18" s="1"/>
  <c r="F64" i="18"/>
  <c r="G64" i="18"/>
  <c r="I64" i="18"/>
  <c r="J64" i="18"/>
  <c r="K64" i="18"/>
  <c r="L64" i="18"/>
  <c r="M64" i="18"/>
  <c r="D6" i="10"/>
  <c r="F50" i="18"/>
  <c r="G50" i="18"/>
  <c r="H50" i="18"/>
  <c r="I50" i="18"/>
  <c r="J50" i="18"/>
  <c r="K50" i="18"/>
  <c r="L50" i="18"/>
  <c r="M50" i="18"/>
  <c r="L38" i="18"/>
  <c r="M38" i="18"/>
  <c r="M49" i="18"/>
  <c r="L49" i="18"/>
  <c r="K49" i="18"/>
  <c r="J49" i="18"/>
  <c r="I49" i="18"/>
  <c r="H49" i="18"/>
  <c r="G49" i="18"/>
  <c r="F49" i="18"/>
  <c r="F31" i="18"/>
  <c r="G31" i="18"/>
  <c r="H31" i="18"/>
  <c r="I31" i="18"/>
  <c r="J31" i="18"/>
  <c r="K31" i="18"/>
  <c r="L31" i="18"/>
  <c r="M31" i="18"/>
  <c r="G14" i="6"/>
  <c r="H14" i="6"/>
  <c r="I14" i="6"/>
  <c r="J14" i="6"/>
  <c r="K14" i="6"/>
  <c r="L14" i="6"/>
  <c r="M14" i="6"/>
  <c r="F14" i="6"/>
  <c r="G24" i="6"/>
  <c r="H24" i="6"/>
  <c r="I24" i="6"/>
  <c r="J24" i="6"/>
  <c r="K24" i="6"/>
  <c r="L24" i="6"/>
  <c r="M24" i="6"/>
  <c r="F24" i="6"/>
  <c r="G25" i="6"/>
  <c r="H25" i="6"/>
  <c r="I25" i="6"/>
  <c r="J25" i="6"/>
  <c r="K25" i="6"/>
  <c r="L25" i="6"/>
  <c r="M25" i="6"/>
  <c r="F49" i="6" s="1"/>
  <c r="F25" i="6"/>
  <c r="F130" i="5"/>
  <c r="G130" i="5"/>
  <c r="H130" i="5"/>
  <c r="I130" i="5"/>
  <c r="J130" i="5"/>
  <c r="K130" i="5"/>
  <c r="M130" i="5"/>
  <c r="G131" i="5"/>
  <c r="H131" i="5"/>
  <c r="I131" i="5"/>
  <c r="J131" i="5"/>
  <c r="K131" i="5"/>
  <c r="L131" i="5"/>
  <c r="M131" i="5"/>
  <c r="F131" i="5"/>
  <c r="F21" i="5"/>
  <c r="G21" i="5"/>
  <c r="F22" i="5"/>
  <c r="G22" i="5"/>
  <c r="H123" i="5"/>
  <c r="I123" i="5"/>
  <c r="J123" i="5"/>
  <c r="K123" i="5"/>
  <c r="L123" i="5"/>
  <c r="M123" i="5"/>
  <c r="G122" i="5"/>
  <c r="H122" i="5"/>
  <c r="I122" i="5"/>
  <c r="J122" i="5"/>
  <c r="K122" i="5"/>
  <c r="L122" i="5"/>
  <c r="M122" i="5"/>
  <c r="N122" i="5" s="1"/>
  <c r="O122" i="5" s="1"/>
  <c r="G59" i="5"/>
  <c r="I59" i="5"/>
  <c r="J59" i="5"/>
  <c r="K59" i="5"/>
  <c r="L59" i="5"/>
  <c r="M59" i="5"/>
  <c r="H59" i="5"/>
  <c r="I23" i="5"/>
  <c r="J23" i="5"/>
  <c r="K23" i="5"/>
  <c r="L23" i="5"/>
  <c r="M23" i="5"/>
  <c r="I22" i="5"/>
  <c r="J22" i="5"/>
  <c r="K22" i="5"/>
  <c r="L22" i="5"/>
  <c r="M22" i="5"/>
  <c r="I25" i="5"/>
  <c r="J25" i="5"/>
  <c r="K25" i="5"/>
  <c r="L25" i="5"/>
  <c r="M25" i="5"/>
  <c r="N25" i="5" s="1"/>
  <c r="O25" i="5" s="1"/>
  <c r="H25" i="5"/>
  <c r="H22" i="5"/>
  <c r="I21" i="5"/>
  <c r="J21" i="5"/>
  <c r="K21" i="5"/>
  <c r="L21" i="5"/>
  <c r="M21" i="5"/>
  <c r="N21" i="5" s="1"/>
  <c r="O21" i="5" s="1"/>
  <c r="H21" i="5"/>
  <c r="E10" i="17"/>
  <c r="E19" i="3" s="1"/>
  <c r="H15" i="7"/>
  <c r="I15" i="7"/>
  <c r="J15" i="7"/>
  <c r="K15" i="7"/>
  <c r="L15" i="7"/>
  <c r="M15" i="7"/>
  <c r="F15" i="7"/>
  <c r="E23" i="18"/>
  <c r="B3" i="13"/>
  <c r="G10" i="17"/>
  <c r="A3" i="18"/>
  <c r="A2" i="18"/>
  <c r="H10" i="17"/>
  <c r="H19" i="3" s="1"/>
  <c r="I10" i="17"/>
  <c r="I28" i="5" s="1"/>
  <c r="A3" i="11"/>
  <c r="A3" i="6"/>
  <c r="A3" i="7"/>
  <c r="A3" i="2"/>
  <c r="A3" i="5"/>
  <c r="A3" i="4"/>
  <c r="A3" i="3"/>
  <c r="J10" i="17"/>
  <c r="K38" i="4"/>
  <c r="D10" i="17"/>
  <c r="D19" i="3" s="1"/>
  <c r="H16" i="4"/>
  <c r="I16" i="4"/>
  <c r="J16" i="4"/>
  <c r="K16" i="4"/>
  <c r="L16" i="4"/>
  <c r="G18" i="4"/>
  <c r="H18" i="4"/>
  <c r="I18" i="4"/>
  <c r="J18" i="4"/>
  <c r="K18" i="4"/>
  <c r="L18" i="4"/>
  <c r="M18" i="4"/>
  <c r="F18" i="4"/>
  <c r="L9" i="3"/>
  <c r="M9" i="3"/>
  <c r="G8" i="3"/>
  <c r="J8" i="3"/>
  <c r="K8" i="3"/>
  <c r="L8" i="3"/>
  <c r="M8" i="3"/>
  <c r="K10" i="17"/>
  <c r="K28" i="5" s="1"/>
  <c r="A2" i="11"/>
  <c r="A2" i="7"/>
  <c r="A2" i="6"/>
  <c r="A2" i="5"/>
  <c r="A2" i="4"/>
  <c r="A2" i="3"/>
  <c r="A2" i="2"/>
  <c r="A2" i="17"/>
  <c r="B4" i="13"/>
  <c r="A3" i="17"/>
  <c r="A3" i="16"/>
  <c r="A2" i="16"/>
  <c r="A3" i="15"/>
  <c r="A2" i="15"/>
  <c r="A3" i="14"/>
  <c r="A2" i="14"/>
  <c r="F9" i="4"/>
  <c r="F14" i="2"/>
  <c r="L10" i="17"/>
  <c r="L37" i="4" s="1"/>
  <c r="G14" i="2"/>
  <c r="G9" i="4"/>
  <c r="G73" i="3" s="1"/>
  <c r="G53" i="11"/>
  <c r="I19" i="10" s="1"/>
  <c r="G29" i="11"/>
  <c r="I17" i="10" s="1"/>
  <c r="A2" i="10"/>
  <c r="K35" i="10"/>
  <c r="G15" i="2"/>
  <c r="H64" i="18"/>
  <c r="F37" i="18"/>
  <c r="G111" i="5"/>
  <c r="G71" i="5" l="1"/>
  <c r="K20" i="10"/>
  <c r="M37" i="6"/>
  <c r="H37" i="6"/>
  <c r="G14" i="18"/>
  <c r="I61" i="16"/>
  <c r="H111" i="5"/>
  <c r="L102" i="5"/>
  <c r="L73" i="5" s="1"/>
  <c r="L74" i="5" s="1"/>
  <c r="N132" i="5"/>
  <c r="N11" i="5" s="1"/>
  <c r="D10" i="19" s="1"/>
  <c r="H66" i="16"/>
  <c r="H22" i="6" s="1"/>
  <c r="K74" i="5"/>
  <c r="G74" i="5"/>
  <c r="O124" i="5"/>
  <c r="I11" i="10"/>
  <c r="K12" i="10" s="1"/>
  <c r="J54" i="18"/>
  <c r="J65" i="18" s="1"/>
  <c r="I13" i="18"/>
  <c r="H60" i="14"/>
  <c r="H70" i="15"/>
  <c r="H74" i="5"/>
  <c r="L90" i="5"/>
  <c r="L70" i="5" s="1"/>
  <c r="L71" i="5" s="1"/>
  <c r="G37" i="6"/>
  <c r="J37" i="6"/>
  <c r="N124" i="5"/>
  <c r="M10" i="17"/>
  <c r="M37" i="4" s="1"/>
  <c r="O132" i="5"/>
  <c r="O11" i="5" s="1"/>
  <c r="E10" i="19" s="1"/>
  <c r="G13" i="5"/>
  <c r="G11" i="2" s="1"/>
  <c r="F71" i="5"/>
  <c r="M208" i="5"/>
  <c r="M188" i="5" s="1"/>
  <c r="M189" i="5" s="1"/>
  <c r="M109" i="5" s="1"/>
  <c r="M124" i="5"/>
  <c r="M113" i="5" s="1"/>
  <c r="M24" i="5" s="1"/>
  <c r="J124" i="5"/>
  <c r="J113" i="5" s="1"/>
  <c r="J24" i="5" s="1"/>
  <c r="F74" i="5"/>
  <c r="F124" i="5"/>
  <c r="F113" i="5" s="1"/>
  <c r="F24" i="5" s="1"/>
  <c r="I124" i="5"/>
  <c r="I113" i="5" s="1"/>
  <c r="I24" i="5" s="1"/>
  <c r="H198" i="5"/>
  <c r="H188" i="5" s="1"/>
  <c r="H189" i="5" s="1"/>
  <c r="H109" i="5" s="1"/>
  <c r="E25" i="18"/>
  <c r="E9" i="18" s="1"/>
  <c r="E12" i="18" s="1"/>
  <c r="G124" i="5"/>
  <c r="G113" i="5" s="1"/>
  <c r="G24" i="5" s="1"/>
  <c r="M77" i="5"/>
  <c r="M90" i="5"/>
  <c r="M70" i="5" s="1"/>
  <c r="M71" i="5" s="1"/>
  <c r="J77" i="5"/>
  <c r="J90" i="5"/>
  <c r="J70" i="5" s="1"/>
  <c r="J71" i="5" s="1"/>
  <c r="J102" i="5"/>
  <c r="J73" i="5" s="1"/>
  <c r="J74" i="5" s="1"/>
  <c r="I66" i="16"/>
  <c r="L124" i="5"/>
  <c r="L113" i="5" s="1"/>
  <c r="L24" i="5" s="1"/>
  <c r="H124" i="5"/>
  <c r="H113" i="5" s="1"/>
  <c r="H24" i="5" s="1"/>
  <c r="G77" i="5"/>
  <c r="K77" i="5"/>
  <c r="K90" i="5"/>
  <c r="K70" i="5" s="1"/>
  <c r="K71" i="5" s="1"/>
  <c r="F49" i="5"/>
  <c r="F51" i="5" s="1"/>
  <c r="F20" i="5" s="1"/>
  <c r="F31" i="5" s="1"/>
  <c r="I77" i="5"/>
  <c r="I90" i="5"/>
  <c r="I70" i="5" s="1"/>
  <c r="I71" i="5" s="1"/>
  <c r="I102" i="5"/>
  <c r="I73" i="5" s="1"/>
  <c r="I74" i="5" s="1"/>
  <c r="M102" i="5"/>
  <c r="M73" i="5" s="1"/>
  <c r="M74" i="5" s="1"/>
  <c r="F77" i="5"/>
  <c r="K124" i="5"/>
  <c r="K113" i="5" s="1"/>
  <c r="K24" i="5" s="1"/>
  <c r="G27" i="6"/>
  <c r="G13" i="6" s="1"/>
  <c r="G15" i="6" s="1"/>
  <c r="G12" i="2" s="1"/>
  <c r="H77" i="5"/>
  <c r="L77" i="5"/>
  <c r="H114" i="5"/>
  <c r="F27" i="6"/>
  <c r="F13" i="6" s="1"/>
  <c r="F15" i="6" s="1"/>
  <c r="F12" i="2" s="1"/>
  <c r="L17" i="4"/>
  <c r="I132" i="5"/>
  <c r="I11" i="5" s="1"/>
  <c r="H38" i="4"/>
  <c r="I37" i="4"/>
  <c r="G13" i="18"/>
  <c r="M28" i="5"/>
  <c r="J114" i="5"/>
  <c r="J208" i="5"/>
  <c r="J188" i="5" s="1"/>
  <c r="J189" i="5" s="1"/>
  <c r="J109" i="5" s="1"/>
  <c r="H60" i="11"/>
  <c r="J38" i="4"/>
  <c r="J158" i="5"/>
  <c r="J19" i="4"/>
  <c r="K19" i="4"/>
  <c r="E14" i="7"/>
  <c r="J39" i="3"/>
  <c r="F37" i="4"/>
  <c r="F29" i="5"/>
  <c r="F158" i="5"/>
  <c r="F17" i="7"/>
  <c r="L38" i="4"/>
  <c r="L28" i="5"/>
  <c r="L19" i="3"/>
  <c r="N30" i="3" s="1"/>
  <c r="N79" i="3" s="1"/>
  <c r="H132" i="5"/>
  <c r="H11" i="5" s="1"/>
  <c r="I158" i="5"/>
  <c r="L158" i="5"/>
  <c r="L114" i="5"/>
  <c r="L29" i="5"/>
  <c r="L19" i="4"/>
  <c r="K29" i="5"/>
  <c r="H19" i="4"/>
  <c r="G29" i="5"/>
  <c r="H158" i="5"/>
  <c r="M13" i="18"/>
  <c r="M158" i="5"/>
  <c r="L208" i="5"/>
  <c r="L188" i="5" s="1"/>
  <c r="L189" i="5" s="1"/>
  <c r="L109" i="5" s="1"/>
  <c r="H29" i="5"/>
  <c r="N10" i="17"/>
  <c r="N19" i="3" s="1"/>
  <c r="O10" i="17"/>
  <c r="O19" i="3" s="1"/>
  <c r="H27" i="6"/>
  <c r="H13" i="6" s="1"/>
  <c r="H15" i="6" s="1"/>
  <c r="H8" i="6" s="1"/>
  <c r="F13" i="18"/>
  <c r="I14" i="18"/>
  <c r="I170" i="5"/>
  <c r="I156" i="5" s="1"/>
  <c r="F180" i="5"/>
  <c r="F157" i="5" s="1"/>
  <c r="J180" i="5"/>
  <c r="J157" i="5" s="1"/>
  <c r="K180" i="5"/>
  <c r="K157" i="5" s="1"/>
  <c r="G180" i="5"/>
  <c r="G157" i="5" s="1"/>
  <c r="L180" i="5"/>
  <c r="L157" i="5" s="1"/>
  <c r="I180" i="5"/>
  <c r="I157" i="5" s="1"/>
  <c r="M14" i="18"/>
  <c r="K170" i="5"/>
  <c r="K156" i="5" s="1"/>
  <c r="J170" i="5"/>
  <c r="J156" i="5" s="1"/>
  <c r="M170" i="5"/>
  <c r="M156" i="5" s="1"/>
  <c r="L170" i="5"/>
  <c r="L156" i="5" s="1"/>
  <c r="H170" i="5"/>
  <c r="H156" i="5" s="1"/>
  <c r="K208" i="5"/>
  <c r="K188" i="5" s="1"/>
  <c r="K189" i="5" s="1"/>
  <c r="K109" i="5" s="1"/>
  <c r="M132" i="5"/>
  <c r="M11" i="5" s="1"/>
  <c r="G170" i="5"/>
  <c r="G156" i="5" s="1"/>
  <c r="L13" i="18"/>
  <c r="H13" i="18"/>
  <c r="I208" i="5"/>
  <c r="I188" i="5" s="1"/>
  <c r="I189" i="5" s="1"/>
  <c r="I109" i="5" s="1"/>
  <c r="H30" i="3"/>
  <c r="H92" i="18" s="1"/>
  <c r="H93" i="18" s="1"/>
  <c r="J132" i="5"/>
  <c r="J11" i="5" s="1"/>
  <c r="K132" i="5"/>
  <c r="K11" i="5" s="1"/>
  <c r="J13" i="18"/>
  <c r="K13" i="18"/>
  <c r="M180" i="5"/>
  <c r="M157" i="5" s="1"/>
  <c r="M29" i="5"/>
  <c r="M39" i="3"/>
  <c r="K114" i="5"/>
  <c r="M38" i="4"/>
  <c r="H61" i="13"/>
  <c r="I114" i="5"/>
  <c r="H37" i="4"/>
  <c r="F30" i="3"/>
  <c r="F11" i="3" s="1"/>
  <c r="F12" i="3" s="1"/>
  <c r="M19" i="4"/>
  <c r="G38" i="4"/>
  <c r="G19" i="4"/>
  <c r="G158" i="5"/>
  <c r="K158" i="5"/>
  <c r="F170" i="5"/>
  <c r="F156" i="5" s="1"/>
  <c r="H180" i="5"/>
  <c r="H157" i="5" s="1"/>
  <c r="K37" i="6"/>
  <c r="F37" i="6"/>
  <c r="I19" i="4"/>
  <c r="H28" i="5"/>
  <c r="K17" i="4"/>
  <c r="K37" i="4"/>
  <c r="I29" i="5"/>
  <c r="K19" i="3"/>
  <c r="M30" i="3" s="1"/>
  <c r="M81" i="18" s="1"/>
  <c r="M83" i="18" s="1"/>
  <c r="H17" i="4"/>
  <c r="I38" i="4"/>
  <c r="F28" i="5"/>
  <c r="G39" i="3"/>
  <c r="E58" i="3"/>
  <c r="I37" i="6"/>
  <c r="J30" i="3"/>
  <c r="L65" i="18"/>
  <c r="J37" i="4"/>
  <c r="J19" i="3"/>
  <c r="J17" i="4"/>
  <c r="J28" i="5"/>
  <c r="I17" i="4"/>
  <c r="I19" i="3"/>
  <c r="G19" i="3"/>
  <c r="G28" i="5"/>
  <c r="G37" i="4"/>
  <c r="G17" i="4"/>
  <c r="L132" i="5"/>
  <c r="L11" i="5" s="1"/>
  <c r="G30" i="3"/>
  <c r="G65" i="18"/>
  <c r="H65" i="18"/>
  <c r="F65" i="18"/>
  <c r="G123" i="18"/>
  <c r="I65" i="18"/>
  <c r="K37" i="10" l="1"/>
  <c r="M17" i="4"/>
  <c r="M19" i="3"/>
  <c r="O30" i="3" s="1"/>
  <c r="O79" i="3" s="1"/>
  <c r="O17" i="4"/>
  <c r="O37" i="4" s="1"/>
  <c r="N17" i="4"/>
  <c r="N37" i="4" s="1"/>
  <c r="N116" i="5"/>
  <c r="G8" i="6"/>
  <c r="N23" i="18"/>
  <c r="N30" i="5"/>
  <c r="N159" i="5"/>
  <c r="N160" i="5" s="1"/>
  <c r="I111" i="5"/>
  <c r="J61" i="16"/>
  <c r="O116" i="5"/>
  <c r="M124" i="18"/>
  <c r="M125" i="18" s="1"/>
  <c r="H20" i="4"/>
  <c r="H21" i="4" s="1"/>
  <c r="H8" i="4" s="1"/>
  <c r="H71" i="3" s="1"/>
  <c r="F8" i="6"/>
  <c r="J66" i="16"/>
  <c r="I22" i="6"/>
  <c r="I27" i="6" s="1"/>
  <c r="I13" i="6" s="1"/>
  <c r="I15" i="6" s="1"/>
  <c r="I8" i="6" s="1"/>
  <c r="H30" i="5"/>
  <c r="H97" i="18"/>
  <c r="H98" i="18" s="1"/>
  <c r="H100" i="18" s="1"/>
  <c r="F18" i="7"/>
  <c r="F15" i="2" s="1"/>
  <c r="M92" i="18"/>
  <c r="M93" i="18" s="1"/>
  <c r="M11" i="3"/>
  <c r="M20" i="4"/>
  <c r="M21" i="4" s="1"/>
  <c r="M8" i="4" s="1"/>
  <c r="M71" i="3" s="1"/>
  <c r="H34" i="18"/>
  <c r="H35" i="18" s="1"/>
  <c r="F97" i="18"/>
  <c r="F98" i="18" s="1"/>
  <c r="F124" i="18"/>
  <c r="F125" i="18" s="1"/>
  <c r="F92" i="18"/>
  <c r="F93" i="18" s="1"/>
  <c r="F39" i="18"/>
  <c r="F40" i="18" s="1"/>
  <c r="F66" i="18"/>
  <c r="F67" i="18" s="1"/>
  <c r="F114" i="18"/>
  <c r="F116" i="18" s="1"/>
  <c r="H12" i="2"/>
  <c r="F81" i="18"/>
  <c r="F83" i="18" s="1"/>
  <c r="F34" i="18"/>
  <c r="F35" i="18" s="1"/>
  <c r="F23" i="18"/>
  <c r="F25" i="18" s="1"/>
  <c r="H39" i="18"/>
  <c r="H40" i="18" s="1"/>
  <c r="H159" i="5"/>
  <c r="H11" i="3"/>
  <c r="H115" i="5"/>
  <c r="H116" i="5" s="1"/>
  <c r="H75" i="3" s="1"/>
  <c r="F56" i="18"/>
  <c r="F58" i="18" s="1"/>
  <c r="F79" i="3"/>
  <c r="H81" i="18"/>
  <c r="H83" i="18" s="1"/>
  <c r="H79" i="3"/>
  <c r="H56" i="18"/>
  <c r="H58" i="18" s="1"/>
  <c r="H124" i="18"/>
  <c r="H125" i="18" s="1"/>
  <c r="H39" i="4"/>
  <c r="H40" i="4" s="1"/>
  <c r="H9" i="4" s="1"/>
  <c r="H114" i="18"/>
  <c r="H116" i="18" s="1"/>
  <c r="H66" i="18"/>
  <c r="H67" i="18" s="1"/>
  <c r="M30" i="5"/>
  <c r="M115" i="5"/>
  <c r="M23" i="18"/>
  <c r="M25" i="18" s="1"/>
  <c r="M9" i="18" s="1"/>
  <c r="M79" i="3"/>
  <c r="H160" i="5"/>
  <c r="H77" i="3" s="1"/>
  <c r="H23" i="18"/>
  <c r="H25" i="18" s="1"/>
  <c r="M66" i="18"/>
  <c r="M67" i="18" s="1"/>
  <c r="M114" i="18"/>
  <c r="M116" i="18" s="1"/>
  <c r="M159" i="5"/>
  <c r="M160" i="5" s="1"/>
  <c r="M77" i="3" s="1"/>
  <c r="M34" i="18"/>
  <c r="M35" i="18" s="1"/>
  <c r="M39" i="4"/>
  <c r="M40" i="4" s="1"/>
  <c r="M9" i="4" s="1"/>
  <c r="M39" i="18"/>
  <c r="M40" i="18" s="1"/>
  <c r="M56" i="18"/>
  <c r="M58" i="18" s="1"/>
  <c r="M97" i="18"/>
  <c r="M98" i="18" s="1"/>
  <c r="E38" i="3"/>
  <c r="G40" i="3" s="1"/>
  <c r="G10" i="3" s="1"/>
  <c r="E80" i="3"/>
  <c r="F39" i="4"/>
  <c r="F30" i="5"/>
  <c r="F20" i="4"/>
  <c r="F159" i="5"/>
  <c r="F115" i="5"/>
  <c r="F76" i="3"/>
  <c r="F8" i="5"/>
  <c r="F13" i="5" s="1"/>
  <c r="F11" i="2" s="1"/>
  <c r="G81" i="18"/>
  <c r="G83" i="18" s="1"/>
  <c r="G66" i="18"/>
  <c r="G67" i="18" s="1"/>
  <c r="G92" i="18"/>
  <c r="G93" i="18" s="1"/>
  <c r="G56" i="18"/>
  <c r="G58" i="18" s="1"/>
  <c r="G124" i="18"/>
  <c r="G125" i="18" s="1"/>
  <c r="G23" i="18"/>
  <c r="G25" i="18" s="1"/>
  <c r="G39" i="18"/>
  <c r="G40" i="18" s="1"/>
  <c r="G11" i="3"/>
  <c r="G34" i="18"/>
  <c r="G35" i="18" s="1"/>
  <c r="G97" i="18"/>
  <c r="G98" i="18" s="1"/>
  <c r="G114" i="18"/>
  <c r="G116" i="18" s="1"/>
  <c r="G79" i="3"/>
  <c r="G115" i="5"/>
  <c r="G30" i="5"/>
  <c r="G20" i="4"/>
  <c r="G159" i="5"/>
  <c r="G39" i="4"/>
  <c r="I30" i="3"/>
  <c r="J92" i="18"/>
  <c r="J93" i="18" s="1"/>
  <c r="J56" i="18"/>
  <c r="J58" i="18" s="1"/>
  <c r="J11" i="3"/>
  <c r="J34" i="18"/>
  <c r="J35" i="18" s="1"/>
  <c r="J97" i="18"/>
  <c r="J98" i="18" s="1"/>
  <c r="J114" i="18"/>
  <c r="J116" i="18" s="1"/>
  <c r="J23" i="18"/>
  <c r="J25" i="18" s="1"/>
  <c r="J115" i="5"/>
  <c r="J81" i="18"/>
  <c r="J83" i="18" s="1"/>
  <c r="J39" i="18"/>
  <c r="J40" i="18" s="1"/>
  <c r="J66" i="18"/>
  <c r="J67" i="18" s="1"/>
  <c r="J124" i="18"/>
  <c r="J125" i="18" s="1"/>
  <c r="J159" i="5"/>
  <c r="J160" i="5" s="1"/>
  <c r="J30" i="5"/>
  <c r="J39" i="4"/>
  <c r="J40" i="4" s="1"/>
  <c r="J9" i="4" s="1"/>
  <c r="J73" i="3" s="1"/>
  <c r="J20" i="4"/>
  <c r="J21" i="4" s="1"/>
  <c r="J8" i="4" s="1"/>
  <c r="J79" i="3"/>
  <c r="F26" i="5"/>
  <c r="F70" i="3"/>
  <c r="F9" i="2"/>
  <c r="F66" i="5"/>
  <c r="F142" i="5"/>
  <c r="F36" i="5"/>
  <c r="K30" i="3"/>
  <c r="L30" i="3"/>
  <c r="O30" i="5" l="1"/>
  <c r="H14" i="2"/>
  <c r="O159" i="5"/>
  <c r="O160" i="5" s="1"/>
  <c r="O14" i="2" s="1"/>
  <c r="N10" i="5"/>
  <c r="D11" i="19" s="1"/>
  <c r="N75" i="3"/>
  <c r="N14" i="2"/>
  <c r="N77" i="3"/>
  <c r="O10" i="5"/>
  <c r="E11" i="19" s="1"/>
  <c r="O75" i="3"/>
  <c r="I12" i="2"/>
  <c r="H9" i="18"/>
  <c r="N34" i="18"/>
  <c r="N25" i="18"/>
  <c r="J111" i="5"/>
  <c r="J116" i="5" s="1"/>
  <c r="K61" i="16"/>
  <c r="M127" i="18"/>
  <c r="N20" i="4"/>
  <c r="N11" i="3"/>
  <c r="D5" i="19" s="1"/>
  <c r="O20" i="4"/>
  <c r="O21" i="4" s="1"/>
  <c r="O11" i="3"/>
  <c r="E5" i="19" s="1"/>
  <c r="H42" i="18"/>
  <c r="H10" i="18" s="1"/>
  <c r="J22" i="6"/>
  <c r="J27" i="6" s="1"/>
  <c r="J13" i="6" s="1"/>
  <c r="J15" i="6" s="1"/>
  <c r="K66" i="16"/>
  <c r="M100" i="18"/>
  <c r="F100" i="18"/>
  <c r="M69" i="18"/>
  <c r="G12" i="3"/>
  <c r="G26" i="5" s="1"/>
  <c r="M42" i="18"/>
  <c r="H127" i="18"/>
  <c r="F127" i="18"/>
  <c r="F42" i="18"/>
  <c r="F9" i="18"/>
  <c r="H73" i="3"/>
  <c r="H10" i="4"/>
  <c r="H10" i="2" s="1"/>
  <c r="H10" i="5"/>
  <c r="M14" i="2"/>
  <c r="F69" i="18"/>
  <c r="H69" i="18"/>
  <c r="J9" i="18"/>
  <c r="M73" i="3"/>
  <c r="M10" i="4"/>
  <c r="M10" i="2" s="1"/>
  <c r="J69" i="18"/>
  <c r="G42" i="18"/>
  <c r="J42" i="18"/>
  <c r="G9" i="18"/>
  <c r="J127" i="18"/>
  <c r="I92" i="18"/>
  <c r="I93" i="18" s="1"/>
  <c r="I56" i="18"/>
  <c r="I58" i="18" s="1"/>
  <c r="I23" i="18"/>
  <c r="I25" i="18" s="1"/>
  <c r="I39" i="18"/>
  <c r="I40" i="18" s="1"/>
  <c r="I124" i="18"/>
  <c r="I125" i="18" s="1"/>
  <c r="I11" i="3"/>
  <c r="I34" i="18"/>
  <c r="I35" i="18" s="1"/>
  <c r="I97" i="18"/>
  <c r="I98" i="18" s="1"/>
  <c r="I114" i="18"/>
  <c r="I116" i="18" s="1"/>
  <c r="I81" i="18"/>
  <c r="I83" i="18" s="1"/>
  <c r="I66" i="18"/>
  <c r="I67" i="18" s="1"/>
  <c r="I115" i="5"/>
  <c r="I116" i="5" s="1"/>
  <c r="I20" i="4"/>
  <c r="I21" i="4" s="1"/>
  <c r="I8" i="4" s="1"/>
  <c r="I79" i="3"/>
  <c r="I30" i="5"/>
  <c r="I39" i="4"/>
  <c r="I40" i="4" s="1"/>
  <c r="I9" i="4" s="1"/>
  <c r="I73" i="3" s="1"/>
  <c r="I159" i="5"/>
  <c r="I160" i="5" s="1"/>
  <c r="L79" i="3"/>
  <c r="L34" i="18"/>
  <c r="L35" i="18" s="1"/>
  <c r="L81" i="18"/>
  <c r="L83" i="18" s="1"/>
  <c r="L30" i="5"/>
  <c r="L66" i="18"/>
  <c r="L67" i="18" s="1"/>
  <c r="L114" i="18"/>
  <c r="L116" i="18" s="1"/>
  <c r="L97" i="18"/>
  <c r="L98" i="18" s="1"/>
  <c r="L20" i="4"/>
  <c r="L21" i="4" s="1"/>
  <c r="L8" i="4" s="1"/>
  <c r="L39" i="18"/>
  <c r="L40" i="18" s="1"/>
  <c r="L115" i="5"/>
  <c r="L159" i="5"/>
  <c r="L160" i="5" s="1"/>
  <c r="L92" i="18"/>
  <c r="L93" i="18" s="1"/>
  <c r="L56" i="18"/>
  <c r="L58" i="18" s="1"/>
  <c r="L11" i="3"/>
  <c r="L124" i="18"/>
  <c r="L125" i="18" s="1"/>
  <c r="L39" i="4"/>
  <c r="L40" i="4" s="1"/>
  <c r="L9" i="4" s="1"/>
  <c r="L73" i="3" s="1"/>
  <c r="L23" i="18"/>
  <c r="L25" i="18" s="1"/>
  <c r="J14" i="2"/>
  <c r="J77" i="3"/>
  <c r="J100" i="18"/>
  <c r="J71" i="3"/>
  <c r="J10" i="4"/>
  <c r="J10" i="2" s="1"/>
  <c r="G69" i="18"/>
  <c r="K23" i="18"/>
  <c r="K25" i="18" s="1"/>
  <c r="K39" i="18"/>
  <c r="K40" i="18" s="1"/>
  <c r="K124" i="18"/>
  <c r="K125" i="18" s="1"/>
  <c r="K81" i="18"/>
  <c r="K83" i="18" s="1"/>
  <c r="K66" i="18"/>
  <c r="K67" i="18" s="1"/>
  <c r="K20" i="4"/>
  <c r="K21" i="4" s="1"/>
  <c r="K8" i="4" s="1"/>
  <c r="K79" i="3"/>
  <c r="K159" i="5"/>
  <c r="K160" i="5" s="1"/>
  <c r="K115" i="5"/>
  <c r="K92" i="18"/>
  <c r="K93" i="18" s="1"/>
  <c r="K56" i="18"/>
  <c r="K58" i="18" s="1"/>
  <c r="K97" i="18"/>
  <c r="K98" i="18" s="1"/>
  <c r="K34" i="18"/>
  <c r="K35" i="18" s="1"/>
  <c r="K39" i="4"/>
  <c r="K40" i="4" s="1"/>
  <c r="K9" i="4" s="1"/>
  <c r="K73" i="3" s="1"/>
  <c r="K30" i="5"/>
  <c r="K11" i="3"/>
  <c r="K114" i="18"/>
  <c r="K116" i="18" s="1"/>
  <c r="G127" i="18"/>
  <c r="G100" i="18"/>
  <c r="I127" i="18" l="1"/>
  <c r="O77" i="3"/>
  <c r="G70" i="3"/>
  <c r="F11" i="18"/>
  <c r="J75" i="3"/>
  <c r="J10" i="5"/>
  <c r="L61" i="16"/>
  <c r="K111" i="5"/>
  <c r="K116" i="5" s="1"/>
  <c r="M10" i="18"/>
  <c r="L69" i="18"/>
  <c r="N39" i="18"/>
  <c r="N35" i="18"/>
  <c r="M11" i="18"/>
  <c r="O39" i="4"/>
  <c r="O40" i="4" s="1"/>
  <c r="O9" i="4" s="1"/>
  <c r="O73" i="3" s="1"/>
  <c r="O8" i="4"/>
  <c r="O71" i="3" s="1"/>
  <c r="N39" i="4"/>
  <c r="N40" i="4" s="1"/>
  <c r="N9" i="4" s="1"/>
  <c r="N73" i="3" s="1"/>
  <c r="N21" i="4"/>
  <c r="N8" i="4" s="1"/>
  <c r="N71" i="3" s="1"/>
  <c r="F10" i="18"/>
  <c r="L66" i="16"/>
  <c r="K22" i="6"/>
  <c r="K27" i="6" s="1"/>
  <c r="K13" i="6" s="1"/>
  <c r="K15" i="6" s="1"/>
  <c r="J8" i="6"/>
  <c r="J12" i="2"/>
  <c r="G142" i="5"/>
  <c r="G66" i="5"/>
  <c r="G9" i="2"/>
  <c r="H11" i="18"/>
  <c r="H12" i="18" s="1"/>
  <c r="H16" i="18" s="1"/>
  <c r="G10" i="18"/>
  <c r="J10" i="18"/>
  <c r="I100" i="18"/>
  <c r="J11" i="18"/>
  <c r="L9" i="18"/>
  <c r="K42" i="18"/>
  <c r="K69" i="18"/>
  <c r="K100" i="18"/>
  <c r="I42" i="18"/>
  <c r="I9" i="18"/>
  <c r="K9" i="18"/>
  <c r="L77" i="3"/>
  <c r="L14" i="2"/>
  <c r="I77" i="3"/>
  <c r="I14" i="2"/>
  <c r="I71" i="3"/>
  <c r="I10" i="4"/>
  <c r="I10" i="2" s="1"/>
  <c r="K77" i="3"/>
  <c r="K14" i="2"/>
  <c r="G11" i="18"/>
  <c r="L127" i="18"/>
  <c r="L42" i="18"/>
  <c r="I75" i="3"/>
  <c r="I10" i="5"/>
  <c r="K127" i="18"/>
  <c r="K71" i="3"/>
  <c r="K10" i="4"/>
  <c r="K10" i="2" s="1"/>
  <c r="L100" i="18"/>
  <c r="L10" i="4"/>
  <c r="L10" i="2" s="1"/>
  <c r="L71" i="3"/>
  <c r="I69" i="18"/>
  <c r="I11" i="18" s="1"/>
  <c r="F12" i="18" l="1"/>
  <c r="F78" i="3" s="1"/>
  <c r="F80" i="3" s="1"/>
  <c r="F38" i="3" s="1"/>
  <c r="H40" i="3" s="1"/>
  <c r="H10" i="3" s="1"/>
  <c r="H12" i="3" s="1"/>
  <c r="M12" i="18"/>
  <c r="M78" i="3" s="1"/>
  <c r="L11" i="18"/>
  <c r="K10" i="5"/>
  <c r="K75" i="3"/>
  <c r="N56" i="18"/>
  <c r="N40" i="18"/>
  <c r="N42" i="18" s="1"/>
  <c r="M61" i="16"/>
  <c r="M111" i="5" s="1"/>
  <c r="M116" i="5" s="1"/>
  <c r="L111" i="5"/>
  <c r="L116" i="5" s="1"/>
  <c r="O10" i="4"/>
  <c r="N10" i="4"/>
  <c r="K8" i="6"/>
  <c r="K12" i="2"/>
  <c r="M66" i="16"/>
  <c r="M22" i="6" s="1"/>
  <c r="M27" i="6" s="1"/>
  <c r="M13" i="6" s="1"/>
  <c r="M15" i="6" s="1"/>
  <c r="L22" i="6"/>
  <c r="L27" i="6" s="1"/>
  <c r="L13" i="6" s="1"/>
  <c r="L15" i="6" s="1"/>
  <c r="F16" i="18"/>
  <c r="F67" i="5" s="1"/>
  <c r="F78" i="5" s="1"/>
  <c r="F58" i="5" s="1"/>
  <c r="G12" i="18"/>
  <c r="G16" i="18" s="1"/>
  <c r="I10" i="18"/>
  <c r="I12" i="18" s="1"/>
  <c r="I16" i="18" s="1"/>
  <c r="H9" i="2"/>
  <c r="H70" i="3"/>
  <c r="H66" i="5"/>
  <c r="H26" i="5"/>
  <c r="H142" i="5"/>
  <c r="F27" i="5"/>
  <c r="H31" i="5" s="1"/>
  <c r="H76" i="3" s="1"/>
  <c r="K10" i="18"/>
  <c r="H78" i="3"/>
  <c r="J12" i="18"/>
  <c r="J78" i="3" s="1"/>
  <c r="K11" i="18"/>
  <c r="H67" i="5"/>
  <c r="H27" i="5"/>
  <c r="H143" i="5"/>
  <c r="J146" i="5" s="1"/>
  <c r="J12" i="5" s="1"/>
  <c r="H13" i="2"/>
  <c r="L10" i="18"/>
  <c r="L12" i="18" l="1"/>
  <c r="N10" i="2"/>
  <c r="D4" i="19"/>
  <c r="O10" i="2"/>
  <c r="E4" i="19"/>
  <c r="M16" i="18"/>
  <c r="M27" i="5" s="1"/>
  <c r="M10" i="5"/>
  <c r="M75" i="3"/>
  <c r="L75" i="3"/>
  <c r="L10" i="5"/>
  <c r="N66" i="18"/>
  <c r="N58" i="18"/>
  <c r="F68" i="5"/>
  <c r="F57" i="5" s="1"/>
  <c r="H60" i="5" s="1"/>
  <c r="H9" i="15" s="1"/>
  <c r="G78" i="3"/>
  <c r="G80" i="3" s="1"/>
  <c r="G38" i="3" s="1"/>
  <c r="I40" i="3" s="1"/>
  <c r="I10" i="3" s="1"/>
  <c r="I12" i="3" s="1"/>
  <c r="I9" i="2" s="1"/>
  <c r="F13" i="2"/>
  <c r="F17" i="2" s="1"/>
  <c r="F11" i="7" s="1"/>
  <c r="H16" i="7" s="1"/>
  <c r="F143" i="5"/>
  <c r="H146" i="5" s="1"/>
  <c r="H12" i="5" s="1"/>
  <c r="M12" i="2"/>
  <c r="M8" i="6"/>
  <c r="F46" i="6"/>
  <c r="L8" i="6"/>
  <c r="L12" i="2"/>
  <c r="H68" i="5"/>
  <c r="H57" i="5" s="1"/>
  <c r="H80" i="3"/>
  <c r="H38" i="3" s="1"/>
  <c r="J40" i="3" s="1"/>
  <c r="J10" i="3" s="1"/>
  <c r="J12" i="3" s="1"/>
  <c r="J9" i="2" s="1"/>
  <c r="H78" i="5"/>
  <c r="H58" i="5" s="1"/>
  <c r="J16" i="18"/>
  <c r="J143" i="5" s="1"/>
  <c r="H8" i="5"/>
  <c r="K12" i="18"/>
  <c r="K16" i="18" s="1"/>
  <c r="J31" i="5"/>
  <c r="J8" i="5" s="1"/>
  <c r="I78" i="3"/>
  <c r="G27" i="5"/>
  <c r="I31" i="5" s="1"/>
  <c r="G143" i="5"/>
  <c r="I146" i="5" s="1"/>
  <c r="I12" i="5" s="1"/>
  <c r="G13" i="2"/>
  <c r="G17" i="2" s="1"/>
  <c r="G11" i="7" s="1"/>
  <c r="G67" i="5"/>
  <c r="I143" i="5"/>
  <c r="I13" i="2"/>
  <c r="I27" i="5"/>
  <c r="I67" i="5"/>
  <c r="L16" i="18"/>
  <c r="L78" i="3"/>
  <c r="M13" i="2" l="1"/>
  <c r="M67" i="5"/>
  <c r="M143" i="5"/>
  <c r="I26" i="5"/>
  <c r="I70" i="3"/>
  <c r="I142" i="5"/>
  <c r="K146" i="5" s="1"/>
  <c r="K12" i="5" s="1"/>
  <c r="N81" i="18"/>
  <c r="N67" i="18"/>
  <c r="N69" i="18" s="1"/>
  <c r="F14" i="7"/>
  <c r="H18" i="7" s="1"/>
  <c r="H15" i="2" s="1"/>
  <c r="I66" i="5"/>
  <c r="I68" i="5" s="1"/>
  <c r="I57" i="5" s="1"/>
  <c r="J67" i="5"/>
  <c r="J13" i="2"/>
  <c r="J70" i="3"/>
  <c r="J142" i="5"/>
  <c r="L146" i="5" s="1"/>
  <c r="L12" i="5" s="1"/>
  <c r="J26" i="5"/>
  <c r="J66" i="5"/>
  <c r="K78" i="3"/>
  <c r="J60" i="5"/>
  <c r="J9" i="5" s="1"/>
  <c r="J13" i="5" s="1"/>
  <c r="J11" i="2" s="1"/>
  <c r="K27" i="5"/>
  <c r="K67" i="5"/>
  <c r="K143" i="5"/>
  <c r="K13" i="2"/>
  <c r="J27" i="5"/>
  <c r="H10" i="13"/>
  <c r="H9" i="5"/>
  <c r="H13" i="5" s="1"/>
  <c r="H11" i="2" s="1"/>
  <c r="J76" i="3"/>
  <c r="L31" i="5"/>
  <c r="L76" i="3" s="1"/>
  <c r="K31" i="5"/>
  <c r="K76" i="3" s="1"/>
  <c r="I76" i="3"/>
  <c r="I80" i="3" s="1"/>
  <c r="I38" i="3" s="1"/>
  <c r="K40" i="3" s="1"/>
  <c r="K10" i="3" s="1"/>
  <c r="K12" i="3" s="1"/>
  <c r="I8" i="5"/>
  <c r="G68" i="5"/>
  <c r="G57" i="5" s="1"/>
  <c r="G78" i="5"/>
  <c r="G58" i="5" s="1"/>
  <c r="L13" i="2"/>
  <c r="L143" i="5"/>
  <c r="L27" i="5"/>
  <c r="L67" i="5"/>
  <c r="G14" i="7"/>
  <c r="I16" i="7"/>
  <c r="J80" i="3" l="1"/>
  <c r="J38" i="3" s="1"/>
  <c r="L40" i="3" s="1"/>
  <c r="L10" i="3" s="1"/>
  <c r="L12" i="3" s="1"/>
  <c r="L9" i="2" s="1"/>
  <c r="J78" i="5"/>
  <c r="J58" i="5" s="1"/>
  <c r="N92" i="18"/>
  <c r="N83" i="18"/>
  <c r="N9" i="18" s="1"/>
  <c r="H17" i="2"/>
  <c r="H11" i="7" s="1"/>
  <c r="H14" i="7" s="1"/>
  <c r="I78" i="5"/>
  <c r="I58" i="5" s="1"/>
  <c r="K60" i="5" s="1"/>
  <c r="K9" i="5" s="1"/>
  <c r="J68" i="5"/>
  <c r="J57" i="5" s="1"/>
  <c r="L60" i="5" s="1"/>
  <c r="L9" i="5" s="1"/>
  <c r="K8" i="5"/>
  <c r="L26" i="5"/>
  <c r="L142" i="5"/>
  <c r="N146" i="5" s="1"/>
  <c r="N12" i="5" s="1"/>
  <c r="L66" i="5"/>
  <c r="L78" i="5" s="1"/>
  <c r="L58" i="5" s="1"/>
  <c r="L70" i="3"/>
  <c r="L80" i="3" s="1"/>
  <c r="L38" i="3" s="1"/>
  <c r="N40" i="3" s="1"/>
  <c r="N10" i="3" s="1"/>
  <c r="D7" i="19" s="1"/>
  <c r="L8" i="5"/>
  <c r="I60" i="5"/>
  <c r="I9" i="5" s="1"/>
  <c r="I13" i="5" s="1"/>
  <c r="I11" i="2" s="1"/>
  <c r="K142" i="5"/>
  <c r="M146" i="5" s="1"/>
  <c r="M12" i="5" s="1"/>
  <c r="K70" i="3"/>
  <c r="K80" i="3" s="1"/>
  <c r="K38" i="3" s="1"/>
  <c r="M40" i="3" s="1"/>
  <c r="M10" i="3" s="1"/>
  <c r="M12" i="3" s="1"/>
  <c r="K66" i="5"/>
  <c r="K9" i="2"/>
  <c r="K26" i="5"/>
  <c r="M31" i="5" s="1"/>
  <c r="I18" i="7"/>
  <c r="I15" i="2" s="1"/>
  <c r="N12" i="3" l="1"/>
  <c r="N70" i="3" s="1"/>
  <c r="N97" i="18"/>
  <c r="N93" i="18"/>
  <c r="J16" i="7"/>
  <c r="J18" i="7" s="1"/>
  <c r="J15" i="2" s="1"/>
  <c r="J17" i="2" s="1"/>
  <c r="J11" i="7" s="1"/>
  <c r="N31" i="5"/>
  <c r="K13" i="5"/>
  <c r="K11" i="2" s="1"/>
  <c r="I17" i="2"/>
  <c r="I11" i="7" s="1"/>
  <c r="I14" i="7" s="1"/>
  <c r="L68" i="5"/>
  <c r="L57" i="5" s="1"/>
  <c r="N60" i="5" s="1"/>
  <c r="N9" i="5" s="1"/>
  <c r="D9" i="19" s="1"/>
  <c r="L13" i="5"/>
  <c r="L11" i="2" s="1"/>
  <c r="M142" i="5"/>
  <c r="O146" i="5" s="1"/>
  <c r="O12" i="5" s="1"/>
  <c r="M26" i="5"/>
  <c r="O31" i="5" s="1"/>
  <c r="M9" i="2"/>
  <c r="M66" i="5"/>
  <c r="M70" i="3"/>
  <c r="M76" i="3"/>
  <c r="M8" i="5"/>
  <c r="K68" i="5"/>
  <c r="K57" i="5" s="1"/>
  <c r="K78" i="5"/>
  <c r="K58" i="5" s="1"/>
  <c r="O8" i="5" l="1"/>
  <c r="E12" i="19" s="1"/>
  <c r="O76" i="3"/>
  <c r="N8" i="5"/>
  <c r="D12" i="19" s="1"/>
  <c r="N76" i="3"/>
  <c r="N9" i="2"/>
  <c r="N114" i="18"/>
  <c r="N98" i="18"/>
  <c r="N100" i="18" s="1"/>
  <c r="N10" i="18" s="1"/>
  <c r="K16" i="7"/>
  <c r="K18" i="7" s="1"/>
  <c r="K15" i="2" s="1"/>
  <c r="K17" i="2" s="1"/>
  <c r="K11" i="7" s="1"/>
  <c r="M80" i="3"/>
  <c r="M38" i="3" s="1"/>
  <c r="O40" i="3" s="1"/>
  <c r="O10" i="3" s="1"/>
  <c r="E7" i="19" s="1"/>
  <c r="M68" i="5"/>
  <c r="M57" i="5" s="1"/>
  <c r="M78" i="5"/>
  <c r="M58" i="5" s="1"/>
  <c r="M60" i="5"/>
  <c r="M9" i="5" s="1"/>
  <c r="M13" i="5" s="1"/>
  <c r="M11" i="2" s="1"/>
  <c r="J14" i="7"/>
  <c r="L16" i="7"/>
  <c r="N13" i="5" l="1"/>
  <c r="N11" i="2" s="1"/>
  <c r="O12" i="3"/>
  <c r="O60" i="5"/>
  <c r="O9" i="5" s="1"/>
  <c r="N124" i="18"/>
  <c r="N125" i="18" s="1"/>
  <c r="N116" i="18"/>
  <c r="L18" i="7"/>
  <c r="L15" i="2" s="1"/>
  <c r="L17" i="2" s="1"/>
  <c r="L11" i="7" s="1"/>
  <c r="M16" i="7"/>
  <c r="K14" i="7"/>
  <c r="O13" i="5" l="1"/>
  <c r="O11" i="2" s="1"/>
  <c r="E9" i="19"/>
  <c r="O9" i="2"/>
  <c r="O70" i="3"/>
  <c r="O80" i="3" s="1"/>
  <c r="O38" i="3" s="1"/>
  <c r="Q40" i="3" s="1"/>
  <c r="F47" i="6"/>
  <c r="F50" i="6" s="1"/>
  <c r="F51" i="6" s="1"/>
  <c r="N127" i="18"/>
  <c r="N11" i="18" s="1"/>
  <c r="N12" i="18" s="1"/>
  <c r="L14" i="7"/>
  <c r="N16" i="7"/>
  <c r="M18" i="7"/>
  <c r="M15" i="2" s="1"/>
  <c r="M17" i="2" s="1"/>
  <c r="M11" i="7" s="1"/>
  <c r="C14" i="19" s="1"/>
  <c r="N16" i="18" l="1"/>
  <c r="N13" i="2" s="1"/>
  <c r="N78" i="3"/>
  <c r="N80" i="3" s="1"/>
  <c r="N38" i="3" s="1"/>
  <c r="P40" i="3" s="1"/>
  <c r="N18" i="7"/>
  <c r="M14" i="7"/>
  <c r="O16" i="7"/>
  <c r="O18" i="7" l="1"/>
  <c r="N15" i="2"/>
  <c r="N17" i="2" s="1"/>
  <c r="D6" i="19"/>
  <c r="O15" i="2" l="1"/>
  <c r="O17" i="2" s="1"/>
  <c r="E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Valerio Uccello</author>
    <author>Amrita Bhatt</author>
    <author>bhatta</author>
  </authors>
  <commentList>
    <comment ref="A82" authorId="0" shapeId="0" xr:uid="{00000000-0006-0000-0800-000001000000}">
      <text>
        <r>
          <rPr>
            <b/>
            <sz val="9"/>
            <color indexed="81"/>
            <rFont val="Tahoma"/>
            <family val="2"/>
          </rPr>
          <t>Valerio Uccello:</t>
        </r>
        <r>
          <rPr>
            <sz val="9"/>
            <color indexed="81"/>
            <rFont val="Tahoma"/>
            <family val="2"/>
          </rPr>
          <t xml:space="preserve">
Modified by 4 August 2016 decision document (see https://www.ofgem.gov.uk/system/files/docs/2016/08/scotcos_draft_stat_con_4_aug.pdf
and also https://www.ofgem.gov.uk/system/files/docs/2016/08/ss_output_decision_final_to_publish_4_aug_2016.pdf).</t>
        </r>
      </text>
    </comment>
    <comment ref="F90" authorId="1" shapeId="0" xr:uid="{00000000-0006-0000-0800-000002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A94" authorId="0" shapeId="0" xr:uid="{00000000-0006-0000-0800-000003000000}">
      <text>
        <r>
          <rPr>
            <b/>
            <sz val="9"/>
            <color indexed="81"/>
            <rFont val="Tahoma"/>
            <family val="2"/>
          </rPr>
          <t>Valerio Uccello:</t>
        </r>
        <r>
          <rPr>
            <sz val="9"/>
            <color indexed="81"/>
            <rFont val="Tahoma"/>
            <family val="2"/>
          </rPr>
          <t xml:space="preserve">
Modified by 4 August 2016 decision document (see https://www.ofgem.gov.uk/system/files/docs/2016/08/scotcos_draft_stat_con_4_aug.pdf
and also https://www.ofgem.gov.uk/system/files/docs/2016/08/ss_output_decision_final_to_publish_4_aug_2016.pdf).</t>
        </r>
      </text>
    </comment>
    <comment ref="F102" authorId="1" shapeId="0" xr:uid="{00000000-0006-0000-0800-000004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16" authorId="2" shapeId="0" xr:uid="{00000000-0006-0000-0800-000005000000}">
      <text>
        <r>
          <rPr>
            <b/>
            <sz val="8"/>
            <color indexed="81"/>
            <rFont val="Tahoma"/>
            <family val="2"/>
          </rPr>
          <t>bhatta:</t>
        </r>
        <r>
          <rPr>
            <sz val="8"/>
            <color indexed="81"/>
            <rFont val="Tahoma"/>
            <family val="2"/>
          </rPr>
          <t xml:space="preserve">
SC 3E.3:  For Relevant Years beginning on 1 April 2013 and 1 April 2014 the value of SFIt is 
equal to zero. </t>
        </r>
      </text>
    </comment>
    <comment ref="G116" authorId="2" shapeId="0" xr:uid="{00000000-0006-0000-0800-000006000000}">
      <text>
        <r>
          <rPr>
            <b/>
            <sz val="8"/>
            <color indexed="81"/>
            <rFont val="Tahoma"/>
            <family val="2"/>
          </rPr>
          <t>bhatta:</t>
        </r>
        <r>
          <rPr>
            <sz val="8"/>
            <color indexed="81"/>
            <rFont val="Tahoma"/>
            <family val="2"/>
          </rPr>
          <t xml:space="preserve">
SC 3E.3:  For Relevant Years beginning on 1 April 2013 and 1 April 2014 the value of SFIt is 
equal to zero. </t>
        </r>
      </text>
    </comment>
  </commentList>
</comments>
</file>

<file path=xl/sharedStrings.xml><?xml version="1.0" encoding="utf-8"?>
<sst xmlns="http://schemas.openxmlformats.org/spreadsheetml/2006/main" count="1602" uniqueCount="643">
  <si>
    <t>Units</t>
  </si>
  <si>
    <t>£m</t>
  </si>
  <si>
    <t>Totex data</t>
  </si>
  <si>
    <t>Capex data</t>
  </si>
  <si>
    <t>Network data</t>
  </si>
  <si>
    <t>Outputs data</t>
  </si>
  <si>
    <t>Opex data</t>
  </si>
  <si>
    <t>Finance data</t>
  </si>
  <si>
    <t>Year</t>
  </si>
  <si>
    <t>Pass Through Items</t>
  </si>
  <si>
    <t>Correction Factor</t>
  </si>
  <si>
    <t>Allowed Transmission Owner Revenue</t>
  </si>
  <si>
    <t>TO</t>
  </si>
  <si>
    <t>Transmission Base Revenue</t>
  </si>
  <si>
    <t>BR t</t>
  </si>
  <si>
    <t>Output Incentive Payments</t>
  </si>
  <si>
    <t>Transmission Investment</t>
  </si>
  <si>
    <t>RPIF t</t>
  </si>
  <si>
    <t>PCFM Variable Values</t>
  </si>
  <si>
    <t>Base Revenue Allowance</t>
  </si>
  <si>
    <t>Pass Through Items Revenue</t>
  </si>
  <si>
    <t>RBt</t>
  </si>
  <si>
    <t>TPDt</t>
  </si>
  <si>
    <t>Business Rates Adjustment</t>
  </si>
  <si>
    <t>Temp Physical Disconnection Term</t>
  </si>
  <si>
    <t>OIPt Output Incentive Calculation and Components</t>
  </si>
  <si>
    <t>PTt Pass Through Calculation and Components</t>
  </si>
  <si>
    <t>Network Reliability Incentive</t>
  </si>
  <si>
    <t>Stakeholder Satisfaction Output</t>
  </si>
  <si>
    <t>SF6 Emissions</t>
  </si>
  <si>
    <t>Environmental Discretionary Reward</t>
  </si>
  <si>
    <t>IIt Innovation Incentive Calculation and Components</t>
  </si>
  <si>
    <t>It</t>
  </si>
  <si>
    <t>Kt Calculation and Components</t>
  </si>
  <si>
    <t>Transmission Network Revenue</t>
  </si>
  <si>
    <t>Interest Rate Adjustment in Yr T</t>
  </si>
  <si>
    <t>Network Innovation Allowance</t>
  </si>
  <si>
    <t>Under/Over Recovery</t>
  </si>
  <si>
    <t>RPIA t</t>
  </si>
  <si>
    <r>
      <t>RI</t>
    </r>
    <r>
      <rPr>
        <vertAlign val="subscript"/>
        <sz val="11"/>
        <color theme="1"/>
        <rFont val="Verdana"/>
        <family val="2"/>
      </rPr>
      <t>t</t>
    </r>
    <r>
      <rPr>
        <sz val="11"/>
        <color theme="1"/>
        <rFont val="Verdana"/>
        <family val="2"/>
      </rPr>
      <t xml:space="preserve"> = RILEG</t>
    </r>
    <r>
      <rPr>
        <vertAlign val="subscript"/>
        <sz val="11"/>
        <color theme="1"/>
        <rFont val="Verdana"/>
        <family val="2"/>
      </rPr>
      <t>t</t>
    </r>
  </si>
  <si>
    <t>TRUt Calculation</t>
  </si>
  <si>
    <t>Special Condition Rev Adjust</t>
  </si>
  <si>
    <t>Present Value</t>
  </si>
  <si>
    <t>Stakeholder Engagement Reward</t>
  </si>
  <si>
    <t>Stakeholder Survey Satisfaction</t>
  </si>
  <si>
    <t>SFIt Calculation</t>
  </si>
  <si>
    <t>CF</t>
  </si>
  <si>
    <t>Calculated Target Emissions</t>
  </si>
  <si>
    <t>Actual Licensee Emissions</t>
  </si>
  <si>
    <t>Conversion Factor</t>
  </si>
  <si>
    <t>Non Traded Price of Carbon</t>
  </si>
  <si>
    <t>BASE</t>
  </si>
  <si>
    <t>Network Innovation Allowance Calculation</t>
  </si>
  <si>
    <t xml:space="preserve">Allowable NIA </t>
  </si>
  <si>
    <t>Allowable Network Innovation Allowance Calculation</t>
  </si>
  <si>
    <t>PTRA</t>
  </si>
  <si>
    <t>BPC</t>
  </si>
  <si>
    <t>NIAV</t>
  </si>
  <si>
    <t>Pass Through Factor</t>
  </si>
  <si>
    <t>Eligible NIA Expenditure</t>
  </si>
  <si>
    <t>Licensee's NIA Percentage</t>
  </si>
  <si>
    <t>Base Revenue</t>
  </si>
  <si>
    <t>RPI Forecast</t>
  </si>
  <si>
    <t>Value of Lost Load</t>
  </si>
  <si>
    <t>Max Downside Adjustment</t>
  </si>
  <si>
    <t>Loss of Supply Volume Target</t>
  </si>
  <si>
    <t>Total Incentivised Energy not supplied</t>
  </si>
  <si>
    <t>Reliability Incentive Legacy</t>
  </si>
  <si>
    <t>Business Rates Allowance</t>
  </si>
  <si>
    <t>Business Rates Actual</t>
  </si>
  <si>
    <t>Business Rates Adjustment Calculation</t>
  </si>
  <si>
    <t>True Up</t>
  </si>
  <si>
    <t>Average Interest in Yr T</t>
  </si>
  <si>
    <t>Income Adjusting Event</t>
  </si>
  <si>
    <t>Commentary</t>
  </si>
  <si>
    <t>(please list)</t>
  </si>
  <si>
    <t>Other Adjustments</t>
  </si>
  <si>
    <t>De-Minimis Turnover</t>
  </si>
  <si>
    <t>(Less Connections Contributions)</t>
  </si>
  <si>
    <t>Other Turnover Items</t>
  </si>
  <si>
    <t>Transmission Operator</t>
  </si>
  <si>
    <t>Actual Turnover</t>
  </si>
  <si>
    <t>Excluded Services</t>
  </si>
  <si>
    <t>Please provide a list of excluded services for all items greater than or equal to £500k</t>
  </si>
  <si>
    <t>Activity Description</t>
  </si>
  <si>
    <t>Total</t>
  </si>
  <si>
    <t>De Minimis Activities</t>
  </si>
  <si>
    <t>Please provide a list of De Minimis Activities for all items greater than or equal to £500k</t>
  </si>
  <si>
    <r>
      <t>BR</t>
    </r>
    <r>
      <rPr>
        <vertAlign val="subscript"/>
        <sz val="12"/>
        <color theme="1"/>
        <rFont val="Times New Roman"/>
        <family val="1"/>
      </rPr>
      <t>t</t>
    </r>
    <r>
      <rPr>
        <sz val="12"/>
        <color theme="1"/>
        <rFont val="Times New Roman"/>
        <family val="1"/>
      </rPr>
      <t xml:space="preserve">  = (PU</t>
    </r>
    <r>
      <rPr>
        <vertAlign val="subscript"/>
        <sz val="12"/>
        <color theme="1"/>
        <rFont val="Times New Roman"/>
        <family val="1"/>
      </rPr>
      <t>t</t>
    </r>
    <r>
      <rPr>
        <sz val="12"/>
        <color theme="1"/>
        <rFont val="Times New Roman"/>
        <family val="1"/>
      </rPr>
      <t xml:space="preserve"> + MOD</t>
    </r>
    <r>
      <rPr>
        <vertAlign val="subscript"/>
        <sz val="12"/>
        <color theme="1"/>
        <rFont val="Times New Roman"/>
        <family val="1"/>
      </rPr>
      <t>t</t>
    </r>
    <r>
      <rPr>
        <sz val="12"/>
        <color theme="1"/>
        <rFont val="Times New Roman"/>
        <family val="1"/>
      </rPr>
      <t xml:space="preserve"> + TRU</t>
    </r>
    <r>
      <rPr>
        <vertAlign val="subscript"/>
        <sz val="12"/>
        <color theme="1"/>
        <rFont val="Times New Roman"/>
        <family val="1"/>
      </rPr>
      <t>t</t>
    </r>
    <r>
      <rPr>
        <sz val="12"/>
        <color theme="1"/>
        <rFont val="Times New Roman"/>
        <family val="1"/>
      </rPr>
      <t>)  x RPIF</t>
    </r>
    <r>
      <rPr>
        <vertAlign val="subscript"/>
        <sz val="12"/>
        <color theme="1"/>
        <rFont val="Times New Roman"/>
        <family val="1"/>
      </rPr>
      <t>t</t>
    </r>
  </si>
  <si>
    <r>
      <t>RPIF</t>
    </r>
    <r>
      <rPr>
        <vertAlign val="subscript"/>
        <sz val="12"/>
        <color theme="1"/>
        <rFont val="Times New Roman"/>
        <family val="1"/>
      </rPr>
      <t>t</t>
    </r>
    <r>
      <rPr>
        <sz val="12"/>
        <color theme="1"/>
        <rFont val="Times New Roman"/>
        <family val="1"/>
      </rPr>
      <t xml:space="preserve"> = RPIA</t>
    </r>
    <r>
      <rPr>
        <vertAlign val="subscript"/>
        <sz val="12"/>
        <color theme="1"/>
        <rFont val="Times New Roman"/>
        <family val="1"/>
      </rPr>
      <t>t-2</t>
    </r>
    <r>
      <rPr>
        <sz val="12"/>
        <color theme="1"/>
        <rFont val="Times New Roman"/>
        <family val="1"/>
      </rPr>
      <t xml:space="preserve"> x (1+GRPIF</t>
    </r>
    <r>
      <rPr>
        <vertAlign val="subscript"/>
        <sz val="12"/>
        <color theme="1"/>
        <rFont val="Times New Roman"/>
        <family val="1"/>
      </rPr>
      <t>t-1</t>
    </r>
    <r>
      <rPr>
        <sz val="12"/>
        <color theme="1"/>
        <rFont val="Times New Roman"/>
        <family val="1"/>
      </rPr>
      <t>) x (1+GRPIF</t>
    </r>
    <r>
      <rPr>
        <vertAlign val="subscript"/>
        <sz val="12"/>
        <color theme="1"/>
        <rFont val="Times New Roman"/>
        <family val="1"/>
      </rPr>
      <t>t</t>
    </r>
    <r>
      <rPr>
        <sz val="12"/>
        <color theme="1"/>
        <rFont val="Times New Roman"/>
        <family val="1"/>
      </rPr>
      <t>)</t>
    </r>
  </si>
  <si>
    <t>R1 Cover</t>
  </si>
  <si>
    <t>Description</t>
  </si>
  <si>
    <r>
      <t xml:space="preserve">Screenshots of the worksheets in this workbook are given in the </t>
    </r>
    <r>
      <rPr>
        <i/>
        <sz val="10"/>
        <rFont val="Verdana"/>
        <family val="2"/>
      </rPr>
      <t>Instructions for completing revenue reporting</t>
    </r>
    <r>
      <rPr>
        <sz val="10"/>
        <rFont val="Verdana"/>
        <family val="2"/>
      </rPr>
      <t xml:space="preserve"> section of the Cost and Revenue Reporting RIGs
Note:  In the event of any inconsistency, the licence conditions and then the RIGs take precedence.  Any inconsistencies with the licence conditions should be reported to Ofgem straight away.</t>
    </r>
  </si>
  <si>
    <t>cells  containing formula</t>
  </si>
  <si>
    <t>input cells</t>
  </si>
  <si>
    <t>cells linked to other worksheet</t>
  </si>
  <si>
    <t>R2 Schematic</t>
  </si>
  <si>
    <t>R3 Version Log</t>
  </si>
  <si>
    <t>Date</t>
  </si>
  <si>
    <t>Version</t>
  </si>
  <si>
    <t>Amendment</t>
  </si>
  <si>
    <t>R4 Licence Condition Values</t>
  </si>
  <si>
    <t>Reg Yr ending 31 March:</t>
  </si>
  <si>
    <t xml:space="preserve">General </t>
  </si>
  <si>
    <t>Range Name</t>
  </si>
  <si>
    <t>%</t>
  </si>
  <si>
    <t>Base Demand Revenue</t>
  </si>
  <si>
    <t>PU</t>
  </si>
  <si>
    <t>Pass through items</t>
  </si>
  <si>
    <t>R5 Input Page</t>
  </si>
  <si>
    <t>Basic Information</t>
  </si>
  <si>
    <t>COMPNAME</t>
  </si>
  <si>
    <t>Regulatory Year</t>
  </si>
  <si>
    <t>R6 Base Revenue</t>
  </si>
  <si>
    <t>R7 Pass through items</t>
  </si>
  <si>
    <t>R8 Output incentives</t>
  </si>
  <si>
    <t>R12 Maximum allowed revenue summary</t>
  </si>
  <si>
    <t>RPIF</t>
  </si>
  <si>
    <t>Factor</t>
  </si>
  <si>
    <t>Modification to Revenue from Annual Iteration Process - TO</t>
  </si>
  <si>
    <t>Present value factors</t>
  </si>
  <si>
    <t>RBE</t>
  </si>
  <si>
    <t>RBA</t>
  </si>
  <si>
    <t>RPIA</t>
  </si>
  <si>
    <t>RPI Actual</t>
  </si>
  <si>
    <t>Actual RPI</t>
  </si>
  <si>
    <t>RPI indices</t>
  </si>
  <si>
    <t>PVF</t>
  </si>
  <si>
    <t xml:space="preserve">Present value factor </t>
  </si>
  <si>
    <t>Temporary physical disconnection</t>
  </si>
  <si>
    <t>TPD</t>
  </si>
  <si>
    <t>TPA</t>
  </si>
  <si>
    <t>Physical disconnection costs</t>
  </si>
  <si>
    <t xml:space="preserve">Incentive Payments </t>
  </si>
  <si>
    <t>R9 Innovation incentive</t>
  </si>
  <si>
    <t>R10 Correction term</t>
  </si>
  <si>
    <t>RegYr</t>
  </si>
  <si>
    <t>TIRG</t>
  </si>
  <si>
    <t>FTIRGC</t>
  </si>
  <si>
    <t>FTIRGCDepn</t>
  </si>
  <si>
    <t>ETIRGORAV</t>
  </si>
  <si>
    <t>Dep</t>
  </si>
  <si>
    <t>CCTIRG</t>
  </si>
  <si>
    <t>PreCon</t>
  </si>
  <si>
    <t>ETIRGC</t>
  </si>
  <si>
    <t>IPTIRG</t>
  </si>
  <si>
    <t>TIRGIncAdj</t>
  </si>
  <si>
    <t>FTIRG</t>
  </si>
  <si>
    <t>ETIRG</t>
  </si>
  <si>
    <t>ATIRG</t>
  </si>
  <si>
    <t>CFTIRG</t>
  </si>
  <si>
    <t>AFFTIRG</t>
  </si>
  <si>
    <t>FTIRGDepn</t>
  </si>
  <si>
    <t>AFFTIRGDepn</t>
  </si>
  <si>
    <t>SAFTIRG</t>
  </si>
  <si>
    <t>Authority Adjustment</t>
  </si>
  <si>
    <t>SAFRTIRG</t>
  </si>
  <si>
    <t>Inflation</t>
  </si>
  <si>
    <t>Authority determined value</t>
  </si>
  <si>
    <t>Adjustment to Average Value of Transmission Project</t>
  </si>
  <si>
    <t>Adjustment to Depreciation</t>
  </si>
  <si>
    <t>Opening Asset Value for Transmission Project</t>
  </si>
  <si>
    <t>Actual Annual Revenue</t>
  </si>
  <si>
    <t>CCTIRG*(FTIRG+AFFTIRG)*RPIF</t>
  </si>
  <si>
    <t>(FTIRGDepn+AFFTIRGDepn)*RPIF</t>
  </si>
  <si>
    <t>Pre-construction funding</t>
  </si>
  <si>
    <t>GRPIF t</t>
  </si>
  <si>
    <t>used for 2014</t>
  </si>
  <si>
    <t>used for 2015</t>
  </si>
  <si>
    <t>used for 2016</t>
  </si>
  <si>
    <t>used for 2017</t>
  </si>
  <si>
    <t>used for 2018</t>
  </si>
  <si>
    <t>used for 2019</t>
  </si>
  <si>
    <t>used for 2020</t>
  </si>
  <si>
    <t>used for 2021</t>
  </si>
  <si>
    <t>REVt</t>
  </si>
  <si>
    <t>PVFt</t>
  </si>
  <si>
    <t>GRPIF c</t>
  </si>
  <si>
    <t>Calendar Year</t>
  </si>
  <si>
    <t>Retail Prices Index Forecast Growth Rate</t>
  </si>
  <si>
    <t>from November 2011</t>
  </si>
  <si>
    <t>from November 2012</t>
  </si>
  <si>
    <t>from November 2013</t>
  </si>
  <si>
    <t>from November 2014</t>
  </si>
  <si>
    <t>from November 2015</t>
  </si>
  <si>
    <t>from November 2016</t>
  </si>
  <si>
    <t>from November 2017</t>
  </si>
  <si>
    <t>from November 2018</t>
  </si>
  <si>
    <t>from November 2019</t>
  </si>
  <si>
    <t>OIP</t>
  </si>
  <si>
    <t>Dep*SAFRTIRG*RPIF</t>
  </si>
  <si>
    <t>Present value factor</t>
  </si>
  <si>
    <t>In 2014/15</t>
  </si>
  <si>
    <t xml:space="preserve">For 2013/14: </t>
  </si>
  <si>
    <t>Average Specified Rate</t>
  </si>
  <si>
    <t>Reliability incentive legacy term</t>
  </si>
  <si>
    <t>RILEG</t>
  </si>
  <si>
    <t>Incentives</t>
  </si>
  <si>
    <t>VOLL</t>
  </si>
  <si>
    <t>Value of lost load per MWh</t>
  </si>
  <si>
    <t>MWh</t>
  </si>
  <si>
    <t>ENST</t>
  </si>
  <si>
    <t>RIDPA</t>
  </si>
  <si>
    <t>ENSA</t>
  </si>
  <si>
    <t>Base revenue</t>
  </si>
  <si>
    <t>TIRG revenue</t>
  </si>
  <si>
    <t>Revenue adjustment factor</t>
  </si>
  <si>
    <t>Product</t>
  </si>
  <si>
    <t>Average specified rate</t>
  </si>
  <si>
    <t>SER</t>
  </si>
  <si>
    <t>Incentive in respect of Sulphur Hexafluoride</t>
  </si>
  <si>
    <t>PTIS</t>
  </si>
  <si>
    <t>RPI factor</t>
  </si>
  <si>
    <t>TIS</t>
  </si>
  <si>
    <t>Totex Incentive Strength</t>
  </si>
  <si>
    <t>TR</t>
  </si>
  <si>
    <t>Corporation tax rate</t>
  </si>
  <si>
    <t>Post tax incentive strength</t>
  </si>
  <si>
    <t>Base leakage</t>
  </si>
  <si>
    <t>ALE</t>
  </si>
  <si>
    <t>NTPC</t>
  </si>
  <si>
    <t>Non traded price of carbon</t>
  </si>
  <si>
    <t>SFI</t>
  </si>
  <si>
    <r>
      <t>EDR</t>
    </r>
    <r>
      <rPr>
        <vertAlign val="subscript"/>
        <sz val="12"/>
        <rFont val="Times New Roman"/>
        <family val="1"/>
      </rPr>
      <t>t</t>
    </r>
    <r>
      <rPr>
        <sz val="12"/>
        <rFont val="Times New Roman"/>
        <family val="1"/>
      </rPr>
      <t xml:space="preserve"> = EDRO</t>
    </r>
    <r>
      <rPr>
        <vertAlign val="subscript"/>
        <sz val="12"/>
        <rFont val="Times New Roman"/>
        <family val="1"/>
      </rPr>
      <t>t-2</t>
    </r>
    <r>
      <rPr>
        <sz val="12"/>
        <rFont val="Times New Roman"/>
        <family val="1"/>
      </rPr>
      <t xml:space="preserve"> x (1 + I</t>
    </r>
    <r>
      <rPr>
        <vertAlign val="subscript"/>
        <sz val="12"/>
        <rFont val="Times New Roman"/>
        <family val="1"/>
      </rPr>
      <t>t-2</t>
    </r>
    <r>
      <rPr>
        <sz val="12"/>
        <rFont val="Times New Roman"/>
        <family val="1"/>
      </rPr>
      <t xml:space="preserve"> / 100) x (1 + I</t>
    </r>
    <r>
      <rPr>
        <vertAlign val="subscript"/>
        <sz val="12"/>
        <rFont val="Times New Roman"/>
        <family val="1"/>
      </rPr>
      <t>t-1</t>
    </r>
    <r>
      <rPr>
        <sz val="12"/>
        <rFont val="Times New Roman"/>
        <family val="1"/>
      </rPr>
      <t xml:space="preserve"> / 100)</t>
    </r>
  </si>
  <si>
    <r>
      <t>EDR</t>
    </r>
    <r>
      <rPr>
        <b/>
        <vertAlign val="subscript"/>
        <sz val="10"/>
        <color theme="1"/>
        <rFont val="Verdana"/>
        <family val="2"/>
      </rPr>
      <t>t</t>
    </r>
    <r>
      <rPr>
        <b/>
        <sz val="10"/>
        <color theme="1"/>
        <rFont val="Verdana"/>
        <family val="2"/>
      </rPr>
      <t xml:space="preserve"> calculation</t>
    </r>
  </si>
  <si>
    <r>
      <t>I</t>
    </r>
    <r>
      <rPr>
        <vertAlign val="subscript"/>
        <sz val="10"/>
        <color theme="1"/>
        <rFont val="Verdana"/>
        <family val="2"/>
      </rPr>
      <t>t</t>
    </r>
  </si>
  <si>
    <r>
      <t>EDR</t>
    </r>
    <r>
      <rPr>
        <vertAlign val="subscript"/>
        <sz val="10"/>
        <color theme="1"/>
        <rFont val="Verdana"/>
        <family val="2"/>
      </rPr>
      <t>t</t>
    </r>
    <r>
      <rPr>
        <sz val="10"/>
        <color theme="1"/>
        <rFont val="Verdana"/>
        <family val="2"/>
      </rPr>
      <t xml:space="preserve"> </t>
    </r>
  </si>
  <si>
    <t>EDRO</t>
  </si>
  <si>
    <t>EDR scheme adjustment</t>
  </si>
  <si>
    <r>
      <t>NIA</t>
    </r>
    <r>
      <rPr>
        <vertAlign val="subscript"/>
        <sz val="12"/>
        <color theme="1"/>
        <rFont val="Times New Roman"/>
        <family val="1"/>
      </rPr>
      <t>t</t>
    </r>
    <r>
      <rPr>
        <sz val="12"/>
        <color theme="1"/>
        <rFont val="Times New Roman"/>
        <family val="1"/>
      </rPr>
      <t>= ANIA</t>
    </r>
    <r>
      <rPr>
        <vertAlign val="subscript"/>
        <sz val="12"/>
        <color theme="1"/>
        <rFont val="Times New Roman"/>
        <family val="1"/>
      </rPr>
      <t>t</t>
    </r>
    <r>
      <rPr>
        <sz val="12"/>
        <color theme="1"/>
        <rFont val="Times New Roman"/>
        <family val="1"/>
      </rPr>
      <t xml:space="preserve"> - NIAR</t>
    </r>
    <r>
      <rPr>
        <vertAlign val="subscript"/>
        <sz val="12"/>
        <color theme="1"/>
        <rFont val="Times New Roman"/>
        <family val="1"/>
      </rPr>
      <t>t</t>
    </r>
  </si>
  <si>
    <t>NIC Eligible Bid Preparation Costs</t>
  </si>
  <si>
    <t>ENIA</t>
  </si>
  <si>
    <t>NIA</t>
  </si>
  <si>
    <t>NIAR</t>
  </si>
  <si>
    <r>
      <t>PU</t>
    </r>
    <r>
      <rPr>
        <vertAlign val="subscript"/>
        <sz val="10"/>
        <rFont val="Verdana"/>
        <family val="2"/>
      </rPr>
      <t>t</t>
    </r>
  </si>
  <si>
    <r>
      <t>MOD</t>
    </r>
    <r>
      <rPr>
        <vertAlign val="subscript"/>
        <sz val="10"/>
        <rFont val="Verdana"/>
        <family val="2"/>
      </rPr>
      <t>t</t>
    </r>
  </si>
  <si>
    <r>
      <t>TRU</t>
    </r>
    <r>
      <rPr>
        <vertAlign val="subscript"/>
        <sz val="10"/>
        <rFont val="Verdana"/>
        <family val="2"/>
      </rPr>
      <t>t</t>
    </r>
  </si>
  <si>
    <r>
      <t>RPIF</t>
    </r>
    <r>
      <rPr>
        <vertAlign val="subscript"/>
        <sz val="10"/>
        <rFont val="Verdana"/>
        <family val="2"/>
      </rPr>
      <t>t</t>
    </r>
    <r>
      <rPr>
        <sz val="10"/>
        <rFont val="Verdana"/>
        <family val="2"/>
      </rPr>
      <t xml:space="preserve"> </t>
    </r>
  </si>
  <si>
    <r>
      <t>BR</t>
    </r>
    <r>
      <rPr>
        <vertAlign val="subscript"/>
        <sz val="10"/>
        <rFont val="Verdana"/>
        <family val="2"/>
      </rPr>
      <t>t</t>
    </r>
  </si>
  <si>
    <r>
      <t>BR</t>
    </r>
    <r>
      <rPr>
        <vertAlign val="subscript"/>
        <sz val="10"/>
        <color rgb="FFFF0000"/>
        <rFont val="Verdana"/>
        <family val="2"/>
      </rPr>
      <t>t</t>
    </r>
  </si>
  <si>
    <r>
      <t>TRU</t>
    </r>
    <r>
      <rPr>
        <vertAlign val="subscript"/>
        <sz val="10"/>
        <color rgb="FFFF0000"/>
        <rFont val="Verdana"/>
        <family val="2"/>
      </rPr>
      <t>t</t>
    </r>
  </si>
  <si>
    <t xml:space="preserve">Pre tax TIRG cost of capital </t>
  </si>
  <si>
    <t>Adjustment to Av asset value</t>
  </si>
  <si>
    <t>(CCTIRG*(ETIRG*SAFTRTIRG)*RPIF)</t>
  </si>
  <si>
    <t>R11 TIRG</t>
  </si>
  <si>
    <t>Adjustment to Av asset depreciation</t>
  </si>
  <si>
    <t>Preconstruction</t>
  </si>
  <si>
    <t>Authority directed adjustments</t>
  </si>
  <si>
    <t>Opening asset value</t>
  </si>
  <si>
    <t xml:space="preserve"> Period:</t>
  </si>
  <si>
    <t>Reconciliation to Regulatory / Statutory Accounts</t>
  </si>
  <si>
    <t>Building phase - average asset value</t>
  </si>
  <si>
    <t>Building phase - depreciation value</t>
  </si>
  <si>
    <t xml:space="preserve">Incentive phase opening RAV </t>
  </si>
  <si>
    <t xml:space="preserve">Incentive phase depreciation allowed </t>
  </si>
  <si>
    <t>Incentive phase average asset value</t>
  </si>
  <si>
    <t>Incentive period</t>
  </si>
  <si>
    <t>Construction period</t>
  </si>
  <si>
    <t>Income adjusting event</t>
  </si>
  <si>
    <t>Weighted average cost of capital (from PCFM)</t>
  </si>
  <si>
    <t>WACC</t>
  </si>
  <si>
    <t>Company name</t>
  </si>
  <si>
    <t xml:space="preserve">Relevant TO Special Condition revenue adjustments </t>
  </si>
  <si>
    <r>
      <t>RB</t>
    </r>
    <r>
      <rPr>
        <vertAlign val="subscript"/>
        <sz val="10"/>
        <color rgb="FFFF0000"/>
        <rFont val="Verdana"/>
        <family val="2"/>
      </rPr>
      <t>t</t>
    </r>
  </si>
  <si>
    <r>
      <t>REV</t>
    </r>
    <r>
      <rPr>
        <vertAlign val="subscript"/>
        <sz val="10"/>
        <color rgb="FFFF0000"/>
        <rFont val="Verdana"/>
        <family val="2"/>
      </rPr>
      <t>t</t>
    </r>
  </si>
  <si>
    <t>RI</t>
  </si>
  <si>
    <t>Reliability incentive</t>
  </si>
  <si>
    <t>From 2015/16:</t>
  </si>
  <si>
    <t>TNR</t>
  </si>
  <si>
    <t xml:space="preserve">Max Allowed Revenue </t>
  </si>
  <si>
    <t>R13 Excluded/ De Minimis revenue</t>
  </si>
  <si>
    <t>Sub total</t>
  </si>
  <si>
    <t>SubTIRG</t>
  </si>
  <si>
    <t xml:space="preserve">Subtotal of TIRG </t>
  </si>
  <si>
    <t>TIRG - Project 1</t>
  </si>
  <si>
    <t>TIRG - Project 2</t>
  </si>
  <si>
    <t>SAFTIRG1</t>
  </si>
  <si>
    <t>SAFTIRG2</t>
  </si>
  <si>
    <t>Determination of IPTIRG 1</t>
  </si>
  <si>
    <t>Determination of FTIRG 1</t>
  </si>
  <si>
    <t>Determination of ETIRG 1</t>
  </si>
  <si>
    <t xml:space="preserve">Determination of TIRG Project 1 - </t>
  </si>
  <si>
    <t xml:space="preserve">Determination of TIRG Project 2 - </t>
  </si>
  <si>
    <t>Determination of IPTIRG 2</t>
  </si>
  <si>
    <t>Determination of FTIRG 2</t>
  </si>
  <si>
    <t>Determination of ETIRG 2</t>
  </si>
  <si>
    <t>MOD</t>
  </si>
  <si>
    <t>FOR INFORMATION ONLY</t>
  </si>
  <si>
    <t>Allowable Network Innovation Expenditure</t>
  </si>
  <si>
    <t>Z</t>
  </si>
  <si>
    <t xml:space="preserve">Eligible NIA Internal Expenditure </t>
  </si>
  <si>
    <t>NIAIE</t>
  </si>
  <si>
    <t>CONADJ</t>
  </si>
  <si>
    <t xml:space="preserve">Performance re offers of timely connection </t>
  </si>
  <si>
    <t>CONADJ calculation</t>
  </si>
  <si>
    <t>Untimely offers</t>
  </si>
  <si>
    <t>Total offers</t>
  </si>
  <si>
    <t>Base Transmission Revenue</t>
  </si>
  <si>
    <t>BR</t>
  </si>
  <si>
    <t>Interest</t>
  </si>
  <si>
    <t>UNTO</t>
  </si>
  <si>
    <t>TOTO</t>
  </si>
  <si>
    <t>SSI</t>
  </si>
  <si>
    <t>SSI Calculation</t>
  </si>
  <si>
    <t>SS</t>
  </si>
  <si>
    <t>SKPI</t>
  </si>
  <si>
    <t>SEA</t>
  </si>
  <si>
    <t>CTE</t>
  </si>
  <si>
    <t>Scottish Hydro Electric Transmission Plc</t>
  </si>
  <si>
    <r>
      <t>TO</t>
    </r>
    <r>
      <rPr>
        <vertAlign val="subscript"/>
        <sz val="12"/>
        <color theme="1"/>
        <rFont val="Times New Roman"/>
        <family val="1"/>
      </rPr>
      <t>t</t>
    </r>
    <r>
      <rPr>
        <sz val="12"/>
        <color theme="1"/>
        <rFont val="Times New Roman"/>
        <family val="1"/>
      </rPr>
      <t xml:space="preserve"> = BR</t>
    </r>
    <r>
      <rPr>
        <vertAlign val="subscript"/>
        <sz val="12"/>
        <color theme="1"/>
        <rFont val="Times New Roman"/>
        <family val="1"/>
      </rPr>
      <t>t</t>
    </r>
    <r>
      <rPr>
        <sz val="12"/>
        <color theme="1"/>
        <rFont val="Times New Roman"/>
        <family val="1"/>
      </rPr>
      <t xml:space="preserve"> + PT</t>
    </r>
    <r>
      <rPr>
        <vertAlign val="subscript"/>
        <sz val="12"/>
        <color theme="1"/>
        <rFont val="Times New Roman"/>
        <family val="1"/>
      </rPr>
      <t>t</t>
    </r>
    <r>
      <rPr>
        <sz val="12"/>
        <color theme="1"/>
        <rFont val="Times New Roman"/>
        <family val="1"/>
      </rPr>
      <t xml:space="preserve"> + OIP</t>
    </r>
    <r>
      <rPr>
        <vertAlign val="subscript"/>
        <sz val="12"/>
        <color theme="1"/>
        <rFont val="Times New Roman"/>
        <family val="1"/>
      </rPr>
      <t>t</t>
    </r>
    <r>
      <rPr>
        <sz val="12"/>
        <color theme="1"/>
        <rFont val="Times New Roman"/>
        <family val="1"/>
      </rPr>
      <t xml:space="preserve"> +NIA</t>
    </r>
    <r>
      <rPr>
        <vertAlign val="subscript"/>
        <sz val="12"/>
        <color theme="1"/>
        <rFont val="Times New Roman"/>
        <family val="1"/>
      </rPr>
      <t>t</t>
    </r>
    <r>
      <rPr>
        <sz val="12"/>
        <color theme="1"/>
        <rFont val="Times New Roman"/>
        <family val="1"/>
      </rPr>
      <t>+ TIRG</t>
    </r>
    <r>
      <rPr>
        <vertAlign val="subscript"/>
        <sz val="12"/>
        <color theme="1"/>
        <rFont val="Times New Roman"/>
        <family val="1"/>
      </rPr>
      <t>t</t>
    </r>
    <r>
      <rPr>
        <sz val="12"/>
        <color theme="1"/>
        <rFont val="Times New Roman"/>
        <family val="1"/>
      </rPr>
      <t>+ SHCP</t>
    </r>
    <r>
      <rPr>
        <vertAlign val="subscript"/>
        <sz val="12"/>
        <color theme="1"/>
        <rFont val="Times New Roman"/>
        <family val="1"/>
      </rPr>
      <t>t</t>
    </r>
    <r>
      <rPr>
        <u/>
        <sz val="12"/>
        <color rgb="FF008080"/>
        <rFont val="Times New Roman"/>
        <family val="1"/>
      </rPr>
      <t xml:space="preserve"> </t>
    </r>
    <r>
      <rPr>
        <sz val="12"/>
        <color theme="1"/>
        <rFont val="Times New Roman"/>
        <family val="1"/>
      </rPr>
      <t>- K</t>
    </r>
    <r>
      <rPr>
        <vertAlign val="subscript"/>
        <sz val="12"/>
        <color theme="1"/>
        <rFont val="Times New Roman"/>
        <family val="1"/>
      </rPr>
      <t>t</t>
    </r>
  </si>
  <si>
    <t>SHCP</t>
  </si>
  <si>
    <t xml:space="preserve">TIRG </t>
  </si>
  <si>
    <t xml:space="preserve">BR </t>
  </si>
  <si>
    <t xml:space="preserve">PT </t>
  </si>
  <si>
    <t xml:space="preserve">OIP </t>
  </si>
  <si>
    <t xml:space="preserve">K </t>
  </si>
  <si>
    <t xml:space="preserve">Compensatory Payments Adjustment </t>
  </si>
  <si>
    <t>(CCTIRG*(ETIRG*SAFRTIRG)*RPIF)</t>
  </si>
  <si>
    <t>Compensatory payments adjustment</t>
  </si>
  <si>
    <r>
      <t>SHCP</t>
    </r>
    <r>
      <rPr>
        <vertAlign val="subscript"/>
        <sz val="12"/>
        <color theme="1"/>
        <rFont val="Times New Roman"/>
        <family val="1"/>
      </rPr>
      <t>t</t>
    </r>
    <r>
      <rPr>
        <sz val="12"/>
        <color theme="1"/>
        <rFont val="Times New Roman"/>
        <family val="1"/>
      </rPr>
      <t xml:space="preserve"> = (DCP</t>
    </r>
    <r>
      <rPr>
        <vertAlign val="subscript"/>
        <sz val="12"/>
        <color theme="1"/>
        <rFont val="Times New Roman"/>
        <family val="1"/>
      </rPr>
      <t>t-2</t>
    </r>
    <r>
      <rPr>
        <sz val="12"/>
        <color theme="1"/>
        <rFont val="Times New Roman"/>
        <family val="1"/>
      </rPr>
      <t xml:space="preserve"> + CCP</t>
    </r>
    <r>
      <rPr>
        <vertAlign val="subscript"/>
        <sz val="12"/>
        <color theme="1"/>
        <rFont val="Times New Roman"/>
        <family val="1"/>
      </rPr>
      <t>t-2</t>
    </r>
    <r>
      <rPr>
        <sz val="12"/>
        <color theme="1"/>
        <rFont val="Times New Roman"/>
        <family val="1"/>
      </rPr>
      <t>) x PVF</t>
    </r>
    <r>
      <rPr>
        <vertAlign val="subscript"/>
        <sz val="12"/>
        <color theme="1"/>
        <rFont val="Times New Roman"/>
        <family val="1"/>
      </rPr>
      <t>t-2</t>
    </r>
    <r>
      <rPr>
        <sz val="12"/>
        <color theme="1"/>
        <rFont val="Times New Roman"/>
        <family val="1"/>
      </rPr>
      <t xml:space="preserve"> x PVF</t>
    </r>
    <r>
      <rPr>
        <vertAlign val="subscript"/>
        <sz val="12"/>
        <color theme="1"/>
        <rFont val="Times New Roman"/>
        <family val="1"/>
      </rPr>
      <t>t-1</t>
    </r>
    <r>
      <rPr>
        <sz val="12"/>
        <color theme="1"/>
        <rFont val="Times New Roman"/>
        <family val="1"/>
      </rPr>
      <t xml:space="preserve"> x RPIF</t>
    </r>
    <r>
      <rPr>
        <vertAlign val="subscript"/>
        <sz val="12"/>
        <color theme="1"/>
        <rFont val="Times New Roman"/>
        <family val="1"/>
      </rPr>
      <t>t</t>
    </r>
  </si>
  <si>
    <t>DCP</t>
  </si>
  <si>
    <t>CCP</t>
  </si>
  <si>
    <t xml:space="preserve">Paid for Domestic Loss of Supply Events </t>
  </si>
  <si>
    <t xml:space="preserve">Paid for Commercial Loss of Supply Events </t>
  </si>
  <si>
    <t>DCOS</t>
  </si>
  <si>
    <t>DC</t>
  </si>
  <si>
    <t>EDCOS</t>
  </si>
  <si>
    <t>EDC</t>
  </si>
  <si>
    <t>CCOS</t>
  </si>
  <si>
    <t>CC</t>
  </si>
  <si>
    <t>ECCOS</t>
  </si>
  <si>
    <t>ECC</t>
  </si>
  <si>
    <t>Payment per Compensatory Payment Statement</t>
  </si>
  <si>
    <t>Domestic Customers off supply &gt;12 hrs</t>
  </si>
  <si>
    <t>Domestic Customers off supply &gt;6 hrs</t>
  </si>
  <si>
    <t>Enhanced compensatory payment</t>
  </si>
  <si>
    <t>Calculation of DCP</t>
  </si>
  <si>
    <t>Calculation of CCP</t>
  </si>
  <si>
    <t>CommercialCustomers off supply &gt;6 hrs</t>
  </si>
  <si>
    <t>Commercial Customers off supply &gt;12 hrs</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</si>
  <si>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t>
    </r>
    <r>
      <rPr>
        <sz val="12"/>
        <color theme="1"/>
        <rFont val="Times New Roman"/>
        <family val="1"/>
      </rPr>
      <t xml:space="preserve"> TPD</t>
    </r>
    <r>
      <rPr>
        <vertAlign val="subscript"/>
        <sz val="12"/>
        <color theme="1"/>
        <rFont val="Times New Roman"/>
        <family val="1"/>
      </rPr>
      <t>t</t>
    </r>
  </si>
  <si>
    <t>RB</t>
  </si>
  <si>
    <t>PT</t>
  </si>
  <si>
    <t>Network Reliability Incentive Calculation</t>
  </si>
  <si>
    <t>Post Tax Totex Incentive Strength calculation</t>
  </si>
  <si>
    <t xml:space="preserve">Post Tax Totex Incentive Strength </t>
  </si>
  <si>
    <t>Actual RPI factor</t>
  </si>
  <si>
    <t>Forecast RPI factor</t>
  </si>
  <si>
    <t>SSO Calculation</t>
  </si>
  <si>
    <t>SSO</t>
  </si>
  <si>
    <t>EDR</t>
  </si>
  <si>
    <t>SSC</t>
  </si>
  <si>
    <t>KPI measured score</t>
  </si>
  <si>
    <t>I</t>
  </si>
  <si>
    <t>ANIA</t>
  </si>
  <si>
    <t>PR</t>
  </si>
  <si>
    <t>K</t>
  </si>
  <si>
    <r>
      <t>SFI</t>
    </r>
    <r>
      <rPr>
        <vertAlign val="subscript"/>
        <sz val="12"/>
        <color theme="1"/>
        <rFont val="Times New Roman"/>
        <family val="1"/>
      </rPr>
      <t>t</t>
    </r>
    <r>
      <rPr>
        <sz val="12"/>
        <color theme="1"/>
        <rFont val="Times New Roman"/>
        <family val="1"/>
      </rPr>
      <t xml:space="preserve"> = (CTE</t>
    </r>
    <r>
      <rPr>
        <vertAlign val="subscript"/>
        <sz val="12"/>
        <color theme="1"/>
        <rFont val="Times New Roman"/>
        <family val="1"/>
      </rPr>
      <t>t-2</t>
    </r>
    <r>
      <rPr>
        <sz val="12"/>
        <color theme="1"/>
        <rFont val="Times New Roman"/>
        <family val="1"/>
      </rPr>
      <t xml:space="preserve"> – ALE</t>
    </r>
    <r>
      <rPr>
        <vertAlign val="subscript"/>
        <sz val="12"/>
        <color theme="1"/>
        <rFont val="Times New Roman"/>
        <family val="1"/>
      </rPr>
      <t>t-2</t>
    </r>
    <r>
      <rPr>
        <sz val="12"/>
        <color theme="1"/>
        <rFont val="Times New Roman"/>
        <family val="1"/>
      </rPr>
      <t>) x CF x NTPC</t>
    </r>
    <r>
      <rPr>
        <vertAlign val="subscript"/>
        <sz val="12"/>
        <color theme="1"/>
        <rFont val="Times New Roman"/>
        <family val="1"/>
      </rPr>
      <t xml:space="preserve">t-2 </t>
    </r>
    <r>
      <rPr>
        <sz val="12"/>
        <color theme="1"/>
        <rFont val="Times New Roman"/>
        <family val="1"/>
      </rPr>
      <t>x PTIS</t>
    </r>
    <r>
      <rPr>
        <vertAlign val="subscript"/>
        <sz val="12"/>
        <color theme="1"/>
        <rFont val="Times New Roman"/>
        <family val="1"/>
      </rPr>
      <t>t-2</t>
    </r>
    <r>
      <rPr>
        <sz val="12"/>
        <color theme="1"/>
        <rFont val="Times New Roman"/>
        <family val="1"/>
      </rPr>
      <t xml:space="preserve"> x PVF</t>
    </r>
    <r>
      <rPr>
        <vertAlign val="subscript"/>
        <sz val="12"/>
        <color theme="1"/>
        <rFont val="Times New Roman"/>
        <family val="1"/>
      </rPr>
      <t>t-2</t>
    </r>
    <r>
      <rPr>
        <sz val="12"/>
        <color theme="1"/>
        <rFont val="Times New Roman"/>
        <family val="1"/>
      </rPr>
      <t xml:space="preserve"> x PVF</t>
    </r>
    <r>
      <rPr>
        <vertAlign val="subscript"/>
        <sz val="12"/>
        <color theme="1"/>
        <rFont val="Times New Roman"/>
        <family val="1"/>
      </rPr>
      <t>t-1</t>
    </r>
    <r>
      <rPr>
        <sz val="12"/>
        <color theme="1"/>
        <rFont val="Times New Roman"/>
        <family val="1"/>
      </rPr>
      <t xml:space="preserve"> x RPIF</t>
    </r>
    <r>
      <rPr>
        <vertAlign val="subscript"/>
        <sz val="12"/>
        <color theme="1"/>
        <rFont val="Times New Roman"/>
        <family val="1"/>
      </rPr>
      <t>t</t>
    </r>
  </si>
  <si>
    <t>AFFTIRG1</t>
  </si>
  <si>
    <t>AFFTIRGDepn1</t>
  </si>
  <si>
    <t>TIRGIncAdj1</t>
  </si>
  <si>
    <t>ATIRG1</t>
  </si>
  <si>
    <t>AFFTIRG2</t>
  </si>
  <si>
    <t>AFFTIRGDepn2</t>
  </si>
  <si>
    <t>TIRGIncAdj2</t>
  </si>
  <si>
    <t>ATIRG2</t>
  </si>
  <si>
    <t>Beauly-Denny</t>
  </si>
  <si>
    <t>Sloy</t>
  </si>
  <si>
    <t>ETIRGC2</t>
  </si>
  <si>
    <t>FTIRGC2</t>
  </si>
  <si>
    <t>FTIRGCDepn2</t>
  </si>
  <si>
    <r>
      <t>ANIA</t>
    </r>
    <r>
      <rPr>
        <vertAlign val="subscript"/>
        <sz val="12"/>
        <color theme="1"/>
        <rFont val="Times New Roman"/>
        <family val="1"/>
      </rPr>
      <t>t</t>
    </r>
    <r>
      <rPr>
        <sz val="12"/>
        <color theme="1"/>
        <rFont val="Times New Roman"/>
        <family val="1"/>
      </rPr>
      <t xml:space="preserve"> = PTRA x min((ENIA</t>
    </r>
    <r>
      <rPr>
        <vertAlign val="subscript"/>
        <sz val="12"/>
        <color theme="1"/>
        <rFont val="Times New Roman"/>
        <family val="1"/>
      </rPr>
      <t>t</t>
    </r>
    <r>
      <rPr>
        <sz val="12"/>
        <color theme="1"/>
        <rFont val="Times New Roman"/>
        <family val="1"/>
      </rPr>
      <t xml:space="preserve"> + BPC</t>
    </r>
    <r>
      <rPr>
        <vertAlign val="subscript"/>
        <sz val="12"/>
        <color theme="1"/>
        <rFont val="Times New Roman"/>
        <family val="1"/>
      </rPr>
      <t>t</t>
    </r>
    <r>
      <rPr>
        <sz val="12"/>
        <color theme="1"/>
        <rFont val="Times New Roman"/>
        <family val="1"/>
      </rPr>
      <t>), (NIAV x AFR</t>
    </r>
    <r>
      <rPr>
        <sz val="12"/>
        <color theme="1"/>
        <rFont val="Times New Roman"/>
        <family val="1"/>
      </rPr>
      <t>))</t>
    </r>
  </si>
  <si>
    <t>AFR</t>
  </si>
  <si>
    <t>Average annual forecast revenue</t>
  </si>
  <si>
    <t>Stakeholder Satisfaction Incentive</t>
  </si>
  <si>
    <t xml:space="preserve">Network Innovation Allowance </t>
  </si>
  <si>
    <t>£/tonne</t>
  </si>
  <si>
    <t xml:space="preserve">CTE calculation </t>
  </si>
  <si>
    <t>For relevant year beginning on 1 April 2015:</t>
  </si>
  <si>
    <t>Qualifying NIA Internal Expenditure</t>
  </si>
  <si>
    <t>Eligible Internal NIA Expenditure</t>
  </si>
  <si>
    <t>Excluded Services and De minimis Activities</t>
  </si>
  <si>
    <t>Turnover as per Profit and Loss (Regulatory Accounts)</t>
  </si>
  <si>
    <t>Forecast pre-construction and contingency costs</t>
  </si>
  <si>
    <t>CFTIRG2</t>
  </si>
  <si>
    <t>CFTIRG1</t>
  </si>
  <si>
    <t>DEPN2</t>
  </si>
  <si>
    <t>fixed value - check cells</t>
  </si>
  <si>
    <t xml:space="preserve">Transmission Network Revenue </t>
  </si>
  <si>
    <t xml:space="preserve">Base leakage </t>
  </si>
  <si>
    <t>Transmission Network Reliability Incentive (from 12/13 revenue model)</t>
  </si>
  <si>
    <t>Incentivised Loss Supply - Lower Limit</t>
  </si>
  <si>
    <t>RILT</t>
  </si>
  <si>
    <t>Incentivised Loss Supply - Upper Limit</t>
  </si>
  <si>
    <t>RIUT</t>
  </si>
  <si>
    <t>Percentage Adjust - Lower Limit</t>
  </si>
  <si>
    <t>RIUPA</t>
  </si>
  <si>
    <t>Percentage Adjust - UpperLimit</t>
  </si>
  <si>
    <t>Supply Collar</t>
  </si>
  <si>
    <t>RICOL</t>
  </si>
  <si>
    <t xml:space="preserve">Number of Incentivised loss of supply events </t>
  </si>
  <si>
    <t>RIP</t>
  </si>
  <si>
    <t>Calculation for 2013/14 (taken from 2012/13 revenue model)</t>
  </si>
  <si>
    <t xml:space="preserve">PR </t>
  </si>
  <si>
    <t>Base revenue in year t-1</t>
  </si>
  <si>
    <t>PR t-1</t>
  </si>
  <si>
    <t>Revenue Adjustment</t>
  </si>
  <si>
    <t xml:space="preserve">Maximum Upside % </t>
  </si>
  <si>
    <t>Maximum Downside %</t>
  </si>
  <si>
    <t>Incentivised Upper Target</t>
  </si>
  <si>
    <t>Incentivised loss of supply collar</t>
  </si>
  <si>
    <t>Unsupplied Energy Volumes - events</t>
  </si>
  <si>
    <t xml:space="preserve">Lower Limit target </t>
  </si>
  <si>
    <t>Revenue Adjustment Factor in incentive period y</t>
  </si>
  <si>
    <t>RAF</t>
  </si>
  <si>
    <t>Transmission Network Reliability Incentive</t>
  </si>
  <si>
    <t>Events</t>
  </si>
  <si>
    <t>TIRGt</t>
  </si>
  <si>
    <t>SFIt</t>
  </si>
  <si>
    <t>RIt</t>
  </si>
  <si>
    <t>Compensatory Payments Adjustment</t>
  </si>
  <si>
    <t>SHCPt</t>
  </si>
  <si>
    <t>From 15/16 onwards:</t>
  </si>
  <si>
    <t>Base Transmission Revenue 12/13</t>
  </si>
  <si>
    <t>Subtotal TIRG 12/13</t>
  </si>
  <si>
    <t>Transmission Investment Incentives Projects adjustment 12/13</t>
  </si>
  <si>
    <t>Capital expenditure inventive revenue adjustment 12/13</t>
  </si>
  <si>
    <t>Network rates allowance 12/13</t>
  </si>
  <si>
    <t>RPI Forecast 12/13</t>
  </si>
  <si>
    <t>SC 3A.11</t>
  </si>
  <si>
    <t>SC 3A.10</t>
  </si>
  <si>
    <r>
      <t xml:space="preserve">TOInc </t>
    </r>
    <r>
      <rPr>
        <sz val="8"/>
        <rFont val="Verdana"/>
        <family val="2"/>
      </rPr>
      <t>t-2</t>
    </r>
  </si>
  <si>
    <r>
      <t xml:space="preserve">PR </t>
    </r>
    <r>
      <rPr>
        <sz val="8"/>
        <rFont val="Verdana"/>
        <family val="2"/>
      </rPr>
      <t>t-2</t>
    </r>
  </si>
  <si>
    <r>
      <t xml:space="preserve">TIRG </t>
    </r>
    <r>
      <rPr>
        <sz val="8"/>
        <rFont val="Verdana"/>
        <family val="2"/>
      </rPr>
      <t>t-2</t>
    </r>
  </si>
  <si>
    <r>
      <t xml:space="preserve">CXIncRA </t>
    </r>
    <r>
      <rPr>
        <sz val="8"/>
        <rFont val="Verdana"/>
        <family val="2"/>
      </rPr>
      <t>t-2</t>
    </r>
  </si>
  <si>
    <r>
      <t xml:space="preserve">RPIF </t>
    </r>
    <r>
      <rPr>
        <sz val="8"/>
        <rFont val="Verdana"/>
        <family val="2"/>
      </rPr>
      <t>t-2</t>
    </r>
  </si>
  <si>
    <r>
      <t xml:space="preserve">RV </t>
    </r>
    <r>
      <rPr>
        <sz val="8"/>
        <rFont val="Verdana"/>
        <family val="2"/>
      </rPr>
      <t>t-2</t>
    </r>
  </si>
  <si>
    <r>
      <t xml:space="preserve">REV </t>
    </r>
    <r>
      <rPr>
        <sz val="8"/>
        <rFont val="Verdana"/>
        <family val="2"/>
      </rPr>
      <t>t-2</t>
    </r>
  </si>
  <si>
    <t>PRPIF</t>
  </si>
  <si>
    <t>SC 3B.9 - 3B.11</t>
  </si>
  <si>
    <t>SC 3B.5 - 3B.8</t>
  </si>
  <si>
    <t>SC 3B.3 - 3B.4</t>
  </si>
  <si>
    <t>Amended formula to minus CONADJ</t>
  </si>
  <si>
    <t>CSWWE</t>
  </si>
  <si>
    <t>Cumulative calculated emissions</t>
  </si>
  <si>
    <t>CONADJ t</t>
  </si>
  <si>
    <t>SWWE</t>
  </si>
  <si>
    <t>TF</t>
  </si>
  <si>
    <t>KG</t>
  </si>
  <si>
    <t xml:space="preserve">Time adjustment factor </t>
  </si>
  <si>
    <t>ASWWE</t>
  </si>
  <si>
    <t xml:space="preserve">UNTO </t>
  </si>
  <si>
    <t>Licence Condition 3H.7</t>
  </si>
  <si>
    <t>Check:</t>
  </si>
  <si>
    <t>PRO</t>
  </si>
  <si>
    <t xml:space="preserve">Determination of TIRG Total - </t>
  </si>
  <si>
    <t>Ofgem £m</t>
  </si>
  <si>
    <t>SC 3A.5</t>
  </si>
  <si>
    <t>SC 3A.8</t>
  </si>
  <si>
    <t>SC 3A.12</t>
  </si>
  <si>
    <t>SC 3C.3 (2012-2014); SC 3C.4 (2014/2015)</t>
  </si>
  <si>
    <t>SC 3H.6</t>
  </si>
  <si>
    <t>SC 3H.4</t>
  </si>
  <si>
    <t>SC 3H.8</t>
  </si>
  <si>
    <t>SC 3H.7</t>
  </si>
  <si>
    <t>SC 3D.3</t>
  </si>
  <si>
    <t>SC 3D.11</t>
  </si>
  <si>
    <t>SC 3E.5</t>
  </si>
  <si>
    <t>score/100</t>
  </si>
  <si>
    <t>SC 3E.3</t>
  </si>
  <si>
    <t>SC 3E.6</t>
  </si>
  <si>
    <t>SC 3F.7</t>
  </si>
  <si>
    <t>SC 3G.12</t>
  </si>
  <si>
    <t>SC 3C.14</t>
  </si>
  <si>
    <t>SC 3C.16</t>
  </si>
  <si>
    <t>SC 3C.17</t>
  </si>
  <si>
    <t>SC 3E.4</t>
  </si>
  <si>
    <t>SC 3A.15</t>
  </si>
  <si>
    <t>SC 3A.14</t>
  </si>
  <si>
    <t>SC 3A.3</t>
  </si>
  <si>
    <t>SC 3J.2</t>
  </si>
  <si>
    <t>SC 3J.3</t>
  </si>
  <si>
    <t>SC 3J.5</t>
  </si>
  <si>
    <t>SC 3J.7</t>
  </si>
  <si>
    <t>Business Rates Allowance (SC 3B.6)</t>
  </si>
  <si>
    <t>Opening Base Revenue Allowance - TO (SC 3A.6)</t>
  </si>
  <si>
    <t>Reliability (SC 3C.4)</t>
  </si>
  <si>
    <t>Totex Incentive Strength (SC 6C)</t>
  </si>
  <si>
    <t>Stakeholder Engagement Reward Limit (SC 3D.5)</t>
  </si>
  <si>
    <t>Sulphur Hexafluoride Incentive (SC 3E)</t>
  </si>
  <si>
    <t>kg</t>
  </si>
  <si>
    <t>Pass Through Factor (SC 3H.6)</t>
  </si>
  <si>
    <r>
      <t xml:space="preserve">TIRG </t>
    </r>
    <r>
      <rPr>
        <b/>
        <sz val="9"/>
        <color theme="1"/>
        <rFont val="Verdana"/>
        <family val="2"/>
      </rPr>
      <t>(SC 3J - Schedule C)</t>
    </r>
  </si>
  <si>
    <t>Cost of capital (TIRG) - (SC 3J.5)</t>
  </si>
  <si>
    <t>Present value factor (SC 3A.9)</t>
  </si>
  <si>
    <t>#</t>
  </si>
  <si>
    <t>Volume</t>
  </si>
  <si>
    <t>#1-10</t>
  </si>
  <si>
    <t>Network Reliability Incentive (SC 3C)</t>
  </si>
  <si>
    <t>Stakeholder Incentive (SC 3D)</t>
  </si>
  <si>
    <t>Output Incentives CONADJ calculation (SC 3G)</t>
  </si>
  <si>
    <t>SC 3C</t>
  </si>
  <si>
    <t>£m (09/10)</t>
  </si>
  <si>
    <r>
      <t xml:space="preserve">Innovation Incentive </t>
    </r>
    <r>
      <rPr>
        <b/>
        <sz val="9"/>
        <color theme="1"/>
        <rFont val="Verdana"/>
        <family val="2"/>
      </rPr>
      <t>(SC 3H)</t>
    </r>
  </si>
  <si>
    <t>Index</t>
  </si>
  <si>
    <t>v1</t>
  </si>
  <si>
    <t>SC 3A.7</t>
  </si>
  <si>
    <t>TIRG (Annual preconstruction and contingency revenue allowance)</t>
  </si>
  <si>
    <r>
      <t xml:space="preserve">IPTIRG </t>
    </r>
    <r>
      <rPr>
        <sz val="8"/>
        <rFont val="Verdana"/>
        <family val="2"/>
      </rPr>
      <t>t-2</t>
    </r>
  </si>
  <si>
    <t>TIRG (Annual construction revenue allowance)</t>
  </si>
  <si>
    <r>
      <t xml:space="preserve">FTIRG </t>
    </r>
    <r>
      <rPr>
        <sz val="8"/>
        <rFont val="Verdana"/>
        <family val="2"/>
      </rPr>
      <t>t-2</t>
    </r>
  </si>
  <si>
    <t>Transmission Investment Incentives Projects adjustment</t>
  </si>
  <si>
    <t>TIRG (Annual incentive revenue allowance)</t>
  </si>
  <si>
    <r>
      <t xml:space="preserve">ETIRG </t>
    </r>
    <r>
      <rPr>
        <sz val="8"/>
        <rFont val="Verdana"/>
        <family val="2"/>
      </rPr>
      <t>t-2</t>
    </r>
  </si>
  <si>
    <t>Revenue for rollover year 2012/13 - per definition in Special Condition 3A 11</t>
  </si>
  <si>
    <t>Capital expenditure incentive revenue adjustment</t>
  </si>
  <si>
    <t>£ per customer</t>
  </si>
  <si>
    <t>Stakeholder satisfaction output</t>
  </si>
  <si>
    <t>Stakeholder engagement reward</t>
  </si>
  <si>
    <t>Actual emissions</t>
  </si>
  <si>
    <t>Environmental discretionary reward scheme - 3F</t>
  </si>
  <si>
    <r>
      <t>PTIS</t>
    </r>
    <r>
      <rPr>
        <sz val="9"/>
        <color theme="1"/>
        <rFont val="Times New Roman"/>
        <family val="1"/>
      </rPr>
      <t xml:space="preserve">t </t>
    </r>
    <r>
      <rPr>
        <sz val="12"/>
        <color theme="1"/>
        <rFont val="Times New Roman"/>
        <family val="1"/>
      </rPr>
      <t>= TIS</t>
    </r>
    <r>
      <rPr>
        <sz val="9"/>
        <color theme="1"/>
        <rFont val="Times New Roman"/>
        <family val="1"/>
      </rPr>
      <t>t</t>
    </r>
    <r>
      <rPr>
        <sz val="12"/>
        <color theme="1"/>
        <rFont val="Times New Roman"/>
        <family val="1"/>
      </rPr>
      <t xml:space="preserve"> / (1-TR</t>
    </r>
    <r>
      <rPr>
        <sz val="9"/>
        <color theme="1"/>
        <rFont val="Times New Roman"/>
        <family val="1"/>
      </rPr>
      <t>t</t>
    </r>
    <r>
      <rPr>
        <sz val="12"/>
        <color theme="1"/>
        <rFont val="Times New Roman"/>
        <family val="1"/>
      </rPr>
      <t>)</t>
    </r>
  </si>
  <si>
    <r>
      <t>EDRO</t>
    </r>
    <r>
      <rPr>
        <vertAlign val="subscript"/>
        <sz val="10"/>
        <color theme="1"/>
        <rFont val="Verdana"/>
        <family val="2"/>
      </rPr>
      <t>t</t>
    </r>
  </si>
  <si>
    <t>For the Relevant Year beginning on 1 April 2015</t>
  </si>
  <si>
    <t>For Relevant Years beginning on or after 1 April 2016</t>
  </si>
  <si>
    <t>Business rates payments (SC 3B.6)</t>
  </si>
  <si>
    <t>Temporary physical disconnection costs incurred (SC 3B.10)</t>
  </si>
  <si>
    <t>For 2013/14 &amp; 2014/15:</t>
  </si>
  <si>
    <t>For 2015/16:</t>
  </si>
  <si>
    <t>Sum NIA over 8 years</t>
  </si>
  <si>
    <t>2014 -2021</t>
  </si>
  <si>
    <t>Sum BR over 8 years</t>
  </si>
  <si>
    <t>Network Innovation Competition</t>
  </si>
  <si>
    <t>NICF</t>
  </si>
  <si>
    <t>Licence Condition 3H and 3I</t>
  </si>
  <si>
    <t>Excluded Services (inc. Connections Contributions and diversion activities)</t>
  </si>
  <si>
    <t>Stakeholder Satisfaction Target</t>
  </si>
  <si>
    <t>SST</t>
  </si>
  <si>
    <t>Score</t>
  </si>
  <si>
    <t>Stakeholder Satisfaction Survey cap</t>
  </si>
  <si>
    <t>SSCAP</t>
  </si>
  <si>
    <t>Stakeholder Satisfaction Survey collar</t>
  </si>
  <si>
    <t>SSCOL</t>
  </si>
  <si>
    <t>Stakeholder Satisfaction Survey upside adj</t>
  </si>
  <si>
    <t>SSUPA</t>
  </si>
  <si>
    <t xml:space="preserve">Stakeholder Satisfaction Survey downside </t>
  </si>
  <si>
    <t>SSDPA</t>
  </si>
  <si>
    <t>Stakeholder Satisfaction Survey Proportion</t>
  </si>
  <si>
    <t>SSPRO</t>
  </si>
  <si>
    <t>SERLIMIT</t>
  </si>
  <si>
    <t>-</t>
  </si>
  <si>
    <t>Key Performance Indicator Target</t>
  </si>
  <si>
    <t>SKPIT</t>
  </si>
  <si>
    <t>Key Performance Indicator cap</t>
  </si>
  <si>
    <t>SKPICAP</t>
  </si>
  <si>
    <t>Key Performance Indicator upside adj</t>
  </si>
  <si>
    <t>SKPIUPA</t>
  </si>
  <si>
    <t>Key Performance Indicator collar</t>
  </si>
  <si>
    <t>SKPICOL</t>
  </si>
  <si>
    <t xml:space="preserve">Key Performance Indicator downside </t>
  </si>
  <si>
    <t>SKPIDPA</t>
  </si>
  <si>
    <t>Key Performance Indicator Proportion</t>
  </si>
  <si>
    <t>SKPIPRO</t>
  </si>
  <si>
    <t>External Assurance of Stakeholder Engagement Proportion</t>
  </si>
  <si>
    <t>SEAPRO</t>
  </si>
  <si>
    <t>Revenue adjustment factor - External Assurance of Stakeholder Engagement</t>
  </si>
  <si>
    <t>SKPIC</t>
  </si>
  <si>
    <t>Proportion</t>
  </si>
  <si>
    <r>
      <t>SS</t>
    </r>
    <r>
      <rPr>
        <b/>
        <vertAlign val="subscript"/>
        <sz val="10"/>
        <rFont val="Verdana"/>
        <family val="2"/>
      </rPr>
      <t>t-2</t>
    </r>
    <r>
      <rPr>
        <b/>
        <sz val="10"/>
        <rFont val="Verdana"/>
        <family val="2"/>
      </rPr>
      <t xml:space="preserve"> calculation</t>
    </r>
  </si>
  <si>
    <t>(SC 3D.11)</t>
  </si>
  <si>
    <t>Stakeholder Satisfaction Survey score</t>
  </si>
  <si>
    <r>
      <t>SKPI</t>
    </r>
    <r>
      <rPr>
        <b/>
        <vertAlign val="subscript"/>
        <sz val="10"/>
        <rFont val="Verdana"/>
        <family val="2"/>
      </rPr>
      <t>t-2</t>
    </r>
    <r>
      <rPr>
        <b/>
        <sz val="10"/>
        <rFont val="Verdana"/>
        <family val="2"/>
      </rPr>
      <t xml:space="preserve"> calculation</t>
    </r>
  </si>
  <si>
    <t>Key Performance Indicator score</t>
  </si>
  <si>
    <t>Adjustment</t>
  </si>
  <si>
    <t>- Template set up for 2016/17 RIGs Consultation
- Added MOD value from AIP 2016.
- 2012/13 RPIF input  unrounded so that the correct TRU and SOTRU terms are calculated for inclusion in the 2013/14 revenue calculation</t>
  </si>
  <si>
    <t>4.0.1</t>
  </si>
  <si>
    <t>Added the following for 16/17 in R5 input page:
- RPI Indices: 264.992
- GRPIFc 2016 row
- Average specified rate: 0.34%
- Corporation Tax Rate: 20%</t>
  </si>
  <si>
    <t>Post Decision</t>
  </si>
  <si>
    <t>Populated with historic data.</t>
  </si>
  <si>
    <t>£m/MWh</t>
  </si>
  <si>
    <t>Commercial Customers off supply &gt;6 hrs</t>
  </si>
  <si>
    <r>
      <t>SSI</t>
    </r>
    <r>
      <rPr>
        <vertAlign val="subscript"/>
        <sz val="12"/>
        <rFont val="Times New Roman"/>
        <family val="1"/>
      </rPr>
      <t xml:space="preserve">t-2 </t>
    </r>
    <r>
      <rPr>
        <sz val="12"/>
        <rFont val="Times New Roman"/>
        <family val="1"/>
      </rPr>
      <t>= ((SSPRO</t>
    </r>
    <r>
      <rPr>
        <vertAlign val="subscript"/>
        <sz val="12"/>
        <rFont val="Times New Roman"/>
        <family val="1"/>
      </rPr>
      <t>t-2</t>
    </r>
    <r>
      <rPr>
        <sz val="12"/>
        <rFont val="Times New Roman"/>
        <family val="1"/>
      </rPr>
      <t xml:space="preserve"> * SS</t>
    </r>
    <r>
      <rPr>
        <vertAlign val="subscript"/>
        <sz val="12"/>
        <rFont val="Times New Roman"/>
        <family val="1"/>
      </rPr>
      <t>t-2</t>
    </r>
    <r>
      <rPr>
        <sz val="12"/>
        <rFont val="Times New Roman"/>
        <family val="1"/>
      </rPr>
      <t>)</t>
    </r>
    <r>
      <rPr>
        <vertAlign val="subscript"/>
        <sz val="12"/>
        <rFont val="Times New Roman"/>
        <family val="1"/>
      </rPr>
      <t xml:space="preserve"> </t>
    </r>
    <r>
      <rPr>
        <sz val="12"/>
        <rFont val="Times New Roman"/>
        <family val="1"/>
      </rPr>
      <t>+ (SKPIPRO</t>
    </r>
    <r>
      <rPr>
        <vertAlign val="subscript"/>
        <sz val="12"/>
        <rFont val="Times New Roman"/>
        <family val="1"/>
      </rPr>
      <t>t-2</t>
    </r>
    <r>
      <rPr>
        <sz val="12"/>
        <rFont val="Times New Roman"/>
        <family val="1"/>
      </rPr>
      <t xml:space="preserve"> * SKPI</t>
    </r>
    <r>
      <rPr>
        <vertAlign val="subscript"/>
        <sz val="12"/>
        <rFont val="Times New Roman"/>
        <family val="1"/>
      </rPr>
      <t>t-2</t>
    </r>
    <r>
      <rPr>
        <sz val="12"/>
        <rFont val="Times New Roman"/>
        <family val="1"/>
      </rPr>
      <t>) + (SEAPRO</t>
    </r>
    <r>
      <rPr>
        <vertAlign val="subscript"/>
        <sz val="12"/>
        <rFont val="Times New Roman"/>
        <family val="1"/>
      </rPr>
      <t>t-2</t>
    </r>
    <r>
      <rPr>
        <sz val="12"/>
        <rFont val="Times New Roman"/>
        <family val="1"/>
      </rPr>
      <t xml:space="preserve"> * SEA</t>
    </r>
    <r>
      <rPr>
        <vertAlign val="subscript"/>
        <sz val="12"/>
        <rFont val="Times New Roman"/>
        <family val="1"/>
      </rPr>
      <t>t-2</t>
    </r>
    <r>
      <rPr>
        <sz val="12"/>
        <rFont val="Times New Roman"/>
        <family val="1"/>
      </rPr>
      <t>)) x (BR</t>
    </r>
    <r>
      <rPr>
        <vertAlign val="subscript"/>
        <sz val="12"/>
        <rFont val="Times New Roman"/>
        <family val="1"/>
      </rPr>
      <t xml:space="preserve">t-2 </t>
    </r>
    <r>
      <rPr>
        <sz val="12"/>
        <rFont val="Times New Roman"/>
        <family val="1"/>
      </rPr>
      <t>+ TIRG</t>
    </r>
    <r>
      <rPr>
        <vertAlign val="subscript"/>
        <sz val="11"/>
        <rFont val="Times New Roman"/>
        <family val="1"/>
      </rPr>
      <t>t-2</t>
    </r>
    <r>
      <rPr>
        <sz val="12"/>
        <rFont val="Times New Roman"/>
        <family val="1"/>
      </rPr>
      <t>) * 0.01</t>
    </r>
  </si>
  <si>
    <t>£m/tonne</t>
  </si>
  <si>
    <t>FTIRGC1</t>
  </si>
  <si>
    <t>FTIRGDepn1</t>
  </si>
  <si>
    <t>Depn2</t>
  </si>
  <si>
    <t>ETIRG2</t>
  </si>
  <si>
    <t>ETIRGORAV2</t>
  </si>
  <si>
    <t>.</t>
  </si>
  <si>
    <t>Unrecoverable NIA</t>
  </si>
  <si>
    <r>
      <t>If SSC</t>
    </r>
    <r>
      <rPr>
        <vertAlign val="subscript"/>
        <sz val="12"/>
        <color theme="1"/>
        <rFont val="Times New Roman"/>
        <family val="1"/>
      </rPr>
      <t>t-2</t>
    </r>
    <r>
      <rPr>
        <sz val="12"/>
        <color theme="1"/>
        <rFont val="Times New Roman"/>
        <family val="1"/>
      </rPr>
      <t xml:space="preserve"> &gt; SST:</t>
    </r>
  </si>
  <si>
    <r>
      <t>If SSC</t>
    </r>
    <r>
      <rPr>
        <vertAlign val="subscript"/>
        <sz val="12"/>
        <color theme="1"/>
        <rFont val="Times New Roman"/>
        <family val="1"/>
      </rPr>
      <t>t-2</t>
    </r>
    <r>
      <rPr>
        <sz val="12"/>
        <color theme="1"/>
        <rFont val="Times New Roman"/>
        <family val="1"/>
      </rPr>
      <t xml:space="preserve"> &lt; SST:</t>
    </r>
  </si>
  <si>
    <r>
      <t>SS</t>
    </r>
    <r>
      <rPr>
        <vertAlign val="subscript"/>
        <sz val="12"/>
        <rFont val="Times New Roman"/>
        <family val="1"/>
      </rPr>
      <t>t-2</t>
    </r>
    <r>
      <rPr>
        <sz val="12"/>
        <rFont val="Times New Roman"/>
        <family val="1"/>
      </rPr>
      <t xml:space="preserve"> = min (SSUPA, SSUPA × [(SSC</t>
    </r>
    <r>
      <rPr>
        <vertAlign val="subscript"/>
        <sz val="12"/>
        <rFont val="Times New Roman"/>
        <family val="1"/>
      </rPr>
      <t>t−2</t>
    </r>
    <r>
      <rPr>
        <sz val="12"/>
        <rFont val="Times New Roman"/>
        <family val="1"/>
      </rPr>
      <t xml:space="preserve"> − SST) / (SSCAP − SST)])</t>
    </r>
  </si>
  <si>
    <r>
      <t>If SKPIC</t>
    </r>
    <r>
      <rPr>
        <vertAlign val="subscript"/>
        <sz val="12"/>
        <color theme="1"/>
        <rFont val="Times New Roman"/>
        <family val="1"/>
      </rPr>
      <t>t-2</t>
    </r>
    <r>
      <rPr>
        <sz val="12"/>
        <color theme="1"/>
        <rFont val="Times New Roman"/>
        <family val="1"/>
      </rPr>
      <t xml:space="preserve"> &gt; SKPIT:</t>
    </r>
  </si>
  <si>
    <r>
      <t>SKPI</t>
    </r>
    <r>
      <rPr>
        <vertAlign val="subscript"/>
        <sz val="12"/>
        <rFont val="Times New Roman"/>
        <family val="1"/>
      </rPr>
      <t>t-2</t>
    </r>
    <r>
      <rPr>
        <sz val="12"/>
        <rFont val="Times New Roman"/>
        <family val="1"/>
      </rPr>
      <t xml:space="preserve"> = min (SKPIUPA, SSKPIUPA × [(SKPIC</t>
    </r>
    <r>
      <rPr>
        <vertAlign val="subscript"/>
        <sz val="12"/>
        <rFont val="Times New Roman"/>
        <family val="1"/>
      </rPr>
      <t>t−2</t>
    </r>
    <r>
      <rPr>
        <sz val="12"/>
        <rFont val="Times New Roman"/>
        <family val="1"/>
      </rPr>
      <t xml:space="preserve"> − SKPIT) / (SKPICAP − SKPIT)])</t>
    </r>
  </si>
  <si>
    <r>
      <t>If SKPIC</t>
    </r>
    <r>
      <rPr>
        <vertAlign val="subscript"/>
        <sz val="12"/>
        <color theme="1"/>
        <rFont val="Times New Roman"/>
        <family val="1"/>
      </rPr>
      <t>t-2</t>
    </r>
    <r>
      <rPr>
        <sz val="12"/>
        <color theme="1"/>
        <rFont val="Times New Roman"/>
        <family val="1"/>
      </rPr>
      <t xml:space="preserve"> &lt; SKPIT:</t>
    </r>
  </si>
  <si>
    <r>
      <t>SKPI</t>
    </r>
    <r>
      <rPr>
        <vertAlign val="subscript"/>
        <sz val="12"/>
        <rFont val="Times New Roman"/>
        <family val="1"/>
      </rPr>
      <t>t-2</t>
    </r>
    <r>
      <rPr>
        <sz val="12"/>
        <rFont val="Times New Roman"/>
        <family val="1"/>
      </rPr>
      <t xml:space="preserve"> = max (SKPIDPA, SKPIDPA × [(SKPIT - SKPIC</t>
    </r>
    <r>
      <rPr>
        <vertAlign val="subscript"/>
        <sz val="12"/>
        <rFont val="Times New Roman"/>
        <family val="1"/>
      </rPr>
      <t>t−2</t>
    </r>
    <r>
      <rPr>
        <sz val="12"/>
        <rFont val="Times New Roman"/>
        <family val="1"/>
      </rPr>
      <t>) / (SKPIT - SKPICOL)])</t>
    </r>
  </si>
  <si>
    <r>
      <t>SS</t>
    </r>
    <r>
      <rPr>
        <vertAlign val="subscript"/>
        <sz val="12"/>
        <rFont val="Times New Roman"/>
        <family val="1"/>
      </rPr>
      <t>t-2</t>
    </r>
    <r>
      <rPr>
        <sz val="12"/>
        <rFont val="Times New Roman"/>
        <family val="1"/>
      </rPr>
      <t xml:space="preserve"> = max (SSDPA, SSDPA × [(SST - SSC</t>
    </r>
    <r>
      <rPr>
        <vertAlign val="subscript"/>
        <sz val="12"/>
        <rFont val="Times New Roman"/>
        <family val="1"/>
      </rPr>
      <t>t−2</t>
    </r>
    <r>
      <rPr>
        <sz val="12"/>
        <rFont val="Times New Roman"/>
        <family val="1"/>
      </rPr>
      <t>) / (SST - SSCOL)])</t>
    </r>
  </si>
  <si>
    <t>v2</t>
  </si>
  <si>
    <r>
      <t>- 2017-18 template set up for RIGS Consultation.
- Added the following for 17/18 in R5 input page:
    - RPI Indices: 274.056 (provisionary)    
    - GRPIFc 2017 row
    - MOD: 52.688</t>
    </r>
    <r>
      <rPr>
        <b/>
        <sz val="10"/>
        <color rgb="FFFF0000"/>
        <rFont val="Verdana"/>
        <family val="2"/>
      </rPr>
      <t xml:space="preserve">
</t>
    </r>
    <r>
      <rPr>
        <sz val="10"/>
        <rFont val="Verdana"/>
        <family val="2"/>
      </rPr>
      <t xml:space="preserve">    - WACC: 3.98%
    - Average specified rate: 0.35%
    - Corporation Tax Rate: 19%</t>
    </r>
    <r>
      <rPr>
        <b/>
        <sz val="10"/>
        <color rgb="FFFF0000"/>
        <rFont val="Verdana"/>
        <family val="2"/>
      </rPr>
      <t xml:space="preserve">
</t>
    </r>
    <r>
      <rPr>
        <sz val="10"/>
        <rFont val="Verdana"/>
        <family val="2"/>
      </rPr>
      <t>- Tab 4: rescaled coefficients in cells F31, F32 (dividing by 100).
- Tab 4: revised units of measure label (cell C48 from "£m" to "Factor"). 
- Tab 5: amended 2019-2021 RPI indices in cells K11:M11 (assuming 2.8% inflation rate from final proposals).
- Tab 5: revised 2015-2017 and 2019-2021</t>
    </r>
    <r>
      <rPr>
        <sz val="10"/>
        <color rgb="FFFF0000"/>
        <rFont val="Verdana"/>
        <family val="2"/>
      </rPr>
      <t xml:space="preserve"> </t>
    </r>
    <r>
      <rPr>
        <sz val="10"/>
        <rFont val="Verdana"/>
        <family val="2"/>
      </rPr>
      <t>WACC values in cells G46:I46 and K46:M46 (source: 2017 AIP PCFM).
- Tab 5: revised label (cell A113, from "Recovered NIA" to "Unrecoverable NIA").
- Tab 8: formula inconsistency in cell H27. Copied and pasted formula from adjacent cell.
- Tab 8: formulae missing in cells I109:M109. Copied and pasted formula from adjacent cell.
- Tab 8: revised link in cell F37 (2012/13 Base Revenue).
- Tab 8: revised unit of measure labels (cell C21 from "£/MWh" to "£m/MWh", cell C112 from "£/tonne" to "£m/tonne").
- Tab 8: replaced Base Leakage hardcoded values (cells F187:M187) with links to corresponding input cells in Licence Condition Values sheet.
- Tab 9: revised label (cell A14, from "Recovered NIA" to "Unrecoverable NIA").
- Corrected typos, inserted missing item labels, units of measures and named ranges.</t>
    </r>
  </si>
  <si>
    <t xml:space="preserve">This workbook incoporates the detailed and forecast returns referred to in Standard Condition 15 of the Electricity Transmission Licence.  
</t>
  </si>
  <si>
    <t>v3</t>
  </si>
  <si>
    <t>- Tab 5: updated GRPIF value for 2018 in cell J21, reflecting revised HMT November 2017 forecast publication.</t>
  </si>
  <si>
    <t>v4</t>
  </si>
  <si>
    <t>- 2018-19 template set up for RIGS Consultation.
- Added the following for 18/19 in R5 input page:
    - RPI Indices
    - GRPIFc 2018 row
    - WACC
    - Average specified rate
    - Corporation Tax Rate</t>
  </si>
  <si>
    <t>R14 - At top of R14 tab added "[Reported in RFPR, not required for 2018-19 reporting]"</t>
  </si>
  <si>
    <t>v5</t>
  </si>
  <si>
    <t>R5 - Input Tab - MOD values rounded to 3dp</t>
  </si>
  <si>
    <t xml:space="preserve">R5 input tab (update by SHE-Transmission) - Updated UNTO and TOTO units to # rather than £m as per the licence. </t>
  </si>
  <si>
    <t>v6</t>
  </si>
  <si>
    <t>Regulatory Year ending 31 March 2020</t>
  </si>
  <si>
    <t>MOD (1dp for 2020/21), RPI and WACC figures updated.  R14 tab removed</t>
  </si>
  <si>
    <t>R5 Input page - updated RPI for 2020</t>
  </si>
  <si>
    <t>from November 2020</t>
  </si>
  <si>
    <t>from November 2021</t>
  </si>
  <si>
    <t>used for 2022</t>
  </si>
  <si>
    <t>used for 2023</t>
  </si>
  <si>
    <t>LMOD2 PCFM</t>
  </si>
  <si>
    <t>LPTt</t>
  </si>
  <si>
    <t>LMODt</t>
  </si>
  <si>
    <t>LKt</t>
  </si>
  <si>
    <t>LTRUt</t>
  </si>
  <si>
    <t>NOCOt</t>
  </si>
  <si>
    <t>LSSOt</t>
  </si>
  <si>
    <t>LEDRt</t>
  </si>
  <si>
    <t>LSFIt</t>
  </si>
  <si>
    <t>LRIt</t>
  </si>
  <si>
    <t>RIIO-1 RR</t>
  </si>
  <si>
    <t>RIIO-1 AR</t>
  </si>
  <si>
    <t>REV</t>
  </si>
  <si>
    <t>LARt Summary added</t>
  </si>
  <si>
    <t>R5 - Row 10 and 11, RPIA and RPI Indices extended to 2023. Row 27, LMODs added for 2022 and 2023. Row 48 WACC updated for 2022, 2023 and 2024. Row 49 PVF extended to 2024. Row 52, Average Specified Rate updated for 2021,2022 and 2023. Row 82, Corporation tax rate extended to 2023.</t>
  </si>
  <si>
    <t>R6 - SC 3A.5 table extended to 2023. SC 3A.7 table extended to 2023. Row 38, REV extended to 2023. Row 39, PVF extended to 2024. Row 40, TRU extended to 2025. SC 3A.10 table extended to 2023</t>
  </si>
  <si>
    <t>R7 - SC 3B.3 table extended to 2023. RPIA, PVF and RPIF extended to 2023 in all tables. Row 40, TPD extended to 2023. Row 21, RB extended to 2023</t>
  </si>
  <si>
    <t>R8 - All tables extended to 2023</t>
  </si>
  <si>
    <t>R10 - Row 15, Average Interest extended to 2023. Row 16, PR extended to 2023. Row 18 K extended to 2023.</t>
  </si>
  <si>
    <t>R11 - All tables extended to 2022</t>
  </si>
  <si>
    <t>R12 - Table SC 3A.3 extended to 2023</t>
  </si>
  <si>
    <t>v7</t>
  </si>
  <si>
    <t>Feb HMT Forecast</t>
  </si>
  <si>
    <t>v7.1</t>
  </si>
  <si>
    <t>PCFM Feb StatCon</t>
  </si>
  <si>
    <t>R5 Input page - RPI indices have been updated (M11:O11) and (N24 and N25:O25). WACC values 2022-2024 have been updated (N48:P48) based on PCFM from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</si>
</sst>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0_-;\-* #,##0.000_-;_-* &quot;-&quot;??_-;_-@_-"/>
    <numFmt numFmtId="169" formatCode="_-* #,##0.00\ _D_M_-;\-* #,##0.00\ _D_M_-;_-* &quot;-&quot;??\ _D_M_-;_-@_-"/>
    <numFmt numFmtId="170" formatCode="#,##0.000"/>
    <numFmt numFmtId="171" formatCode="0.000"/>
    <numFmt numFmtId="172" formatCode="#,##0.00;[Red]\-#,##0.00;0.00"/>
    <numFmt numFmtId="173" formatCode="#,##0.00;[Red]\-#,##0.00;\-"/>
    <numFmt numFmtId="174" formatCode="#,##0.000;[Red]\-#,##0.000;\-"/>
    <numFmt numFmtId="175" formatCode="0.0%"/>
    <numFmt numFmtId="176" formatCode="#,##0.000;[Red]\-#,##0.000;0.000"/>
    <numFmt numFmtId="177" formatCode="#,##0;[Red]\-#,##0;\-"/>
    <numFmt numFmtId="178" formatCode="_-* #,##0.0_-;\-* #,##0.0_-;_-* &quot;-&quot;??_-;_-@_-"/>
    <numFmt numFmtId="179" formatCode="0.000_ ;[Red]\-0.000\ "/>
    <numFmt numFmtId="180" formatCode="_-* #,##0.000_-;\-* #,##0.000_-;_-* &quot;-&quot;???_-;_-@_-"/>
    <numFmt numFmtId="181" formatCode="0.000%"/>
    <numFmt numFmtId="182" formatCode="#,##0.000_ ;[Red]\-#,##0.000\ "/>
    <numFmt numFmtId="183" formatCode="_(* #,##0.000_);_(* \(#,##0.000\);_(* &quot;-&quot;??_);_(@_)"/>
    <numFmt numFmtId="184" formatCode="0.0"/>
    <numFmt numFmtId="185" formatCode="0.0000"/>
    <numFmt numFmtId="186" formatCode="0.00000"/>
    <numFmt numFmtId="187" formatCode="#,##0.0_);\(#,##0.0\);\-_)"/>
    <numFmt numFmtId="188" formatCode="#,##0.0;[Red]\(#,##0.0\)"/>
    <numFmt numFmtId="189" formatCode="[$-F800]dddd\,\ mmmm\ dd\,\ yyyy"/>
    <numFmt numFmtId="190" formatCode="#,##0;\(#,##0\)"/>
    <numFmt numFmtId="191" formatCode="d\-mmm\-yyyy"/>
    <numFmt numFmtId="192" formatCode="0.000000"/>
    <numFmt numFmtId="193" formatCode="#,##0.00;[Red]#,##0.00;\-"/>
    <numFmt numFmtId="194" formatCode="#,##0.0_);[Red]\(#,##0.0\);\-"/>
    <numFmt numFmtId="195" formatCode="[$$-409]#,##0.00"/>
    <numFmt numFmtId="196" formatCode="#,##0_);\(#,##0\);&quot;-  &quot;;&quot; &quot;@&quot; &quot;"/>
  </numFmts>
  <fonts count="129">
    <font>
      <sz val="10"/>
      <color theme="1"/>
      <name val="Verdana"/>
      <family val="2"/>
    </font>
    <font>
      <b/>
      <sz val="10"/>
      <color theme="1"/>
      <name val="Verdana"/>
      <family val="2"/>
    </font>
    <font>
      <sz val="10"/>
      <name val="Arial"/>
      <family val="2"/>
    </font>
    <font>
      <sz val="11"/>
      <name val="CG Omega"/>
      <family val="2"/>
    </font>
    <font>
      <sz val="11"/>
      <name val="Verdana"/>
      <family val="2"/>
    </font>
    <font>
      <b/>
      <sz val="16"/>
      <color theme="1"/>
      <name val="Verdana"/>
      <family val="2"/>
    </font>
    <font>
      <b/>
      <sz val="11"/>
      <color theme="1"/>
      <name val="Calibri"/>
      <family val="2"/>
      <scheme val="minor"/>
    </font>
    <font>
      <sz val="10"/>
      <color rgb="FFFF0000"/>
      <name val="Verdana"/>
      <family val="2"/>
    </font>
    <font>
      <b/>
      <sz val="11"/>
      <name val="Times New Roman"/>
      <family val="1"/>
    </font>
    <font>
      <sz val="11"/>
      <name val="Times New Roman"/>
      <family val="1"/>
    </font>
    <font>
      <i/>
      <sz val="11"/>
      <name val="Times New Roman"/>
      <family val="1"/>
    </font>
    <font>
      <sz val="11"/>
      <name val="Arial"/>
      <family val="2"/>
    </font>
    <font>
      <sz val="11"/>
      <color rgb="FF92D050"/>
      <name val="Arial"/>
      <family val="2"/>
    </font>
    <font>
      <sz val="8"/>
      <color indexed="81"/>
      <name val="Tahoma"/>
      <family val="2"/>
    </font>
    <font>
      <b/>
      <sz val="8"/>
      <color indexed="81"/>
      <name val="Tahoma"/>
      <family val="2"/>
    </font>
    <font>
      <sz val="11"/>
      <color theme="1"/>
      <name val="Verdana"/>
      <family val="2"/>
    </font>
    <font>
      <vertAlign val="subscript"/>
      <sz val="11"/>
      <color theme="1"/>
      <name val="Verdana"/>
      <family val="2"/>
    </font>
    <font>
      <sz val="22"/>
      <color rgb="FF00B050"/>
      <name val="Verdana"/>
      <family val="2"/>
    </font>
    <font>
      <sz val="10"/>
      <color rgb="FF0070C0"/>
      <name val="Verdana"/>
      <family val="2"/>
    </font>
    <font>
      <b/>
      <sz val="10"/>
      <color rgb="FFFF0000"/>
      <name val="Verdana"/>
      <family val="2"/>
    </font>
    <font>
      <b/>
      <sz val="10"/>
      <name val="Verdana"/>
      <family val="2"/>
    </font>
    <font>
      <sz val="12"/>
      <color theme="1"/>
      <name val="Times New Roman"/>
      <family val="1"/>
    </font>
    <font>
      <vertAlign val="subscript"/>
      <sz val="12"/>
      <color theme="1"/>
      <name val="Times New Roman"/>
      <family val="1"/>
    </font>
    <font>
      <sz val="11"/>
      <color indexed="10"/>
      <name val="Times New Roman"/>
      <family val="1"/>
    </font>
    <font>
      <sz val="11"/>
      <color indexed="8"/>
      <name val="Calibri"/>
      <family val="2"/>
    </font>
    <font>
      <sz val="11"/>
      <color indexed="9"/>
      <name val="Calibri"/>
      <family val="2"/>
    </font>
    <font>
      <b/>
      <sz val="11"/>
      <color indexed="8"/>
      <name val="Calibri"/>
      <family val="2"/>
    </font>
    <font>
      <sz val="12"/>
      <name val="Helv"/>
    </font>
    <font>
      <sz val="10"/>
      <name val="CG Omega"/>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i/>
      <u/>
      <sz val="11"/>
      <name val="Times New Roman"/>
      <family val="1"/>
    </font>
    <font>
      <b/>
      <i/>
      <sz val="11"/>
      <name val="Times New Roman"/>
      <family val="1"/>
    </font>
    <font>
      <sz val="11"/>
      <color indexed="55"/>
      <name val="Times New Roman"/>
      <family val="1"/>
    </font>
    <font>
      <b/>
      <sz val="12"/>
      <color indexed="8"/>
      <name val="Verdana"/>
      <family val="2"/>
    </font>
    <font>
      <b/>
      <sz val="14"/>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u/>
      <sz val="10"/>
      <name val="Verdana"/>
      <family val="2"/>
    </font>
    <font>
      <b/>
      <sz val="12"/>
      <name val="Verdana"/>
      <family val="2"/>
    </font>
    <font>
      <sz val="18"/>
      <color rgb="FFFF0000"/>
      <name val="Verdana"/>
      <family val="2"/>
    </font>
    <font>
      <b/>
      <sz val="14"/>
      <color theme="1"/>
      <name val="Verdana"/>
      <family val="2"/>
    </font>
    <font>
      <b/>
      <sz val="11"/>
      <name val="Arial"/>
      <family val="2"/>
    </font>
    <font>
      <b/>
      <sz val="12"/>
      <color theme="1"/>
      <name val="Verdana"/>
      <family val="2"/>
    </font>
    <font>
      <sz val="10"/>
      <color theme="1"/>
      <name val="Verdana"/>
      <family val="2"/>
    </font>
    <font>
      <sz val="10"/>
      <color theme="5" tint="0.39997558519241921"/>
      <name val="Verdana"/>
      <family val="2"/>
    </font>
    <font>
      <b/>
      <sz val="11"/>
      <color theme="1"/>
      <name val="Verdana"/>
      <family val="2"/>
    </font>
    <font>
      <vertAlign val="subscript"/>
      <sz val="10"/>
      <color theme="1"/>
      <name val="Verdana"/>
      <family val="2"/>
    </font>
    <font>
      <vertAlign val="subscript"/>
      <sz val="10"/>
      <color rgb="FFFF0000"/>
      <name val="Verdana"/>
      <family val="2"/>
    </font>
    <font>
      <b/>
      <vertAlign val="subscript"/>
      <sz val="10"/>
      <color theme="1"/>
      <name val="Verdana"/>
      <family val="2"/>
    </font>
    <font>
      <sz val="12"/>
      <name val="Times New Roman"/>
      <family val="1"/>
    </font>
    <font>
      <vertAlign val="subscript"/>
      <sz val="12"/>
      <name val="Times New Roman"/>
      <family val="1"/>
    </font>
    <font>
      <vertAlign val="subscript"/>
      <sz val="10"/>
      <name val="Verdana"/>
      <family val="2"/>
    </font>
    <font>
      <b/>
      <u/>
      <sz val="11"/>
      <name val="Verdana"/>
      <family val="2"/>
    </font>
    <font>
      <u/>
      <sz val="12"/>
      <color rgb="FF008080"/>
      <name val="Times New Roman"/>
      <family val="1"/>
    </font>
    <font>
      <sz val="10"/>
      <color rgb="FF00B0F0"/>
      <name val="Verdana"/>
      <family val="2"/>
    </font>
    <font>
      <b/>
      <sz val="11"/>
      <name val="Calibri"/>
      <family val="2"/>
      <scheme val="minor"/>
    </font>
    <font>
      <u/>
      <sz val="10"/>
      <name val="Arial"/>
      <family val="2"/>
    </font>
    <font>
      <i/>
      <sz val="10"/>
      <name val="Arial"/>
      <family val="2"/>
    </font>
    <font>
      <b/>
      <sz val="10"/>
      <name val="Arial"/>
      <family val="2"/>
    </font>
    <font>
      <b/>
      <u/>
      <sz val="11"/>
      <name val="Arial"/>
      <family val="2"/>
    </font>
    <font>
      <i/>
      <sz val="9"/>
      <name val="Arial"/>
      <family val="2"/>
    </font>
    <font>
      <sz val="10"/>
      <color rgb="FFFF33CC"/>
      <name val="Verdana"/>
      <family val="2"/>
    </font>
    <font>
      <sz val="8"/>
      <name val="Verdana"/>
      <family val="2"/>
    </font>
    <font>
      <b/>
      <sz val="12"/>
      <color theme="1"/>
      <name val="Times New Roman"/>
      <family val="1"/>
    </font>
    <font>
      <b/>
      <sz val="9"/>
      <color theme="1"/>
      <name val="Verdana"/>
      <family val="2"/>
    </font>
    <font>
      <b/>
      <u/>
      <sz val="10"/>
      <color theme="1"/>
      <name val="Verdana"/>
      <family val="2"/>
    </font>
    <font>
      <sz val="11"/>
      <color rgb="FF9C0006"/>
      <name val="Arial"/>
      <family val="2"/>
    </font>
    <font>
      <b/>
      <sz val="11"/>
      <color theme="0"/>
      <name val="Arial"/>
      <family val="2"/>
    </font>
    <font>
      <sz val="11"/>
      <color rgb="FF006100"/>
      <name val="Arial"/>
      <family val="2"/>
    </font>
    <font>
      <sz val="11"/>
      <color rgb="FF9C6500"/>
      <name val="Arial"/>
      <family val="2"/>
    </font>
    <font>
      <sz val="9"/>
      <color theme="1"/>
      <name val="Times New Roman"/>
      <family val="1"/>
    </font>
    <font>
      <b/>
      <u/>
      <sz val="12"/>
      <name val="Arial"/>
      <family val="2"/>
    </font>
    <font>
      <sz val="10"/>
      <color rgb="FFFF3399"/>
      <name val="Verdana"/>
      <family val="2"/>
    </font>
    <font>
      <vertAlign val="subscript"/>
      <sz val="11"/>
      <name val="Times New Roman"/>
      <family val="1"/>
    </font>
    <font>
      <b/>
      <vertAlign val="subscript"/>
      <sz val="10"/>
      <name val="Verdana"/>
      <family val="2"/>
    </font>
    <font>
      <sz val="11"/>
      <color theme="0"/>
      <name val="Times New Roman"/>
      <family val="1"/>
    </font>
    <font>
      <sz val="9"/>
      <color indexed="81"/>
      <name val="Tahoma"/>
      <family val="2"/>
    </font>
    <font>
      <b/>
      <sz val="9"/>
      <color indexed="81"/>
      <name val="Tahoma"/>
      <family val="2"/>
    </font>
    <font>
      <sz val="12"/>
      <color theme="1"/>
      <name val="Verdana"/>
      <family val="2"/>
    </font>
    <font>
      <sz val="12"/>
      <color rgb="FFFF0000"/>
      <name val="Verdana"/>
      <family val="2"/>
    </font>
    <font>
      <sz val="10"/>
      <color theme="8" tint="-0.249977111117893"/>
      <name val="Verdana"/>
      <family val="2"/>
    </font>
    <font>
      <u/>
      <sz val="10"/>
      <color theme="10"/>
      <name val="Verdana"/>
      <family val="2"/>
    </font>
    <font>
      <sz val="10"/>
      <color theme="1"/>
      <name val="Gill Sans MT"/>
      <family val="2"/>
    </font>
    <font>
      <sz val="10"/>
      <name val="Gill Sans MT"/>
      <family val="2"/>
    </font>
    <font>
      <u/>
      <sz val="10"/>
      <color theme="1"/>
      <name val="Gill Sans MT"/>
      <family val="2"/>
    </font>
    <font>
      <sz val="10"/>
      <color theme="0" tint="-4.9989318521683403E-2"/>
      <name val="Gill Sans MT"/>
      <family val="2"/>
    </font>
    <font>
      <sz val="10"/>
      <color theme="1"/>
      <name val="Arial"/>
      <family val="2"/>
    </font>
    <font>
      <sz val="11"/>
      <color theme="1"/>
      <name val="Calibri"/>
      <family val="2"/>
      <scheme val="minor"/>
    </font>
    <font>
      <sz val="10"/>
      <name val="Helv"/>
      <charset val="204"/>
    </font>
    <font>
      <sz val="10"/>
      <color indexed="9"/>
      <name val="Arial"/>
      <family val="2"/>
    </font>
    <font>
      <sz val="11"/>
      <color indexed="37"/>
      <name val="Calibri"/>
      <family val="2"/>
    </font>
    <font>
      <b/>
      <sz val="11"/>
      <color indexed="17"/>
      <name val="Calibri"/>
      <family val="2"/>
    </font>
    <font>
      <b/>
      <sz val="11"/>
      <color indexed="9"/>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sz val="9"/>
      <name val="NewsGoth Lt BT"/>
      <family val="2"/>
    </font>
    <font>
      <sz val="11"/>
      <color indexed="14"/>
      <name val="Calibri"/>
      <family val="2"/>
    </font>
    <font>
      <b/>
      <sz val="10"/>
      <color rgb="FFFF0000"/>
      <name val="Gill Sans MT"/>
      <family val="2"/>
    </font>
    <font>
      <sz val="11"/>
      <name val="CG Omega"/>
    </font>
    <font>
      <i/>
      <sz val="10"/>
      <color theme="6" tint="-0.499984740745262"/>
      <name val="Verdana"/>
      <family val="2"/>
    </font>
    <font>
      <i/>
      <sz val="10"/>
      <color theme="1"/>
      <name val="Verdana"/>
      <family val="2"/>
    </font>
  </fonts>
  <fills count="84">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CCCCFF"/>
        <bgColor indexed="64"/>
      </patternFill>
    </fill>
    <fill>
      <patternFill patternType="solid">
        <fgColor indexed="22"/>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5E1FF"/>
        <bgColor indexed="64"/>
      </patternFill>
    </fill>
    <fill>
      <patternFill patternType="solid">
        <fgColor indexed="35"/>
      </patternFill>
    </fill>
    <fill>
      <patternFill patternType="solid">
        <fgColor indexed="47"/>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0"/>
      </patternFill>
    </fill>
    <fill>
      <patternFill patternType="solid">
        <fgColor indexed="58"/>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s>
  <cellStyleXfs count="1490">
    <xf numFmtId="0" fontId="0" fillId="0" borderId="0"/>
    <xf numFmtId="0" fontId="2" fillId="0" borderId="0"/>
    <xf numFmtId="0" fontId="3" fillId="0" borderId="0"/>
    <xf numFmtId="0" fontId="2" fillId="0" borderId="0"/>
    <xf numFmtId="169" fontId="2" fillId="0" borderId="0" applyFont="0" applyFill="0" applyBorder="0" applyAlignment="0" applyProtection="0"/>
    <xf numFmtId="0" fontId="3" fillId="0" borderId="0"/>
    <xf numFmtId="0" fontId="3" fillId="0" borderId="0"/>
    <xf numFmtId="0" fontId="3" fillId="0" borderId="0"/>
    <xf numFmtId="0" fontId="3" fillId="0" borderId="0"/>
    <xf numFmtId="0" fontId="24"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0"/>
    <xf numFmtId="0" fontId="28" fillId="0" borderId="0"/>
    <xf numFmtId="9" fontId="29" fillId="0" borderId="0" applyFont="0" applyFill="0" applyBorder="0" applyAlignment="0" applyProtection="0"/>
    <xf numFmtId="4" fontId="30" fillId="17" borderId="8" applyNumberFormat="0" applyProtection="0">
      <alignment vertical="center"/>
    </xf>
    <xf numFmtId="4" fontId="31" fillId="17" borderId="8" applyNumberFormat="0" applyProtection="0">
      <alignment vertical="center"/>
    </xf>
    <xf numFmtId="4" fontId="30" fillId="17" borderId="8" applyNumberFormat="0" applyProtection="0">
      <alignment horizontal="left" vertical="center" indent="1"/>
    </xf>
    <xf numFmtId="0" fontId="30" fillId="17" borderId="8" applyNumberFormat="0" applyProtection="0">
      <alignment horizontal="left" vertical="top" indent="1"/>
    </xf>
    <xf numFmtId="4" fontId="30" fillId="18" borderId="0" applyNumberFormat="0" applyProtection="0">
      <alignment horizontal="left" vertical="center" indent="1"/>
    </xf>
    <xf numFmtId="4" fontId="32" fillId="19" borderId="8" applyNumberFormat="0" applyProtection="0">
      <alignment horizontal="right" vertical="center"/>
    </xf>
    <xf numFmtId="4" fontId="32" fillId="20" borderId="8" applyNumberFormat="0" applyProtection="0">
      <alignment horizontal="right" vertical="center"/>
    </xf>
    <xf numFmtId="4" fontId="32" fillId="21" borderId="8" applyNumberFormat="0" applyProtection="0">
      <alignment horizontal="right" vertical="center"/>
    </xf>
    <xf numFmtId="4" fontId="32" fillId="22" borderId="8" applyNumberFormat="0" applyProtection="0">
      <alignment horizontal="right" vertical="center"/>
    </xf>
    <xf numFmtId="4" fontId="32" fillId="23" borderId="8" applyNumberFormat="0" applyProtection="0">
      <alignment horizontal="right" vertical="center"/>
    </xf>
    <xf numFmtId="4" fontId="32" fillId="24" borderId="8" applyNumberFormat="0" applyProtection="0">
      <alignment horizontal="right" vertical="center"/>
    </xf>
    <xf numFmtId="4" fontId="32" fillId="25" borderId="8" applyNumberFormat="0" applyProtection="0">
      <alignment horizontal="right" vertical="center"/>
    </xf>
    <xf numFmtId="4" fontId="32" fillId="26" borderId="8" applyNumberFormat="0" applyProtection="0">
      <alignment horizontal="right" vertical="center"/>
    </xf>
    <xf numFmtId="4" fontId="32" fillId="27" borderId="8" applyNumberFormat="0" applyProtection="0">
      <alignment horizontal="right" vertical="center"/>
    </xf>
    <xf numFmtId="4" fontId="30" fillId="28" borderId="9" applyNumberFormat="0" applyProtection="0">
      <alignment horizontal="left" vertical="center" indent="1"/>
    </xf>
    <xf numFmtId="4" fontId="32" fillId="29" borderId="0" applyNumberFormat="0" applyProtection="0">
      <alignment horizontal="left" vertical="center" indent="1"/>
    </xf>
    <xf numFmtId="4" fontId="33" fillId="30" borderId="0" applyNumberFormat="0" applyProtection="0">
      <alignment horizontal="left" vertical="center" indent="1"/>
    </xf>
    <xf numFmtId="4" fontId="32" fillId="18" borderId="8" applyNumberFormat="0" applyProtection="0">
      <alignment horizontal="right" vertical="center"/>
    </xf>
    <xf numFmtId="4" fontId="32" fillId="29" borderId="0" applyNumberFormat="0" applyProtection="0">
      <alignment horizontal="left" vertical="center" indent="1"/>
    </xf>
    <xf numFmtId="4" fontId="32" fillId="18" borderId="0" applyNumberFormat="0" applyProtection="0">
      <alignment horizontal="left" vertical="center" indent="1"/>
    </xf>
    <xf numFmtId="0" fontId="2" fillId="30" borderId="8" applyNumberFormat="0" applyProtection="0">
      <alignment horizontal="left" vertical="center" indent="1"/>
    </xf>
    <xf numFmtId="0" fontId="2" fillId="30" borderId="8" applyNumberFormat="0" applyProtection="0">
      <alignment horizontal="left" vertical="top" indent="1"/>
    </xf>
    <xf numFmtId="0" fontId="2" fillId="18" borderId="8" applyNumberFormat="0" applyProtection="0">
      <alignment horizontal="left" vertical="center" indent="1"/>
    </xf>
    <xf numFmtId="0" fontId="2" fillId="18" borderId="8" applyNumberFormat="0" applyProtection="0">
      <alignment horizontal="left" vertical="top" indent="1"/>
    </xf>
    <xf numFmtId="0" fontId="2" fillId="31" borderId="8" applyNumberFormat="0" applyProtection="0">
      <alignment horizontal="left" vertical="center" indent="1"/>
    </xf>
    <xf numFmtId="0" fontId="2" fillId="31" borderId="8" applyNumberFormat="0" applyProtection="0">
      <alignment horizontal="left" vertical="top" indent="1"/>
    </xf>
    <xf numFmtId="0" fontId="2" fillId="29" borderId="8" applyNumberFormat="0" applyProtection="0">
      <alignment horizontal="left" vertical="center" indent="1"/>
    </xf>
    <xf numFmtId="0" fontId="2" fillId="29" borderId="8" applyNumberFormat="0" applyProtection="0">
      <alignment horizontal="left" vertical="top" indent="1"/>
    </xf>
    <xf numFmtId="0" fontId="2" fillId="32" borderId="1" applyNumberFormat="0">
      <protection locked="0"/>
    </xf>
    <xf numFmtId="4" fontId="32" fillId="33" borderId="8" applyNumberFormat="0" applyProtection="0">
      <alignment vertical="center"/>
    </xf>
    <xf numFmtId="4" fontId="34" fillId="33" borderId="8" applyNumberFormat="0" applyProtection="0">
      <alignment vertical="center"/>
    </xf>
    <xf numFmtId="4" fontId="32" fillId="33" borderId="8" applyNumberFormat="0" applyProtection="0">
      <alignment horizontal="left" vertical="center" indent="1"/>
    </xf>
    <xf numFmtId="0" fontId="32" fillId="33" borderId="8" applyNumberFormat="0" applyProtection="0">
      <alignment horizontal="left" vertical="top" indent="1"/>
    </xf>
    <xf numFmtId="4" fontId="32" fillId="29" borderId="8" applyNumberFormat="0" applyProtection="0">
      <alignment horizontal="right" vertical="center"/>
    </xf>
    <xf numFmtId="4" fontId="34" fillId="29" borderId="8" applyNumberFormat="0" applyProtection="0">
      <alignment horizontal="right" vertical="center"/>
    </xf>
    <xf numFmtId="4" fontId="32" fillId="18" borderId="8" applyNumberFormat="0" applyProtection="0">
      <alignment horizontal="left" vertical="center" indent="1"/>
    </xf>
    <xf numFmtId="0" fontId="32" fillId="18" borderId="8" applyNumberFormat="0" applyProtection="0">
      <alignment horizontal="left" vertical="top" indent="1"/>
    </xf>
    <xf numFmtId="4" fontId="35" fillId="34" borderId="0" applyNumberFormat="0" applyProtection="0">
      <alignment horizontal="left" vertical="center" indent="1"/>
    </xf>
    <xf numFmtId="4" fontId="36" fillId="29" borderId="8" applyNumberFormat="0" applyProtection="0">
      <alignment horizontal="right" vertical="center"/>
    </xf>
    <xf numFmtId="0" fontId="37" fillId="0" borderId="0" applyNumberFormat="0" applyFill="0" applyBorder="0" applyAlignment="0" applyProtection="0"/>
    <xf numFmtId="0" fontId="2" fillId="0" borderId="0"/>
    <xf numFmtId="0" fontId="2" fillId="0" borderId="0"/>
    <xf numFmtId="9" fontId="47" fillId="0" borderId="0" applyFont="0" applyFill="0" applyBorder="0" applyAlignment="0" applyProtection="0"/>
    <xf numFmtId="9" fontId="54" fillId="0" borderId="0" applyFont="0" applyFill="0" applyBorder="0" applyAlignment="0" applyProtection="0"/>
    <xf numFmtId="0" fontId="77" fillId="47" borderId="0" applyNumberFormat="0" applyBorder="0" applyAlignment="0" applyProtection="0"/>
    <xf numFmtId="0" fontId="78" fillId="49" borderId="14" applyNumberFormat="0" applyAlignment="0" applyProtection="0"/>
    <xf numFmtId="0" fontId="79" fillId="46" borderId="0" applyNumberFormat="0" applyBorder="0" applyAlignment="0" applyProtection="0"/>
    <xf numFmtId="0" fontId="80" fillId="48" borderId="0" applyNumberFormat="0" applyBorder="0" applyAlignment="0" applyProtection="0"/>
    <xf numFmtId="187" fontId="95" fillId="0" borderId="0" applyFill="0" applyBorder="0">
      <alignment vertical="center"/>
    </xf>
    <xf numFmtId="187" fontId="96" fillId="54" borderId="0"/>
    <xf numFmtId="187" fontId="93" fillId="53" borderId="0"/>
    <xf numFmtId="187" fontId="94" fillId="52" borderId="0"/>
    <xf numFmtId="187" fontId="94" fillId="55" borderId="0" applyBorder="0">
      <alignment vertical="center"/>
    </xf>
    <xf numFmtId="10" fontId="93" fillId="0" borderId="0" applyFont="0" applyFill="0" applyBorder="0" applyAlignment="0" applyProtection="0">
      <alignment vertical="center"/>
    </xf>
    <xf numFmtId="0" fontId="54" fillId="0" borderId="0"/>
    <xf numFmtId="167" fontId="54" fillId="0" borderId="0" applyFont="0" applyFill="0" applyBorder="0" applyAlignment="0" applyProtection="0"/>
    <xf numFmtId="0" fontId="54" fillId="0" borderId="0"/>
    <xf numFmtId="9" fontId="54" fillId="0" borderId="0" applyFont="0" applyFill="0" applyBorder="0" applyAlignment="0" applyProtection="0"/>
    <xf numFmtId="167" fontId="97" fillId="0" borderId="0" applyFont="0" applyFill="0" applyBorder="0" applyAlignment="0" applyProtection="0"/>
    <xf numFmtId="0" fontId="54" fillId="0" borderId="0"/>
    <xf numFmtId="0" fontId="3" fillId="0" borderId="0"/>
    <xf numFmtId="0" fontId="2" fillId="0" borderId="0"/>
    <xf numFmtId="0" fontId="2" fillId="0" borderId="0"/>
    <xf numFmtId="188" fontId="54" fillId="44" borderId="1">
      <alignment vertical="center"/>
    </xf>
    <xf numFmtId="0" fontId="3" fillId="0" borderId="0"/>
    <xf numFmtId="0" fontId="92" fillId="0" borderId="0" applyNumberFormat="0" applyFill="0" applyBorder="0" applyAlignment="0" applyProtection="0">
      <alignment vertical="top"/>
      <protection locked="0"/>
    </xf>
    <xf numFmtId="189" fontId="98" fillId="0" borderId="0"/>
    <xf numFmtId="189" fontId="54" fillId="0" borderId="0"/>
    <xf numFmtId="189" fontId="97" fillId="0" borderId="0"/>
    <xf numFmtId="9" fontId="97" fillId="0" borderId="0" applyFont="0" applyFill="0" applyBorder="0" applyAlignment="0" applyProtection="0"/>
    <xf numFmtId="189" fontId="2" fillId="0" borderId="0"/>
    <xf numFmtId="189" fontId="2" fillId="0" borderId="0"/>
    <xf numFmtId="189" fontId="3" fillId="0" borderId="0"/>
    <xf numFmtId="189" fontId="2" fillId="0" borderId="0"/>
    <xf numFmtId="189" fontId="3" fillId="0" borderId="0"/>
    <xf numFmtId="189" fontId="3"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3" fillId="0" borderId="0"/>
    <xf numFmtId="189" fontId="3" fillId="0" borderId="0"/>
    <xf numFmtId="189" fontId="3" fillId="0" borderId="0"/>
    <xf numFmtId="189" fontId="2" fillId="0" borderId="0"/>
    <xf numFmtId="189" fontId="3" fillId="0" borderId="0"/>
    <xf numFmtId="189" fontId="2" fillId="0" borderId="0"/>
    <xf numFmtId="189" fontId="3" fillId="0" borderId="0"/>
    <xf numFmtId="189" fontId="3" fillId="0" borderId="0"/>
    <xf numFmtId="189" fontId="3"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99" fillId="0" borderId="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99" fillId="0" borderId="0"/>
    <xf numFmtId="189" fontId="2" fillId="0" borderId="0" applyFont="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alignment vertical="center"/>
    </xf>
    <xf numFmtId="189" fontId="3" fillId="0" borderId="0"/>
    <xf numFmtId="189" fontId="3" fillId="0" borderId="0"/>
    <xf numFmtId="189" fontId="3" fillId="0" borderId="0"/>
    <xf numFmtId="189" fontId="3" fillId="0" borderId="0"/>
    <xf numFmtId="189" fontId="3" fillId="0" borderId="0"/>
    <xf numFmtId="189" fontId="3" fillId="0" borderId="0"/>
    <xf numFmtId="189" fontId="2" fillId="0" borderId="0">
      <alignment vertical="center"/>
    </xf>
    <xf numFmtId="189" fontId="2" fillId="0" borderId="0">
      <alignment vertical="center"/>
    </xf>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3" fillId="0" borderId="0"/>
    <xf numFmtId="189" fontId="3" fillId="0" borderId="0"/>
    <xf numFmtId="189" fontId="3" fillId="0" borderId="0"/>
    <xf numFmtId="189" fontId="2" fillId="0" borderId="0"/>
    <xf numFmtId="189" fontId="2" fillId="0" borderId="0"/>
    <xf numFmtId="189" fontId="2" fillId="0" borderId="0"/>
    <xf numFmtId="189" fontId="2" fillId="0" borderId="0"/>
    <xf numFmtId="189" fontId="2" fillId="0" borderId="0"/>
    <xf numFmtId="189" fontId="3" fillId="0" borderId="0"/>
    <xf numFmtId="189" fontId="3" fillId="0" borderId="0">
      <alignment vertical="justify"/>
    </xf>
    <xf numFmtId="189" fontId="32" fillId="29" borderId="0" applyNumberFormat="0" applyBorder="0" applyAlignment="0" applyProtection="0"/>
    <xf numFmtId="189" fontId="32" fillId="29" borderId="0" applyNumberFormat="0" applyBorder="0" applyAlignment="0" applyProtection="0"/>
    <xf numFmtId="189" fontId="32" fillId="18" borderId="0" applyNumberFormat="0" applyBorder="0" applyAlignment="0" applyProtection="0"/>
    <xf numFmtId="189" fontId="32" fillId="18" borderId="0" applyNumberFormat="0" applyBorder="0" applyAlignment="0" applyProtection="0"/>
    <xf numFmtId="189" fontId="32" fillId="26" borderId="0" applyNumberFormat="0" applyBorder="0" applyAlignment="0" applyProtection="0"/>
    <xf numFmtId="189" fontId="32" fillId="26" borderId="0" applyNumberFormat="0" applyBorder="0" applyAlignment="0" applyProtection="0"/>
    <xf numFmtId="189" fontId="32" fillId="56" borderId="0" applyNumberFormat="0" applyBorder="0" applyAlignment="0" applyProtection="0"/>
    <xf numFmtId="189" fontId="32" fillId="56" borderId="0" applyNumberFormat="0" applyBorder="0" applyAlignment="0" applyProtection="0"/>
    <xf numFmtId="189" fontId="32" fillId="29" borderId="0" applyNumberFormat="0" applyBorder="0" applyAlignment="0" applyProtection="0"/>
    <xf numFmtId="189" fontId="32" fillId="29" borderId="0" applyNumberFormat="0" applyBorder="0" applyAlignment="0" applyProtection="0"/>
    <xf numFmtId="189" fontId="32" fillId="57" borderId="0" applyNumberFormat="0" applyBorder="0" applyAlignment="0" applyProtection="0"/>
    <xf numFmtId="189" fontId="32" fillId="57" borderId="0" applyNumberFormat="0" applyBorder="0" applyAlignment="0" applyProtection="0"/>
    <xf numFmtId="189" fontId="32" fillId="51" borderId="0" applyNumberFormat="0" applyBorder="0" applyAlignment="0" applyProtection="0"/>
    <xf numFmtId="189" fontId="32" fillId="51" borderId="0" applyNumberFormat="0" applyBorder="0" applyAlignment="0" applyProtection="0"/>
    <xf numFmtId="189" fontId="32" fillId="18" borderId="0" applyNumberFormat="0" applyBorder="0" applyAlignment="0" applyProtection="0"/>
    <xf numFmtId="189" fontId="32" fillId="18" borderId="0" applyNumberFormat="0" applyBorder="0" applyAlignment="0" applyProtection="0"/>
    <xf numFmtId="189" fontId="32" fillId="25" borderId="0" applyNumberFormat="0" applyBorder="0" applyAlignment="0" applyProtection="0"/>
    <xf numFmtId="189" fontId="32" fillId="25" borderId="0" applyNumberFormat="0" applyBorder="0" applyAlignment="0" applyProtection="0"/>
    <xf numFmtId="189" fontId="32" fillId="58" borderId="0" applyNumberFormat="0" applyBorder="0" applyAlignment="0" applyProtection="0"/>
    <xf numFmtId="189" fontId="32" fillId="58" borderId="0" applyNumberFormat="0" applyBorder="0" applyAlignment="0" applyProtection="0"/>
    <xf numFmtId="189" fontId="32" fillId="30" borderId="0" applyNumberFormat="0" applyBorder="0" applyAlignment="0" applyProtection="0"/>
    <xf numFmtId="189" fontId="32" fillId="30" borderId="0" applyNumberFormat="0" applyBorder="0" applyAlignment="0" applyProtection="0"/>
    <xf numFmtId="189" fontId="32" fillId="57" borderId="0" applyNumberFormat="0" applyBorder="0" applyAlignment="0" applyProtection="0"/>
    <xf numFmtId="189" fontId="32" fillId="57" borderId="0" applyNumberFormat="0" applyBorder="0" applyAlignment="0" applyProtection="0"/>
    <xf numFmtId="189" fontId="100" fillId="59" borderId="0" applyNumberFormat="0" applyBorder="0" applyAlignment="0" applyProtection="0"/>
    <xf numFmtId="189" fontId="100" fillId="59" borderId="0" applyNumberFormat="0" applyBorder="0" applyAlignment="0" applyProtection="0"/>
    <xf numFmtId="189" fontId="100" fillId="18" borderId="0" applyNumberFormat="0" applyBorder="0" applyAlignment="0" applyProtection="0"/>
    <xf numFmtId="189" fontId="100" fillId="18" borderId="0" applyNumberFormat="0" applyBorder="0" applyAlignment="0" applyProtection="0"/>
    <xf numFmtId="189" fontId="100" fillId="25" borderId="0" applyNumberFormat="0" applyBorder="0" applyAlignment="0" applyProtection="0"/>
    <xf numFmtId="189" fontId="100" fillId="25" borderId="0" applyNumberFormat="0" applyBorder="0" applyAlignment="0" applyProtection="0"/>
    <xf numFmtId="189" fontId="100" fillId="58" borderId="0" applyNumberFormat="0" applyBorder="0" applyAlignment="0" applyProtection="0"/>
    <xf numFmtId="189" fontId="100" fillId="58" borderId="0" applyNumberFormat="0" applyBorder="0" applyAlignment="0" applyProtection="0"/>
    <xf numFmtId="189" fontId="100" fillId="59" borderId="0" applyNumberFormat="0" applyBorder="0" applyAlignment="0" applyProtection="0"/>
    <xf numFmtId="189" fontId="100" fillId="59" borderId="0" applyNumberFormat="0" applyBorder="0" applyAlignment="0" applyProtection="0"/>
    <xf numFmtId="189" fontId="100" fillId="22" borderId="0" applyNumberFormat="0" applyBorder="0" applyAlignment="0" applyProtection="0"/>
    <xf numFmtId="189" fontId="100" fillId="22" borderId="0" applyNumberFormat="0" applyBorder="0" applyAlignment="0" applyProtection="0"/>
    <xf numFmtId="189" fontId="24" fillId="60" borderId="0" applyNumberFormat="0" applyBorder="0" applyAlignment="0" applyProtection="0"/>
    <xf numFmtId="189" fontId="24" fillId="11" borderId="0" applyNumberFormat="0" applyBorder="0" applyAlignment="0" applyProtection="0"/>
    <xf numFmtId="189" fontId="25" fillId="61" borderId="0" applyNumberFormat="0" applyBorder="0" applyAlignment="0" applyProtection="0"/>
    <xf numFmtId="189" fontId="25" fillId="62" borderId="0" applyNumberFormat="0" applyBorder="0" applyAlignment="0" applyProtection="0"/>
    <xf numFmtId="189" fontId="25" fillId="62" borderId="0" applyNumberFormat="0" applyBorder="0" applyAlignment="0" applyProtection="0"/>
    <xf numFmtId="189" fontId="24" fillId="63" borderId="0" applyNumberFormat="0" applyBorder="0" applyAlignment="0" applyProtection="0"/>
    <xf numFmtId="189" fontId="24" fillId="10" borderId="0" applyNumberFormat="0" applyBorder="0" applyAlignment="0" applyProtection="0"/>
    <xf numFmtId="189" fontId="25" fillId="7" borderId="0" applyNumberFormat="0" applyBorder="0" applyAlignment="0" applyProtection="0"/>
    <xf numFmtId="189" fontId="25" fillId="64" borderId="0" applyNumberFormat="0" applyBorder="0" applyAlignment="0" applyProtection="0"/>
    <xf numFmtId="189" fontId="25" fillId="64" borderId="0" applyNumberFormat="0" applyBorder="0" applyAlignment="0" applyProtection="0"/>
    <xf numFmtId="189" fontId="24" fillId="65" borderId="0" applyNumberFormat="0" applyBorder="0" applyAlignment="0" applyProtection="0"/>
    <xf numFmtId="189" fontId="24" fillId="66" borderId="0" applyNumberFormat="0" applyBorder="0" applyAlignment="0" applyProtection="0"/>
    <xf numFmtId="189" fontId="25" fillId="67" borderId="0" applyNumberFormat="0" applyBorder="0" applyAlignment="0" applyProtection="0"/>
    <xf numFmtId="189" fontId="25" fillId="68" borderId="0" applyNumberFormat="0" applyBorder="0" applyAlignment="0" applyProtection="0"/>
    <xf numFmtId="189" fontId="25" fillId="68" borderId="0" applyNumberFormat="0" applyBorder="0" applyAlignment="0" applyProtection="0"/>
    <xf numFmtId="189" fontId="24" fillId="63" borderId="0" applyNumberFormat="0" applyBorder="0" applyAlignment="0" applyProtection="0"/>
    <xf numFmtId="189" fontId="24" fillId="8" borderId="0" applyNumberFormat="0" applyBorder="0" applyAlignment="0" applyProtection="0"/>
    <xf numFmtId="189" fontId="25" fillId="10" borderId="0" applyNumberFormat="0" applyBorder="0" applyAlignment="0" applyProtection="0"/>
    <xf numFmtId="189" fontId="25" fillId="69" borderId="0" applyNumberFormat="0" applyBorder="0" applyAlignment="0" applyProtection="0"/>
    <xf numFmtId="189" fontId="25" fillId="69" borderId="0" applyNumberFormat="0" applyBorder="0" applyAlignment="0" applyProtection="0"/>
    <xf numFmtId="189" fontId="24" fillId="9" borderId="0" applyNumberFormat="0" applyBorder="0" applyAlignment="0" applyProtection="0"/>
    <xf numFmtId="189" fontId="24" fillId="4" borderId="0" applyNumberFormat="0" applyBorder="0" applyAlignment="0" applyProtection="0"/>
    <xf numFmtId="189" fontId="25" fillId="61" borderId="0" applyNumberFormat="0" applyBorder="0" applyAlignment="0" applyProtection="0"/>
    <xf numFmtId="189" fontId="25" fillId="61" borderId="0" applyNumberFormat="0" applyBorder="0" applyAlignment="0" applyProtection="0"/>
    <xf numFmtId="189" fontId="25" fillId="61" borderId="0" applyNumberFormat="0" applyBorder="0" applyAlignment="0" applyProtection="0"/>
    <xf numFmtId="189" fontId="24" fillId="12" borderId="0" applyNumberFormat="0" applyBorder="0" applyAlignment="0" applyProtection="0"/>
    <xf numFmtId="189" fontId="24" fillId="13" borderId="0" applyNumberFormat="0" applyBorder="0" applyAlignment="0" applyProtection="0"/>
    <xf numFmtId="189" fontId="25" fillId="70" borderId="0" applyNumberFormat="0" applyBorder="0" applyAlignment="0" applyProtection="0"/>
    <xf numFmtId="189" fontId="25" fillId="71" borderId="0" applyNumberFormat="0" applyBorder="0" applyAlignment="0" applyProtection="0"/>
    <xf numFmtId="189" fontId="25" fillId="71" borderId="0" applyNumberFormat="0" applyBorder="0" applyAlignment="0" applyProtection="0"/>
    <xf numFmtId="189" fontId="101" fillId="12" borderId="0" applyNumberFormat="0" applyBorder="0" applyAlignment="0" applyProtection="0"/>
    <xf numFmtId="189" fontId="101" fillId="12" borderId="0" applyNumberFormat="0" applyBorder="0" applyAlignment="0" applyProtection="0"/>
    <xf numFmtId="189" fontId="102" fillId="72" borderId="22" applyNumberFormat="0" applyAlignment="0" applyProtection="0"/>
    <xf numFmtId="189" fontId="102" fillId="72" borderId="22" applyNumberFormat="0" applyAlignment="0" applyProtection="0"/>
    <xf numFmtId="189" fontId="103" fillId="69" borderId="23" applyNumberFormat="0" applyAlignment="0" applyProtection="0"/>
    <xf numFmtId="189" fontId="103" fillId="69" borderId="23" applyNumberFormat="0" applyAlignment="0" applyProtection="0"/>
    <xf numFmtId="37" fontId="69" fillId="0" borderId="7">
      <alignment horizontal="center"/>
    </xf>
    <xf numFmtId="37" fontId="69" fillId="0" borderId="0">
      <alignment horizontal="center" vertical="center" wrapText="1"/>
    </xf>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89" fontId="2" fillId="0" borderId="0" applyNumberFormat="0" applyFont="0" applyBorder="0" applyAlignment="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2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5" fontId="3" fillId="0" borderId="0" applyFont="0" applyFill="0" applyBorder="0" applyAlignment="0" applyProtection="0"/>
    <xf numFmtId="167" fontId="2"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3" fillId="0" borderId="0" applyFont="0" applyFill="0" applyBorder="0" applyAlignment="0" applyProtection="0"/>
    <xf numFmtId="167" fontId="3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91" fontId="2" fillId="0" borderId="0" applyFill="0" applyBorder="0"/>
    <xf numFmtId="191" fontId="2" fillId="0" borderId="0" applyFill="0" applyBorder="0"/>
    <xf numFmtId="191" fontId="2" fillId="0" borderId="0" applyFill="0" applyBorder="0"/>
    <xf numFmtId="165" fontId="2" fillId="0" borderId="0" applyFont="0" applyFill="0" applyBorder="0" applyAlignment="0" applyProtection="0"/>
    <xf numFmtId="167" fontId="2" fillId="0" borderId="0" applyFont="0" applyFill="0" applyBorder="0" applyAlignment="0" applyProtection="0"/>
    <xf numFmtId="189" fontId="26" fillId="73" borderId="0" applyNumberFormat="0" applyBorder="0" applyAlignment="0" applyProtection="0"/>
    <xf numFmtId="189" fontId="26" fillId="74" borderId="0" applyNumberFormat="0" applyBorder="0" applyAlignment="0" applyProtection="0"/>
    <xf numFmtId="189" fontId="26" fillId="16" borderId="0" applyNumberFormat="0" applyBorder="0" applyAlignment="0" applyProtection="0"/>
    <xf numFmtId="189" fontId="104" fillId="0" borderId="0" applyFont="0" applyFill="0" applyBorder="0" applyAlignment="0" applyProtection="0"/>
    <xf numFmtId="189" fontId="105" fillId="0" borderId="0" applyNumberFormat="0" applyFill="0" applyBorder="0" applyAlignment="0" applyProtection="0"/>
    <xf numFmtId="189" fontId="105" fillId="0" borderId="0" applyNumberFormat="0" applyFill="0" applyBorder="0" applyAlignment="0" applyProtection="0"/>
    <xf numFmtId="189" fontId="24" fillId="66" borderId="0" applyNumberFormat="0" applyBorder="0" applyAlignment="0" applyProtection="0"/>
    <xf numFmtId="189" fontId="24" fillId="66" borderId="0" applyNumberForma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2" fillId="51" borderId="0" applyNumberFormat="0" applyFont="0" applyBorder="0" applyAlignment="0" applyProtection="0"/>
    <xf numFmtId="189" fontId="106" fillId="0" borderId="24" applyNumberFormat="0" applyFill="0" applyAlignment="0" applyProtection="0"/>
    <xf numFmtId="189" fontId="106" fillId="0" borderId="24" applyNumberFormat="0" applyFill="0" applyAlignment="0" applyProtection="0"/>
    <xf numFmtId="189" fontId="107" fillId="0" borderId="25" applyNumberFormat="0" applyFill="0" applyAlignment="0" applyProtection="0"/>
    <xf numFmtId="189" fontId="107" fillId="0" borderId="25" applyNumberFormat="0" applyFill="0" applyAlignment="0" applyProtection="0"/>
    <xf numFmtId="189" fontId="108" fillId="0" borderId="26" applyNumberFormat="0" applyFill="0" applyAlignment="0" applyProtection="0"/>
    <xf numFmtId="189" fontId="108" fillId="0" borderId="26" applyNumberFormat="0" applyFill="0" applyAlignment="0" applyProtection="0"/>
    <xf numFmtId="189" fontId="108" fillId="0" borderId="0" applyNumberFormat="0" applyFill="0" applyBorder="0" applyAlignment="0" applyProtection="0"/>
    <xf numFmtId="189" fontId="108" fillId="0" borderId="0" applyNumberFormat="0" applyFill="0" applyBorder="0" applyAlignment="0" applyProtection="0"/>
    <xf numFmtId="189" fontId="109" fillId="13" borderId="22" applyNumberFormat="0" applyAlignment="0" applyProtection="0"/>
    <xf numFmtId="189" fontId="109" fillId="13" borderId="22" applyNumberFormat="0" applyAlignment="0" applyProtection="0"/>
    <xf numFmtId="189" fontId="110" fillId="33" borderId="0"/>
    <xf numFmtId="189" fontId="111" fillId="0" borderId="27" applyNumberFormat="0" applyFill="0" applyAlignment="0" applyProtection="0"/>
    <xf numFmtId="189" fontId="111" fillId="0" borderId="27" applyNumberFormat="0" applyFill="0" applyAlignment="0" applyProtection="0"/>
    <xf numFmtId="37" fontId="112" fillId="0" borderId="0"/>
    <xf numFmtId="189" fontId="111" fillId="13" borderId="0" applyNumberFormat="0" applyBorder="0" applyAlignment="0" applyProtection="0"/>
    <xf numFmtId="189" fontId="111" fillId="13" borderId="0" applyNumberFormat="0" applyBorder="0" applyAlignment="0" applyProtection="0"/>
    <xf numFmtId="38" fontId="2" fillId="0" borderId="0" applyFont="0" applyFill="0" applyBorder="0" applyAlignment="0" applyProtection="0"/>
    <xf numFmtId="189" fontId="47" fillId="0" borderId="0"/>
    <xf numFmtId="189" fontId="47" fillId="0" borderId="0"/>
    <xf numFmtId="189" fontId="47" fillId="0" borderId="0"/>
    <xf numFmtId="189" fontId="47" fillId="0" borderId="0"/>
    <xf numFmtId="189" fontId="47" fillId="0" borderId="0"/>
    <xf numFmtId="189" fontId="2" fillId="0" borderId="0"/>
    <xf numFmtId="189" fontId="2" fillId="0" borderId="0"/>
    <xf numFmtId="189" fontId="2" fillId="0" borderId="0"/>
    <xf numFmtId="189" fontId="2" fillId="0" borderId="0"/>
    <xf numFmtId="0" fontId="54" fillId="0" borderId="0"/>
    <xf numFmtId="189" fontId="24" fillId="0" borderId="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4" fillId="0" borderId="0"/>
    <xf numFmtId="189" fontId="24" fillId="0" borderId="0" applyFill="0" applyBorder="0" applyAlignment="0" applyProtection="0"/>
    <xf numFmtId="189" fontId="2"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4" fillId="0" borderId="0" applyFill="0" applyBorder="0" applyAlignment="0" applyProtection="0"/>
    <xf numFmtId="189" fontId="24" fillId="0" borderId="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 fillId="0" borderId="0"/>
    <xf numFmtId="189" fontId="2" fillId="0" borderId="0"/>
    <xf numFmtId="189" fontId="2" fillId="0" borderId="0"/>
    <xf numFmtId="189" fontId="2" fillId="0" borderId="0"/>
    <xf numFmtId="189" fontId="2" fillId="0" borderId="0"/>
    <xf numFmtId="189" fontId="2" fillId="0" borderId="0"/>
    <xf numFmtId="189" fontId="2"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 fillId="0" borderId="0"/>
    <xf numFmtId="189" fontId="2" fillId="0" borderId="0"/>
    <xf numFmtId="189" fontId="2" fillId="0" borderId="0"/>
    <xf numFmtId="189" fontId="2"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97" fillId="0" borderId="0"/>
    <xf numFmtId="189" fontId="2" fillId="0" borderId="0"/>
    <xf numFmtId="189" fontId="2" fillId="0" borderId="0"/>
    <xf numFmtId="189" fontId="2" fillId="0" borderId="0"/>
    <xf numFmtId="189" fontId="2"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97" fillId="0" borderId="0"/>
    <xf numFmtId="189" fontId="97" fillId="0" borderId="0"/>
    <xf numFmtId="189" fontId="97" fillId="0" borderId="0"/>
    <xf numFmtId="189" fontId="97" fillId="0" borderId="0"/>
    <xf numFmtId="189" fontId="97" fillId="0" borderId="0"/>
    <xf numFmtId="189" fontId="97"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97" fillId="0" borderId="0"/>
    <xf numFmtId="189" fontId="97"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 fillId="0" borderId="0"/>
    <xf numFmtId="189" fontId="24" fillId="0" borderId="0" applyFill="0" applyBorder="0" applyAlignment="0" applyProtection="0"/>
    <xf numFmtId="189" fontId="47" fillId="0" borderId="0"/>
    <xf numFmtId="189" fontId="47"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xf numFmtId="189" fontId="24" fillId="0" borderId="0"/>
    <xf numFmtId="189" fontId="24" fillId="0" borderId="0"/>
    <xf numFmtId="189" fontId="24" fillId="0" borderId="0"/>
    <xf numFmtId="189" fontId="24" fillId="0" borderId="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applyFill="0" applyBorder="0" applyAlignment="0" applyProtection="0"/>
    <xf numFmtId="189" fontId="24" fillId="0" borderId="0" applyFill="0" applyBorder="0" applyAlignment="0" applyProtection="0"/>
    <xf numFmtId="189" fontId="24" fillId="0" borderId="0"/>
    <xf numFmtId="189" fontId="24" fillId="0" borderId="0"/>
    <xf numFmtId="189" fontId="3" fillId="0" borderId="0">
      <alignment vertical="top"/>
    </xf>
    <xf numFmtId="189" fontId="3" fillId="0" borderId="0">
      <alignment vertical="top"/>
    </xf>
    <xf numFmtId="189" fontId="113" fillId="0" borderId="0" applyFill="0" applyBorder="0">
      <protection locked="0"/>
    </xf>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4" fillId="12" borderId="22" applyNumberFormat="0" applyFont="0" applyAlignment="0" applyProtection="0"/>
    <xf numFmtId="189" fontId="115" fillId="72" borderId="28" applyNumberFormat="0" applyAlignment="0" applyProtection="0"/>
    <xf numFmtId="189" fontId="115" fillId="72" borderId="2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92" fontId="47" fillId="75" borderId="1">
      <alignment vertical="center"/>
    </xf>
    <xf numFmtId="173" fontId="47" fillId="75" borderId="1">
      <alignment vertical="center"/>
    </xf>
    <xf numFmtId="173" fontId="47" fillId="75" borderId="1">
      <alignment vertical="center"/>
    </xf>
    <xf numFmtId="189" fontId="47" fillId="75" borderId="1">
      <alignment vertical="center"/>
    </xf>
    <xf numFmtId="189" fontId="47" fillId="75" borderId="1">
      <alignment vertical="center"/>
    </xf>
    <xf numFmtId="189" fontId="47" fillId="75" borderId="1">
      <alignment vertical="center"/>
    </xf>
    <xf numFmtId="189" fontId="47" fillId="75" borderId="1">
      <alignment vertical="center"/>
    </xf>
    <xf numFmtId="188" fontId="47" fillId="75" borderId="1">
      <alignment vertical="center"/>
    </xf>
    <xf numFmtId="188" fontId="47" fillId="75" borderId="1">
      <alignment vertical="center"/>
    </xf>
    <xf numFmtId="192" fontId="47" fillId="75" borderId="1">
      <alignment vertical="center"/>
    </xf>
    <xf numFmtId="189" fontId="116" fillId="0" borderId="0"/>
    <xf numFmtId="193" fontId="47" fillId="0" borderId="0">
      <protection locked="0"/>
    </xf>
    <xf numFmtId="193" fontId="47" fillId="0" borderId="0">
      <protection locked="0"/>
    </xf>
    <xf numFmtId="173" fontId="47" fillId="37" borderId="1">
      <alignment vertical="center"/>
      <protection locked="0"/>
    </xf>
    <xf numFmtId="194" fontId="47" fillId="37" borderId="1">
      <alignment vertical="center"/>
      <protection locked="0"/>
    </xf>
    <xf numFmtId="189" fontId="47" fillId="37" borderId="1">
      <alignment vertical="center"/>
      <protection locked="0"/>
    </xf>
    <xf numFmtId="189" fontId="47" fillId="37" borderId="1">
      <alignment vertical="center"/>
      <protection locked="0"/>
    </xf>
    <xf numFmtId="194" fontId="47" fillId="37" borderId="1">
      <alignment vertical="center"/>
      <protection locked="0"/>
    </xf>
    <xf numFmtId="194" fontId="47" fillId="37" borderId="1">
      <alignment vertical="center"/>
      <protection locked="0"/>
    </xf>
    <xf numFmtId="189" fontId="47" fillId="37" borderId="1">
      <alignment vertical="center"/>
      <protection locked="0"/>
    </xf>
    <xf numFmtId="189" fontId="47" fillId="37" borderId="1">
      <alignment vertical="center"/>
      <protection locked="0"/>
    </xf>
    <xf numFmtId="194" fontId="47" fillId="37" borderId="1">
      <alignment vertical="center"/>
      <protection locked="0"/>
    </xf>
    <xf numFmtId="173" fontId="47" fillId="37" borderId="1">
      <alignment vertical="center"/>
      <protection locked="0"/>
    </xf>
    <xf numFmtId="173" fontId="47" fillId="37" borderId="1">
      <alignment vertical="center"/>
      <protection locked="0"/>
    </xf>
    <xf numFmtId="175" fontId="47" fillId="37" borderId="1">
      <alignment vertical="center"/>
      <protection locked="0"/>
    </xf>
    <xf numFmtId="175" fontId="47" fillId="37" borderId="1">
      <alignment vertical="center"/>
      <protection locked="0"/>
    </xf>
    <xf numFmtId="175" fontId="47" fillId="37" borderId="1">
      <alignment vertical="center"/>
      <protection locked="0"/>
    </xf>
    <xf numFmtId="175" fontId="47" fillId="37" borderId="1">
      <alignment vertical="center"/>
      <protection locked="0"/>
    </xf>
    <xf numFmtId="173" fontId="47" fillId="37" borderId="1">
      <alignment vertical="center"/>
      <protection locked="0"/>
    </xf>
    <xf numFmtId="173" fontId="47" fillId="35" borderId="1">
      <alignment vertical="center"/>
    </xf>
    <xf numFmtId="173" fontId="47" fillId="35" borderId="1">
      <alignment vertical="center"/>
    </xf>
    <xf numFmtId="194" fontId="47" fillId="35" borderId="1">
      <alignment vertical="center"/>
    </xf>
    <xf numFmtId="194" fontId="47" fillId="35" borderId="1">
      <alignment vertical="center"/>
    </xf>
    <xf numFmtId="194" fontId="47" fillId="35" borderId="1">
      <alignment vertical="center"/>
    </xf>
    <xf numFmtId="194" fontId="47" fillId="35" borderId="1">
      <alignment vertical="center"/>
    </xf>
    <xf numFmtId="188" fontId="47" fillId="35" borderId="1">
      <alignment vertical="center"/>
    </xf>
    <xf numFmtId="192" fontId="47" fillId="35" borderId="1">
      <alignment vertical="center"/>
    </xf>
    <xf numFmtId="189" fontId="47" fillId="35" borderId="1">
      <alignment vertical="center"/>
    </xf>
    <xf numFmtId="189" fontId="47" fillId="35" borderId="1">
      <alignment vertical="center"/>
    </xf>
    <xf numFmtId="189" fontId="47" fillId="35" borderId="1">
      <alignment vertical="center"/>
    </xf>
    <xf numFmtId="189" fontId="47" fillId="35" borderId="1">
      <alignment vertical="center"/>
    </xf>
    <xf numFmtId="173" fontId="47" fillId="35" borderId="1">
      <alignment vertical="center"/>
    </xf>
    <xf numFmtId="173" fontId="47" fillId="35" borderId="1">
      <alignment vertical="center"/>
    </xf>
    <xf numFmtId="173" fontId="47" fillId="35" borderId="1">
      <alignment vertical="center"/>
    </xf>
    <xf numFmtId="173" fontId="47" fillId="35" borderId="1">
      <alignment vertical="center"/>
    </xf>
    <xf numFmtId="173" fontId="47" fillId="76" borderId="1">
      <alignment horizontal="right" vertical="center"/>
      <protection locked="0"/>
    </xf>
    <xf numFmtId="189" fontId="47" fillId="76" borderId="1">
      <alignment horizontal="right" vertical="center"/>
      <protection locked="0"/>
    </xf>
    <xf numFmtId="189" fontId="47" fillId="76" borderId="1">
      <alignment horizontal="right" vertical="center"/>
      <protection locked="0"/>
    </xf>
    <xf numFmtId="192" fontId="47" fillId="76" borderId="1">
      <alignment horizontal="right" vertical="center"/>
      <protection locked="0"/>
    </xf>
    <xf numFmtId="188" fontId="47" fillId="76" borderId="1">
      <alignment horizontal="right" vertical="center"/>
      <protection locked="0"/>
    </xf>
    <xf numFmtId="192" fontId="47" fillId="76" borderId="1">
      <alignment horizontal="right" vertical="center"/>
      <protection locked="0"/>
    </xf>
    <xf numFmtId="173" fontId="47" fillId="76" borderId="1">
      <alignment horizontal="right" vertical="center"/>
      <protection locked="0"/>
    </xf>
    <xf numFmtId="173" fontId="47" fillId="76" borderId="1">
      <alignment horizontal="right" vertical="center"/>
      <protection locked="0"/>
    </xf>
    <xf numFmtId="173" fontId="47" fillId="76" borderId="1">
      <alignment horizontal="right" vertical="center"/>
      <protection locked="0"/>
    </xf>
    <xf numFmtId="4" fontId="114" fillId="17" borderId="22" applyNumberFormat="0" applyProtection="0">
      <alignment vertical="center"/>
    </xf>
    <xf numFmtId="4" fontId="117" fillId="77" borderId="22" applyNumberFormat="0" applyProtection="0">
      <alignment vertical="center"/>
    </xf>
    <xf numFmtId="4" fontId="114" fillId="77" borderId="22" applyNumberFormat="0" applyProtection="0">
      <alignment horizontal="left" vertical="center" indent="1"/>
    </xf>
    <xf numFmtId="189" fontId="118" fillId="17" borderId="29" applyNumberFormat="0" applyProtection="0">
      <alignment horizontal="left" vertical="top" indent="1"/>
    </xf>
    <xf numFmtId="4" fontId="114" fillId="78" borderId="22" applyNumberFormat="0" applyProtection="0">
      <alignment horizontal="left" vertical="center" indent="1"/>
    </xf>
    <xf numFmtId="4" fontId="114" fillId="19" borderId="22" applyNumberFormat="0" applyProtection="0">
      <alignment horizontal="right" vertical="center"/>
    </xf>
    <xf numFmtId="4" fontId="114" fillId="79" borderId="22" applyNumberFormat="0" applyProtection="0">
      <alignment horizontal="right" vertical="center"/>
    </xf>
    <xf numFmtId="4" fontId="114" fillId="21" borderId="30" applyNumberFormat="0" applyProtection="0">
      <alignment horizontal="right" vertical="center"/>
    </xf>
    <xf numFmtId="4" fontId="114" fillId="22" borderId="22" applyNumberFormat="0" applyProtection="0">
      <alignment horizontal="right" vertical="center"/>
    </xf>
    <xf numFmtId="4" fontId="114" fillId="23" borderId="22" applyNumberFormat="0" applyProtection="0">
      <alignment horizontal="right" vertical="center"/>
    </xf>
    <xf numFmtId="4" fontId="114" fillId="24" borderId="22" applyNumberFormat="0" applyProtection="0">
      <alignment horizontal="right" vertical="center"/>
    </xf>
    <xf numFmtId="4" fontId="114" fillId="25" borderId="22" applyNumberFormat="0" applyProtection="0">
      <alignment horizontal="right" vertical="center"/>
    </xf>
    <xf numFmtId="4" fontId="114" fillId="26" borderId="22" applyNumberFormat="0" applyProtection="0">
      <alignment horizontal="right" vertical="center"/>
    </xf>
    <xf numFmtId="4" fontId="114" fillId="27" borderId="22" applyNumberFormat="0" applyProtection="0">
      <alignment horizontal="right" vertical="center"/>
    </xf>
    <xf numFmtId="4" fontId="114" fillId="28" borderId="30" applyNumberFormat="0" applyProtection="0">
      <alignment horizontal="left" vertical="center" indent="1"/>
    </xf>
    <xf numFmtId="4" fontId="2" fillId="30" borderId="30" applyNumberFormat="0" applyProtection="0">
      <alignment horizontal="left" vertical="center" indent="1"/>
    </xf>
    <xf numFmtId="4" fontId="2" fillId="30" borderId="30" applyNumberFormat="0" applyProtection="0">
      <alignment horizontal="left" vertical="center" indent="1"/>
    </xf>
    <xf numFmtId="4" fontId="114" fillId="18" borderId="22" applyNumberFormat="0" applyProtection="0">
      <alignment horizontal="right" vertical="center"/>
    </xf>
    <xf numFmtId="4" fontId="114" fillId="29" borderId="30" applyNumberFormat="0" applyProtection="0">
      <alignment horizontal="left" vertical="center" indent="1"/>
    </xf>
    <xf numFmtId="4" fontId="32" fillId="29" borderId="0" applyNumberFormat="0" applyProtection="0">
      <alignment horizontal="left" vertical="center" indent="1"/>
    </xf>
    <xf numFmtId="4" fontId="114" fillId="29" borderId="30" applyNumberFormat="0" applyProtection="0">
      <alignment horizontal="left" vertical="center" indent="1"/>
    </xf>
    <xf numFmtId="4" fontId="114" fillId="18" borderId="30" applyNumberFormat="0" applyProtection="0">
      <alignment horizontal="left" vertical="center" indent="1"/>
    </xf>
    <xf numFmtId="4" fontId="32" fillId="18" borderId="0" applyNumberFormat="0" applyProtection="0">
      <alignment horizontal="left" vertical="center" indent="1"/>
    </xf>
    <xf numFmtId="4" fontId="114" fillId="18" borderId="30" applyNumberFormat="0" applyProtection="0">
      <alignment horizontal="left" vertical="center" indent="1"/>
    </xf>
    <xf numFmtId="189" fontId="114" fillId="51" borderId="22" applyNumberFormat="0" applyProtection="0">
      <alignment horizontal="left" vertical="center" indent="1"/>
    </xf>
    <xf numFmtId="189" fontId="2" fillId="30" borderId="29" applyNumberFormat="0" applyProtection="0">
      <alignment horizontal="left" vertical="center" indent="1"/>
    </xf>
    <xf numFmtId="189" fontId="114" fillId="51" borderId="22" applyNumberFormat="0" applyProtection="0">
      <alignment horizontal="left" vertical="center" indent="1"/>
    </xf>
    <xf numFmtId="189" fontId="114" fillId="30" borderId="29" applyNumberFormat="0" applyProtection="0">
      <alignment horizontal="left" vertical="top" indent="1"/>
    </xf>
    <xf numFmtId="189" fontId="2"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30" borderId="29" applyNumberFormat="0" applyProtection="0">
      <alignment horizontal="left" vertical="top" indent="1"/>
    </xf>
    <xf numFmtId="189" fontId="114" fillId="80" borderId="22" applyNumberFormat="0" applyProtection="0">
      <alignment horizontal="left" vertical="center" indent="1"/>
    </xf>
    <xf numFmtId="189" fontId="2" fillId="18" borderId="29" applyNumberFormat="0" applyProtection="0">
      <alignment horizontal="left" vertical="center" indent="1"/>
    </xf>
    <xf numFmtId="189" fontId="114" fillId="80" borderId="22" applyNumberFormat="0" applyProtection="0">
      <alignment horizontal="left" vertical="center" indent="1"/>
    </xf>
    <xf numFmtId="189" fontId="114" fillId="18" borderId="29" applyNumberFormat="0" applyProtection="0">
      <alignment horizontal="left" vertical="top" indent="1"/>
    </xf>
    <xf numFmtId="189" fontId="2"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18" borderId="29" applyNumberFormat="0" applyProtection="0">
      <alignment horizontal="left" vertical="top" indent="1"/>
    </xf>
    <xf numFmtId="189" fontId="114" fillId="31" borderId="22" applyNumberFormat="0" applyProtection="0">
      <alignment horizontal="left" vertical="center" indent="1"/>
    </xf>
    <xf numFmtId="189" fontId="2" fillId="31" borderId="29" applyNumberFormat="0" applyProtection="0">
      <alignment horizontal="left" vertical="center" indent="1"/>
    </xf>
    <xf numFmtId="189" fontId="114" fillId="31" borderId="22" applyNumberFormat="0" applyProtection="0">
      <alignment horizontal="left" vertical="center" indent="1"/>
    </xf>
    <xf numFmtId="189" fontId="114" fillId="31" borderId="29" applyNumberFormat="0" applyProtection="0">
      <alignment horizontal="left" vertical="top" indent="1"/>
    </xf>
    <xf numFmtId="189" fontId="2"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31" borderId="29" applyNumberFormat="0" applyProtection="0">
      <alignment horizontal="left" vertical="top" indent="1"/>
    </xf>
    <xf numFmtId="189" fontId="114" fillId="29" borderId="22" applyNumberFormat="0" applyProtection="0">
      <alignment horizontal="left" vertical="center" indent="1"/>
    </xf>
    <xf numFmtId="189" fontId="2" fillId="29" borderId="29" applyNumberFormat="0" applyProtection="0">
      <alignment horizontal="left" vertical="center" indent="1"/>
    </xf>
    <xf numFmtId="189" fontId="114" fillId="29" borderId="22" applyNumberFormat="0" applyProtection="0">
      <alignment horizontal="left" vertical="center" indent="1"/>
    </xf>
    <xf numFmtId="189" fontId="114" fillId="29" borderId="29" applyNumberFormat="0" applyProtection="0">
      <alignment horizontal="left" vertical="top" indent="1"/>
    </xf>
    <xf numFmtId="189" fontId="2"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29" borderId="29" applyNumberFormat="0" applyProtection="0">
      <alignment horizontal="left" vertical="top" indent="1"/>
    </xf>
    <xf numFmtId="189" fontId="114" fillId="32" borderId="31" applyNumberFormat="0">
      <protection locked="0"/>
    </xf>
    <xf numFmtId="189" fontId="2" fillId="32" borderId="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4" fillId="32" borderId="31" applyNumberFormat="0">
      <protection locked="0"/>
    </xf>
    <xf numFmtId="189" fontId="119" fillId="30" borderId="32" applyBorder="0"/>
    <xf numFmtId="4" fontId="120" fillId="33" borderId="29" applyNumberFormat="0" applyProtection="0">
      <alignment vertical="center"/>
    </xf>
    <xf numFmtId="4" fontId="117" fillId="37" borderId="1" applyNumberFormat="0" applyProtection="0">
      <alignment vertical="center"/>
    </xf>
    <xf numFmtId="4" fontId="120" fillId="51" borderId="29" applyNumberFormat="0" applyProtection="0">
      <alignment horizontal="left" vertical="center" indent="1"/>
    </xf>
    <xf numFmtId="189" fontId="120" fillId="33" borderId="29" applyNumberFormat="0" applyProtection="0">
      <alignment horizontal="left" vertical="top" indent="1"/>
    </xf>
    <xf numFmtId="4" fontId="114" fillId="0" borderId="22" applyNumberFormat="0" applyProtection="0">
      <alignment horizontal="right" vertical="center"/>
    </xf>
    <xf numFmtId="4" fontId="117" fillId="36" borderId="22" applyNumberFormat="0" applyProtection="0">
      <alignment horizontal="right" vertical="center"/>
    </xf>
    <xf numFmtId="4" fontId="114" fillId="78" borderId="22" applyNumberFormat="0" applyProtection="0">
      <alignment horizontal="left" vertical="center" indent="1"/>
    </xf>
    <xf numFmtId="189" fontId="120" fillId="18" borderId="29" applyNumberFormat="0" applyProtection="0">
      <alignment horizontal="left" vertical="top" indent="1"/>
    </xf>
    <xf numFmtId="4" fontId="121" fillId="34" borderId="30" applyNumberFormat="0" applyProtection="0">
      <alignment horizontal="left" vertical="center" indent="1"/>
    </xf>
    <xf numFmtId="189" fontId="114" fillId="81" borderId="1"/>
    <xf numFmtId="4" fontId="122" fillId="32" borderId="22" applyNumberFormat="0" applyProtection="0">
      <alignment horizontal="right" vertical="center"/>
    </xf>
    <xf numFmtId="189" fontId="37" fillId="0" borderId="0" applyNumberFormat="0" applyFill="0" applyBorder="0" applyAlignment="0" applyProtection="0"/>
    <xf numFmtId="189" fontId="2" fillId="82" borderId="0"/>
    <xf numFmtId="189" fontId="2" fillId="0" borderId="0" applyFont="0" applyFill="0" applyBorder="0" applyAlignment="0" applyProtection="0"/>
    <xf numFmtId="37" fontId="69" fillId="0" borderId="21" applyNumberFormat="0"/>
    <xf numFmtId="189" fontId="123" fillId="0" borderId="33" applyNumberFormat="0" applyAlignment="0" applyProtection="0"/>
    <xf numFmtId="189" fontId="37" fillId="0" borderId="0" applyNumberFormat="0" applyFill="0" applyBorder="0" applyAlignment="0" applyProtection="0"/>
    <xf numFmtId="189" fontId="37" fillId="0" borderId="0" applyNumberFormat="0" applyFill="0" applyBorder="0" applyAlignment="0" applyProtection="0"/>
    <xf numFmtId="190" fontId="69" fillId="0" borderId="6" applyFill="0"/>
    <xf numFmtId="189" fontId="26" fillId="0" borderId="34" applyNumberFormat="0" applyFill="0" applyAlignment="0" applyProtection="0"/>
    <xf numFmtId="189" fontId="26" fillId="0" borderId="34" applyNumberFormat="0" applyFill="0" applyAlignment="0" applyProtection="0"/>
    <xf numFmtId="37" fontId="69" fillId="0" borderId="10" applyNumberFormat="0" applyFill="0"/>
    <xf numFmtId="164" fontId="2" fillId="0" borderId="0" applyFont="0" applyFill="0" applyBorder="0" applyAlignment="0" applyProtection="0"/>
    <xf numFmtId="166" fontId="2" fillId="0" borderId="0" applyFont="0" applyFill="0" applyBorder="0" applyAlignment="0" applyProtection="0"/>
    <xf numFmtId="189" fontId="124" fillId="0" borderId="0" applyNumberFormat="0" applyFill="0" applyBorder="0" applyAlignment="0" applyProtection="0"/>
    <xf numFmtId="189" fontId="124" fillId="0" borderId="0" applyNumberFormat="0" applyFill="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89" fontId="2" fillId="33" borderId="0" applyNumberFormat="0" applyFont="0" applyBorder="0" applyAlignment="0" applyProtection="0"/>
    <xf numFmtId="10" fontId="93" fillId="0" borderId="0" applyFont="0" applyFill="0" applyBorder="0" applyAlignment="0" applyProtection="0">
      <alignment vertical="center"/>
    </xf>
    <xf numFmtId="0" fontId="54" fillId="0" borderId="0"/>
    <xf numFmtId="0" fontId="3" fillId="0" borderId="0"/>
    <xf numFmtId="167" fontId="54" fillId="0" borderId="0" applyFont="0" applyFill="0" applyBorder="0" applyAlignment="0" applyProtection="0"/>
    <xf numFmtId="167" fontId="97" fillId="0" borderId="0" applyFont="0" applyFill="0" applyBorder="0" applyAlignment="0" applyProtection="0"/>
    <xf numFmtId="0" fontId="3"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167" fontId="3" fillId="0" borderId="0" applyFont="0" applyFill="0" applyBorder="0" applyAlignment="0" applyProtection="0"/>
    <xf numFmtId="167" fontId="3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90" fontId="69" fillId="0" borderId="6" applyFill="0"/>
    <xf numFmtId="187" fontId="125" fillId="50" borderId="0" applyNumberFormat="0" applyBorder="0" applyProtection="0">
      <alignment vertical="center"/>
    </xf>
    <xf numFmtId="195" fontId="54" fillId="0" borderId="0"/>
    <xf numFmtId="0" fontId="54" fillId="0" borderId="0"/>
    <xf numFmtId="195" fontId="47" fillId="0" borderId="0"/>
    <xf numFmtId="0" fontId="126" fillId="0" borderId="0"/>
    <xf numFmtId="0" fontId="54" fillId="0" borderId="0"/>
    <xf numFmtId="0" fontId="3" fillId="0" borderId="0"/>
    <xf numFmtId="0" fontId="3" fillId="0" borderId="0"/>
    <xf numFmtId="195" fontId="3" fillId="0" borderId="0"/>
    <xf numFmtId="195" fontId="47" fillId="0" borderId="0"/>
    <xf numFmtId="195" fontId="3" fillId="0" borderId="0"/>
    <xf numFmtId="195" fontId="54" fillId="0" borderId="0"/>
    <xf numFmtId="0" fontId="92" fillId="0" borderId="0" applyNumberFormat="0" applyFill="0" applyBorder="0" applyAlignment="0" applyProtection="0"/>
    <xf numFmtId="196" fontId="54" fillId="0" borderId="0" applyFont="0" applyFill="0" applyBorder="0" applyProtection="0">
      <alignment vertical="top"/>
    </xf>
    <xf numFmtId="167" fontId="54" fillId="0" borderId="0" applyFont="0" applyFill="0" applyBorder="0" applyAlignment="0" applyProtection="0"/>
  </cellStyleXfs>
  <cellXfs count="441">
    <xf numFmtId="0" fontId="0" fillId="0" borderId="0" xfId="0"/>
    <xf numFmtId="0" fontId="11" fillId="0" borderId="0" xfId="0" applyFont="1"/>
    <xf numFmtId="0" fontId="20" fillId="0" borderId="0" xfId="0" applyFont="1"/>
    <xf numFmtId="0" fontId="9" fillId="0" borderId="0" xfId="31" applyFont="1" applyBorder="1" applyProtection="1">
      <protection locked="0"/>
    </xf>
    <xf numFmtId="0" fontId="41" fillId="36" borderId="0" xfId="0" applyFont="1" applyFill="1" applyProtection="1"/>
    <xf numFmtId="0" fontId="29" fillId="36" borderId="0" xfId="0" applyFont="1" applyFill="1" applyProtection="1"/>
    <xf numFmtId="0" fontId="42" fillId="36" borderId="0" xfId="0" applyFont="1" applyFill="1" applyProtection="1"/>
    <xf numFmtId="0" fontId="29" fillId="36" borderId="0" xfId="0" applyFont="1" applyFill="1" applyAlignment="1" applyProtection="1">
      <alignment horizontal="center"/>
    </xf>
    <xf numFmtId="0" fontId="43" fillId="36" borderId="0" xfId="0" applyFont="1" applyFill="1" applyProtection="1"/>
    <xf numFmtId="0" fontId="29" fillId="0" borderId="0" xfId="0" applyFont="1" applyProtection="1"/>
    <xf numFmtId="0" fontId="29" fillId="36" borderId="0" xfId="0" applyFont="1" applyFill="1" applyBorder="1" applyProtection="1"/>
    <xf numFmtId="0" fontId="44" fillId="36" borderId="0" xfId="0" applyFont="1" applyFill="1" applyBorder="1" applyProtection="1"/>
    <xf numFmtId="0" fontId="44" fillId="36" borderId="0" xfId="0" applyFont="1" applyFill="1" applyBorder="1" applyAlignment="1" applyProtection="1">
      <alignment horizontal="center"/>
    </xf>
    <xf numFmtId="17" fontId="44" fillId="36" borderId="0" xfId="0" quotePrefix="1" applyNumberFormat="1" applyFont="1" applyFill="1" applyBorder="1" applyProtection="1"/>
    <xf numFmtId="0" fontId="29" fillId="36" borderId="0" xfId="0" applyFont="1" applyFill="1" applyBorder="1" applyAlignment="1" applyProtection="1">
      <alignment vertical="center" wrapText="1"/>
    </xf>
    <xf numFmtId="0" fontId="29" fillId="36" borderId="0" xfId="0" applyFont="1" applyFill="1" applyBorder="1" applyAlignment="1" applyProtection="1">
      <alignment horizontal="center"/>
    </xf>
    <xf numFmtId="0" fontId="29" fillId="36" borderId="0" xfId="0" applyFont="1" applyFill="1" applyAlignment="1" applyProtection="1">
      <alignment wrapText="1"/>
    </xf>
    <xf numFmtId="172" fontId="29" fillId="35" borderId="1" xfId="73" applyNumberFormat="1" applyFont="1" applyFill="1" applyBorder="1" applyAlignment="1" applyProtection="1">
      <alignment horizontal="center" vertical="center"/>
    </xf>
    <xf numFmtId="172" fontId="29" fillId="37" borderId="1" xfId="74" applyNumberFormat="1" applyFont="1" applyFill="1" applyBorder="1" applyAlignment="1" applyProtection="1">
      <alignment horizontal="center" vertical="center"/>
    </xf>
    <xf numFmtId="172" fontId="29" fillId="38" borderId="1" xfId="0" applyNumberFormat="1" applyFont="1" applyFill="1" applyBorder="1" applyAlignment="1" applyProtection="1">
      <alignment horizontal="center"/>
    </xf>
    <xf numFmtId="0" fontId="29" fillId="0" borderId="0" xfId="0" applyFont="1" applyAlignment="1" applyProtection="1">
      <alignment horizontal="center"/>
    </xf>
    <xf numFmtId="0" fontId="41" fillId="36" borderId="0" xfId="0" applyFont="1" applyFill="1"/>
    <xf numFmtId="0" fontId="29" fillId="36" borderId="0" xfId="0" applyFont="1" applyFill="1"/>
    <xf numFmtId="0" fontId="42" fillId="36" borderId="0" xfId="0" applyFont="1" applyFill="1"/>
    <xf numFmtId="0" fontId="29" fillId="36" borderId="0" xfId="0" applyFont="1" applyFill="1" applyAlignment="1">
      <alignment horizontal="center"/>
    </xf>
    <xf numFmtId="0" fontId="0" fillId="36" borderId="0" xfId="0" applyFont="1" applyFill="1"/>
    <xf numFmtId="0" fontId="0" fillId="36" borderId="0" xfId="0" applyFont="1" applyFill="1" applyAlignment="1">
      <alignment horizontal="center"/>
    </xf>
    <xf numFmtId="0" fontId="0" fillId="0" borderId="0" xfId="0" applyFont="1"/>
    <xf numFmtId="0" fontId="0" fillId="0" borderId="0" xfId="0" applyFont="1" applyAlignment="1">
      <alignment horizontal="center"/>
    </xf>
    <xf numFmtId="0" fontId="41" fillId="36" borderId="0" xfId="0" applyFont="1" applyFill="1" applyAlignment="1">
      <alignment horizontal="center"/>
    </xf>
    <xf numFmtId="172" fontId="29" fillId="36" borderId="0" xfId="0" applyNumberFormat="1" applyFont="1" applyFill="1" applyBorder="1" applyAlignment="1" applyProtection="1">
      <alignment horizontal="center"/>
    </xf>
    <xf numFmtId="172" fontId="29" fillId="38" borderId="1" xfId="0" applyNumberFormat="1" applyFont="1" applyFill="1" applyBorder="1" applyAlignment="1" applyProtection="1">
      <alignment horizontal="left"/>
    </xf>
    <xf numFmtId="0" fontId="41" fillId="36" borderId="0" xfId="0" applyFont="1" applyFill="1" applyAlignment="1">
      <alignment vertical="top"/>
    </xf>
    <xf numFmtId="0" fontId="29" fillId="36" borderId="0" xfId="0" applyFont="1" applyFill="1" applyAlignment="1" applyProtection="1">
      <alignment vertical="top"/>
    </xf>
    <xf numFmtId="0" fontId="29" fillId="36" borderId="0" xfId="0" applyFont="1" applyFill="1" applyAlignment="1" applyProtection="1">
      <alignment horizontal="center" vertical="top"/>
    </xf>
    <xf numFmtId="0" fontId="43" fillId="36" borderId="0" xfId="0" applyFont="1" applyFill="1" applyAlignment="1" applyProtection="1">
      <alignment vertical="top"/>
    </xf>
    <xf numFmtId="0" fontId="20" fillId="36" borderId="0" xfId="0" applyFont="1" applyFill="1" applyAlignment="1" applyProtection="1">
      <alignment horizontal="center" vertical="top"/>
    </xf>
    <xf numFmtId="0" fontId="0" fillId="36" borderId="0" xfId="0" applyFont="1" applyFill="1" applyAlignment="1" applyProtection="1">
      <alignment vertical="top"/>
    </xf>
    <xf numFmtId="0" fontId="29" fillId="36" borderId="0" xfId="0" applyFont="1" applyFill="1" applyAlignment="1" applyProtection="1">
      <alignment vertical="top" wrapText="1"/>
    </xf>
    <xf numFmtId="0" fontId="29" fillId="39" borderId="0" xfId="0" applyFont="1" applyFill="1" applyAlignment="1" applyProtection="1">
      <alignment vertical="top" wrapText="1"/>
    </xf>
    <xf numFmtId="0" fontId="29" fillId="0" borderId="0" xfId="0" applyFont="1" applyAlignment="1" applyProtection="1">
      <alignment vertical="top" wrapText="1"/>
    </xf>
    <xf numFmtId="0" fontId="4" fillId="36" borderId="0" xfId="0" applyFont="1" applyFill="1" applyAlignment="1" applyProtection="1">
      <alignment vertical="top"/>
    </xf>
    <xf numFmtId="0" fontId="4" fillId="36" borderId="0" xfId="0" applyFont="1" applyFill="1" applyAlignment="1" applyProtection="1">
      <alignment horizontal="center" vertical="top"/>
    </xf>
    <xf numFmtId="0" fontId="0" fillId="36" borderId="0" xfId="0" applyFont="1" applyFill="1" applyAlignment="1" applyProtection="1">
      <alignment horizontal="center" vertical="top"/>
    </xf>
    <xf numFmtId="0" fontId="29" fillId="36" borderId="0" xfId="0" applyFont="1" applyFill="1" applyBorder="1" applyAlignment="1" applyProtection="1">
      <alignment horizontal="center" vertical="top"/>
    </xf>
    <xf numFmtId="0" fontId="0" fillId="36" borderId="0" xfId="0" applyFont="1" applyFill="1" applyBorder="1" applyAlignment="1" applyProtection="1">
      <alignment horizontal="center" vertical="top"/>
    </xf>
    <xf numFmtId="0" fontId="48" fillId="36" borderId="0" xfId="0" applyFont="1" applyFill="1" applyAlignment="1" applyProtection="1">
      <alignment vertical="top"/>
    </xf>
    <xf numFmtId="0" fontId="29" fillId="36" borderId="0" xfId="0" applyFont="1" applyFill="1" applyAlignment="1" applyProtection="1">
      <alignment vertical="center" wrapText="1"/>
    </xf>
    <xf numFmtId="0" fontId="20" fillId="36" borderId="0" xfId="0" applyFont="1" applyFill="1" applyBorder="1" applyAlignment="1" applyProtection="1">
      <alignment horizontal="center" vertical="center" wrapText="1"/>
    </xf>
    <xf numFmtId="173" fontId="29" fillId="37" borderId="1" xfId="74" applyNumberFormat="1" applyFont="1" applyFill="1" applyBorder="1" applyAlignment="1" applyProtection="1">
      <alignment horizontal="center" vertical="center"/>
      <protection locked="0"/>
    </xf>
    <xf numFmtId="0" fontId="29" fillId="0" borderId="0" xfId="0" applyFont="1" applyAlignment="1" applyProtection="1">
      <alignment vertical="center" wrapText="1"/>
    </xf>
    <xf numFmtId="0" fontId="29" fillId="0" borderId="0" xfId="0" applyFont="1" applyAlignment="1" applyProtection="1">
      <alignment horizontal="center" vertical="center" wrapText="1"/>
    </xf>
    <xf numFmtId="0" fontId="50" fillId="36" borderId="0" xfId="0" applyFont="1" applyFill="1"/>
    <xf numFmtId="0" fontId="29" fillId="0" borderId="0" xfId="0" applyFont="1"/>
    <xf numFmtId="0" fontId="2" fillId="0" borderId="0" xfId="0" applyFont="1"/>
    <xf numFmtId="0" fontId="1" fillId="36" borderId="0" xfId="0" applyFont="1" applyFill="1" applyAlignment="1" applyProtection="1">
      <alignment vertical="top"/>
    </xf>
    <xf numFmtId="0" fontId="53" fillId="36" borderId="0" xfId="0" applyFont="1" applyFill="1" applyAlignment="1" applyProtection="1">
      <alignment vertical="top"/>
    </xf>
    <xf numFmtId="0" fontId="0" fillId="36" borderId="0" xfId="0" applyFill="1" applyAlignment="1" applyProtection="1">
      <alignment vertical="top"/>
    </xf>
    <xf numFmtId="172" fontId="55" fillId="40" borderId="1" xfId="0" applyNumberFormat="1" applyFont="1" applyFill="1" applyBorder="1" applyAlignment="1" applyProtection="1">
      <alignment horizontal="center"/>
    </xf>
    <xf numFmtId="0" fontId="0" fillId="36" borderId="0" xfId="0" applyFill="1" applyAlignment="1" applyProtection="1">
      <alignment horizontal="center" vertical="top"/>
    </xf>
    <xf numFmtId="0" fontId="44" fillId="0" borderId="0" xfId="0" applyFont="1"/>
    <xf numFmtId="173" fontId="29" fillId="0" borderId="0" xfId="74" applyNumberFormat="1" applyFont="1" applyFill="1" applyBorder="1" applyAlignment="1" applyProtection="1">
      <alignment horizontal="center" vertical="center"/>
      <protection locked="0"/>
    </xf>
    <xf numFmtId="172" fontId="29" fillId="35" borderId="1" xfId="73" applyNumberFormat="1" applyFont="1" applyFill="1" applyBorder="1" applyAlignment="1" applyProtection="1">
      <alignment horizontal="right" vertical="center"/>
    </xf>
    <xf numFmtId="171" fontId="9" fillId="2" borderId="1" xfId="31" applyNumberFormat="1" applyFont="1" applyFill="1" applyBorder="1" applyAlignment="1" applyProtection="1">
      <alignment horizontal="right" wrapText="1"/>
      <protection locked="0"/>
    </xf>
    <xf numFmtId="175" fontId="29" fillId="43" borderId="0" xfId="76" applyNumberFormat="1" applyFont="1" applyFill="1" applyBorder="1" applyAlignment="1" applyProtection="1">
      <alignment horizontal="center" vertical="top"/>
    </xf>
    <xf numFmtId="0" fontId="65" fillId="43" borderId="0" xfId="0" applyFont="1" applyFill="1"/>
    <xf numFmtId="167" fontId="65" fillId="43" borderId="0" xfId="0" applyNumberFormat="1" applyFont="1" applyFill="1" applyBorder="1"/>
    <xf numFmtId="173" fontId="65" fillId="37" borderId="1" xfId="74" applyNumberFormat="1" applyFont="1" applyFill="1" applyBorder="1" applyAlignment="1" applyProtection="1">
      <alignment horizontal="center" vertical="center"/>
      <protection locked="0"/>
    </xf>
    <xf numFmtId="0" fontId="65" fillId="36" borderId="0" xfId="0" applyFont="1" applyFill="1" applyBorder="1" applyProtection="1"/>
    <xf numFmtId="174" fontId="29" fillId="44" borderId="1" xfId="0" applyNumberFormat="1" applyFont="1" applyFill="1" applyBorder="1" applyAlignment="1" applyProtection="1">
      <alignment horizontal="center" vertical="top"/>
    </xf>
    <xf numFmtId="179" fontId="29" fillId="44" borderId="1" xfId="0" applyNumberFormat="1" applyFont="1" applyFill="1" applyBorder="1" applyAlignment="1" applyProtection="1">
      <alignment horizontal="center" vertical="top"/>
    </xf>
    <xf numFmtId="177" fontId="29" fillId="44" borderId="1" xfId="0" applyNumberFormat="1" applyFont="1" applyFill="1" applyBorder="1" applyAlignment="1" applyProtection="1">
      <alignment horizontal="center" vertical="top"/>
    </xf>
    <xf numFmtId="175" fontId="29" fillId="44" borderId="1" xfId="76" applyNumberFormat="1" applyFont="1" applyFill="1" applyBorder="1" applyAlignment="1" applyProtection="1">
      <alignment horizontal="center" vertical="top"/>
    </xf>
    <xf numFmtId="171" fontId="29" fillId="44" borderId="1" xfId="0" applyNumberFormat="1" applyFont="1" applyFill="1" applyBorder="1" applyAlignment="1" applyProtection="1">
      <alignment horizontal="center" vertical="top"/>
    </xf>
    <xf numFmtId="10" fontId="29" fillId="44" borderId="1" xfId="76" applyNumberFormat="1" applyFont="1" applyFill="1" applyBorder="1" applyAlignment="1" applyProtection="1">
      <alignment horizontal="center" vertical="center"/>
      <protection locked="0"/>
    </xf>
    <xf numFmtId="174" fontId="29" fillId="44" borderId="1" xfId="74" applyNumberFormat="1" applyFont="1" applyFill="1" applyBorder="1" applyAlignment="1" applyProtection="1">
      <alignment horizontal="center" vertical="center"/>
      <protection locked="0"/>
    </xf>
    <xf numFmtId="173" fontId="29" fillId="44" borderId="1" xfId="74" applyNumberFormat="1" applyFont="1" applyFill="1" applyBorder="1" applyAlignment="1" applyProtection="1">
      <alignment horizontal="center" vertical="center"/>
      <protection locked="0"/>
    </xf>
    <xf numFmtId="172" fontId="29" fillId="44" borderId="1" xfId="0" applyNumberFormat="1" applyFont="1" applyFill="1" applyBorder="1" applyAlignment="1" applyProtection="1">
      <alignment horizontal="center"/>
    </xf>
    <xf numFmtId="0" fontId="11" fillId="0" borderId="0" xfId="0" applyFont="1" applyAlignment="1">
      <alignment horizontal="center"/>
    </xf>
    <xf numFmtId="0" fontId="29" fillId="36" borderId="0" xfId="0" applyFont="1" applyFill="1" applyAlignment="1" applyProtection="1">
      <alignment vertical="center" wrapText="1"/>
    </xf>
    <xf numFmtId="0" fontId="68" fillId="0" borderId="0" xfId="0" applyFont="1" applyAlignment="1">
      <alignment horizontal="center"/>
    </xf>
    <xf numFmtId="14" fontId="29" fillId="38" borderId="1" xfId="0" applyNumberFormat="1" applyFont="1" applyFill="1" applyBorder="1" applyAlignment="1" applyProtection="1">
      <alignment horizontal="center"/>
    </xf>
    <xf numFmtId="0" fontId="70" fillId="0" borderId="0" xfId="0" applyFont="1"/>
    <xf numFmtId="0" fontId="71" fillId="0" borderId="0" xfId="0" applyFont="1" applyAlignment="1">
      <alignment horizontal="left"/>
    </xf>
    <xf numFmtId="0" fontId="2" fillId="0" borderId="0" xfId="0" applyFont="1" applyAlignment="1">
      <alignment horizontal="left"/>
    </xf>
    <xf numFmtId="0" fontId="2" fillId="44" borderId="1" xfId="0" applyFont="1" applyFill="1" applyBorder="1"/>
    <xf numFmtId="0" fontId="69" fillId="0" borderId="0" xfId="0" applyFont="1"/>
    <xf numFmtId="0" fontId="2" fillId="0" borderId="0" xfId="0" applyFont="1" applyAlignment="1">
      <alignment horizontal="center"/>
    </xf>
    <xf numFmtId="171" fontId="29" fillId="44" borderId="1" xfId="76" applyNumberFormat="1" applyFont="1" applyFill="1" applyBorder="1" applyAlignment="1" applyProtection="1">
      <alignment horizontal="center" vertical="top"/>
    </xf>
    <xf numFmtId="167" fontId="29" fillId="44" borderId="1" xfId="0" applyNumberFormat="1" applyFont="1" applyFill="1" applyBorder="1"/>
    <xf numFmtId="0" fontId="29" fillId="43" borderId="0" xfId="0" applyFont="1" applyFill="1" applyAlignment="1" applyProtection="1">
      <alignment vertical="center" wrapText="1"/>
    </xf>
    <xf numFmtId="173" fontId="29" fillId="43" borderId="0" xfId="74" applyNumberFormat="1" applyFont="1" applyFill="1" applyBorder="1" applyAlignment="1" applyProtection="1">
      <alignment horizontal="center" vertical="center"/>
      <protection locked="0"/>
    </xf>
    <xf numFmtId="171" fontId="29" fillId="43" borderId="0" xfId="76" applyNumberFormat="1" applyFont="1" applyFill="1" applyBorder="1" applyAlignment="1" applyProtection="1">
      <alignment horizontal="center" vertical="top"/>
    </xf>
    <xf numFmtId="0" fontId="41" fillId="36" borderId="0" xfId="0" applyFont="1" applyFill="1" applyAlignment="1" applyProtection="1">
      <alignment vertical="center"/>
      <protection locked="0"/>
    </xf>
    <xf numFmtId="0" fontId="49" fillId="36" borderId="0" xfId="0" applyFont="1" applyFill="1" applyBorder="1" applyAlignment="1" applyProtection="1">
      <alignment horizontal="left" vertical="center"/>
      <protection locked="0"/>
    </xf>
    <xf numFmtId="0" fontId="29" fillId="36" borderId="0" xfId="0" applyFont="1" applyFill="1" applyAlignment="1" applyProtection="1">
      <alignment horizontal="center" vertical="center" wrapText="1"/>
      <protection locked="0"/>
    </xf>
    <xf numFmtId="0" fontId="29" fillId="36" borderId="0" xfId="0" applyFont="1" applyFill="1" applyAlignment="1" applyProtection="1">
      <alignment vertical="center" wrapText="1"/>
      <protection locked="0"/>
    </xf>
    <xf numFmtId="0" fontId="20" fillId="36" borderId="0" xfId="0" applyFont="1" applyFill="1" applyAlignment="1" applyProtection="1">
      <alignment vertical="center" wrapText="1"/>
      <protection locked="0"/>
    </xf>
    <xf numFmtId="0" fontId="43" fillId="36" borderId="0" xfId="0" applyFont="1" applyFill="1" applyProtection="1">
      <protection locked="0"/>
    </xf>
    <xf numFmtId="0" fontId="4" fillId="36" borderId="0" xfId="0" applyFont="1" applyFill="1" applyAlignment="1" applyProtection="1">
      <alignment vertical="center" wrapText="1"/>
      <protection locked="0"/>
    </xf>
    <xf numFmtId="0" fontId="4" fillId="36" borderId="0" xfId="0" applyFont="1" applyFill="1" applyAlignment="1" applyProtection="1">
      <alignment horizontal="center" vertical="center" wrapText="1"/>
      <protection locked="0"/>
    </xf>
    <xf numFmtId="0" fontId="29" fillId="0" borderId="0" xfId="0" applyFont="1" applyAlignment="1" applyProtection="1">
      <alignment vertical="center" wrapText="1"/>
      <protection locked="0"/>
    </xf>
    <xf numFmtId="0" fontId="44" fillId="36" borderId="0" xfId="0" applyFont="1" applyFill="1" applyAlignment="1" applyProtection="1">
      <alignment vertical="center" wrapText="1"/>
      <protection locked="0"/>
    </xf>
    <xf numFmtId="0" fontId="29" fillId="36" borderId="0" xfId="0" applyFont="1" applyFill="1" applyBorder="1" applyAlignment="1" applyProtection="1">
      <alignment vertical="center" wrapText="1"/>
      <protection locked="0"/>
    </xf>
    <xf numFmtId="0" fontId="20" fillId="36" borderId="0" xfId="0" applyFont="1" applyFill="1" applyAlignment="1" applyProtection="1">
      <alignment horizontal="center" vertical="center" wrapText="1"/>
      <protection locked="0"/>
    </xf>
    <xf numFmtId="0" fontId="20"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vertical="center" wrapText="1"/>
      <protection locked="0"/>
    </xf>
    <xf numFmtId="0" fontId="44" fillId="36" borderId="0" xfId="0" applyFont="1" applyFill="1" applyAlignment="1" applyProtection="1">
      <alignment horizontal="center" vertical="center" wrapText="1"/>
      <protection locked="0"/>
    </xf>
    <xf numFmtId="0" fontId="44" fillId="36" borderId="0" xfId="0" applyFont="1" applyFill="1" applyBorder="1" applyAlignment="1" applyProtection="1">
      <alignment horizontal="center" vertical="center" wrapText="1"/>
      <protection locked="0"/>
    </xf>
    <xf numFmtId="0" fontId="41" fillId="36" borderId="0" xfId="0" applyFont="1" applyFill="1" applyBorder="1" applyAlignment="1" applyProtection="1">
      <alignment horizontal="center" vertical="center"/>
      <protection locked="0"/>
    </xf>
    <xf numFmtId="0" fontId="1" fillId="0" borderId="0" xfId="0" applyFont="1" applyProtection="1">
      <protection locked="0"/>
    </xf>
    <xf numFmtId="0" fontId="0" fillId="0" borderId="0" xfId="0" applyProtection="1">
      <protection locked="0"/>
    </xf>
    <xf numFmtId="0" fontId="6" fillId="0" borderId="1" xfId="0" applyFont="1" applyBorder="1" applyAlignment="1" applyProtection="1">
      <alignment horizontal="center"/>
      <protection locked="0"/>
    </xf>
    <xf numFmtId="0" fontId="11" fillId="0" borderId="0" xfId="0" applyFont="1" applyProtection="1">
      <protection locked="0"/>
    </xf>
    <xf numFmtId="0" fontId="29" fillId="0" borderId="0" xfId="0" applyFont="1" applyAlignment="1" applyProtection="1">
      <alignment horizontal="center" vertical="center" wrapText="1"/>
      <protection locked="0"/>
    </xf>
    <xf numFmtId="0" fontId="2" fillId="0" borderId="0" xfId="0" applyFont="1" applyProtection="1">
      <protection locked="0"/>
    </xf>
    <xf numFmtId="0" fontId="44" fillId="0" borderId="0" xfId="0" applyFont="1" applyProtection="1">
      <protection locked="0"/>
    </xf>
    <xf numFmtId="0" fontId="0" fillId="36" borderId="0" xfId="0" applyFill="1" applyAlignment="1" applyProtection="1">
      <alignment vertical="top"/>
      <protection locked="0"/>
    </xf>
    <xf numFmtId="0" fontId="7" fillId="0" borderId="0" xfId="0" applyFont="1" applyProtection="1">
      <protection locked="0"/>
    </xf>
    <xf numFmtId="0" fontId="53" fillId="36" borderId="0" xfId="0" applyFont="1" applyFill="1" applyAlignment="1" applyProtection="1">
      <alignment vertical="top"/>
      <protection locked="0"/>
    </xf>
    <xf numFmtId="0" fontId="65" fillId="36" borderId="0" xfId="0" applyFont="1" applyFill="1" applyAlignment="1" applyProtection="1">
      <alignment vertical="center" wrapText="1"/>
      <protection locked="0"/>
    </xf>
    <xf numFmtId="0" fontId="29" fillId="36" borderId="0" xfId="0" applyFont="1" applyFill="1" applyAlignment="1" applyProtection="1">
      <alignment vertical="top"/>
      <protection locked="0"/>
    </xf>
    <xf numFmtId="0" fontId="65" fillId="0" borderId="0" xfId="0" applyFont="1" applyAlignment="1" applyProtection="1">
      <alignment vertical="center" wrapText="1"/>
      <protection locked="0"/>
    </xf>
    <xf numFmtId="0" fontId="1" fillId="36" borderId="0" xfId="0" applyFont="1" applyFill="1" applyAlignment="1" applyProtection="1">
      <alignment vertical="top"/>
      <protection locked="0"/>
    </xf>
    <xf numFmtId="0" fontId="0" fillId="36" borderId="0" xfId="0" applyFont="1" applyFill="1" applyAlignment="1" applyProtection="1">
      <alignment vertical="top"/>
      <protection locked="0"/>
    </xf>
    <xf numFmtId="174" fontId="29" fillId="42" borderId="1" xfId="74" applyNumberFormat="1" applyFont="1" applyFill="1" applyBorder="1" applyAlignment="1" applyProtection="1">
      <alignment horizontal="center" vertical="center"/>
    </xf>
    <xf numFmtId="0" fontId="41" fillId="36" borderId="0" xfId="0" applyFont="1" applyFill="1" applyAlignment="1" applyProtection="1">
      <alignment vertical="top"/>
      <protection locked="0"/>
    </xf>
    <xf numFmtId="0" fontId="29" fillId="36" borderId="0" xfId="0" applyFont="1" applyFill="1" applyAlignment="1" applyProtection="1">
      <alignment horizontal="center" vertical="top"/>
      <protection locked="0"/>
    </xf>
    <xf numFmtId="0" fontId="43" fillId="36" borderId="0" xfId="0" applyFont="1" applyFill="1" applyAlignment="1" applyProtection="1">
      <alignment vertical="top"/>
      <protection locked="0"/>
    </xf>
    <xf numFmtId="0" fontId="21" fillId="0" borderId="0" xfId="0" applyFont="1" applyAlignment="1" applyProtection="1">
      <alignment horizontal="left" indent="4"/>
      <protection locked="0"/>
    </xf>
    <xf numFmtId="0" fontId="11" fillId="0" borderId="0" xfId="0" applyFont="1" applyFill="1" applyProtection="1">
      <protection locked="0"/>
    </xf>
    <xf numFmtId="0" fontId="29" fillId="0" borderId="0" xfId="0" applyFont="1" applyProtection="1">
      <protection locked="0"/>
    </xf>
    <xf numFmtId="0" fontId="19" fillId="0" borderId="0" xfId="0" applyFont="1" applyProtection="1">
      <protection locked="0"/>
    </xf>
    <xf numFmtId="167" fontId="0" fillId="40" borderId="1" xfId="0" applyNumberFormat="1" applyFill="1" applyBorder="1" applyProtection="1">
      <protection locked="0"/>
    </xf>
    <xf numFmtId="0" fontId="0" fillId="0" borderId="0" xfId="0" applyFont="1" applyProtection="1">
      <protection locked="0"/>
    </xf>
    <xf numFmtId="168" fontId="1" fillId="41" borderId="1" xfId="0" applyNumberFormat="1" applyFont="1" applyFill="1" applyBorder="1" applyProtection="1"/>
    <xf numFmtId="167" fontId="1" fillId="41" borderId="1" xfId="0" applyNumberFormat="1" applyFont="1" applyFill="1" applyBorder="1" applyProtection="1"/>
    <xf numFmtId="0" fontId="0" fillId="0" borderId="0" xfId="0" applyBorder="1" applyProtection="1">
      <protection locked="0"/>
    </xf>
    <xf numFmtId="0" fontId="51" fillId="0" borderId="0" xfId="0" applyFont="1" applyProtection="1">
      <protection locked="0"/>
    </xf>
    <xf numFmtId="167" fontId="29" fillId="40" borderId="1" xfId="0" applyNumberFormat="1" applyFont="1" applyFill="1" applyBorder="1" applyProtection="1">
      <protection locked="0"/>
    </xf>
    <xf numFmtId="0" fontId="0" fillId="0" borderId="0" xfId="0" applyBorder="1" applyAlignment="1" applyProtection="1">
      <alignment vertical="center" wrapText="1"/>
      <protection locked="0"/>
    </xf>
    <xf numFmtId="0" fontId="12" fillId="0" borderId="0" xfId="0" applyFont="1" applyProtection="1">
      <protection locked="0"/>
    </xf>
    <xf numFmtId="0" fontId="52" fillId="0" borderId="0" xfId="0" applyFont="1" applyProtection="1">
      <protection locked="0"/>
    </xf>
    <xf numFmtId="0" fontId="5" fillId="0" borderId="0" xfId="0" applyFont="1" applyProtection="1">
      <protection locked="0"/>
    </xf>
    <xf numFmtId="0" fontId="20" fillId="0" borderId="0" xfId="0" applyFont="1" applyProtection="1">
      <protection locked="0"/>
    </xf>
    <xf numFmtId="0" fontId="18" fillId="0" borderId="0" xfId="0" applyFont="1" applyProtection="1">
      <protection locked="0"/>
    </xf>
    <xf numFmtId="0" fontId="66" fillId="0" borderId="1" xfId="0" applyFont="1" applyBorder="1" applyAlignment="1" applyProtection="1">
      <alignment horizontal="center"/>
      <protection locked="0"/>
    </xf>
    <xf numFmtId="0" fontId="67" fillId="0" borderId="0" xfId="0" applyFont="1" applyProtection="1">
      <protection locked="0"/>
    </xf>
    <xf numFmtId="0" fontId="68" fillId="0" borderId="0" xfId="0" applyFont="1" applyAlignment="1" applyProtection="1">
      <alignment horizontal="center"/>
      <protection locked="0"/>
    </xf>
    <xf numFmtId="171" fontId="2" fillId="40" borderId="1" xfId="0" applyNumberFormat="1" applyFont="1" applyFill="1" applyBorder="1" applyProtection="1">
      <protection locked="0"/>
    </xf>
    <xf numFmtId="0" fontId="21" fillId="0" borderId="0" xfId="0" applyFont="1" applyAlignment="1" applyProtection="1">
      <alignment horizontal="left"/>
      <protection locked="0"/>
    </xf>
    <xf numFmtId="0" fontId="21" fillId="0" borderId="0" xfId="0" applyFont="1" applyProtection="1">
      <protection locked="0"/>
    </xf>
    <xf numFmtId="0" fontId="56" fillId="0" borderId="0" xfId="0" applyFont="1" applyProtection="1">
      <protection locked="0"/>
    </xf>
    <xf numFmtId="175" fontId="0" fillId="40" borderId="1" xfId="76" applyNumberFormat="1" applyFont="1" applyFill="1" applyBorder="1" applyProtection="1">
      <protection locked="0"/>
    </xf>
    <xf numFmtId="0" fontId="7" fillId="0" borderId="0" xfId="0" applyFont="1" applyFill="1" applyBorder="1" applyProtection="1">
      <protection locked="0"/>
    </xf>
    <xf numFmtId="0" fontId="60" fillId="0" borderId="0" xfId="0" applyFont="1" applyProtection="1">
      <protection locked="0"/>
    </xf>
    <xf numFmtId="167" fontId="29" fillId="40" borderId="4" xfId="0" applyNumberFormat="1" applyFont="1" applyFill="1" applyBorder="1" applyProtection="1">
      <protection locked="0"/>
    </xf>
    <xf numFmtId="0" fontId="0" fillId="0" borderId="0" xfId="0" applyProtection="1"/>
    <xf numFmtId="167" fontId="29" fillId="41" borderId="1" xfId="0" applyNumberFormat="1" applyFont="1" applyFill="1" applyBorder="1" applyProtection="1"/>
    <xf numFmtId="0" fontId="53" fillId="0" borderId="0" xfId="0" applyFont="1" applyProtection="1">
      <protection locked="0"/>
    </xf>
    <xf numFmtId="0" fontId="65" fillId="0" borderId="0" xfId="0" applyFont="1" applyProtection="1">
      <protection locked="0"/>
    </xf>
    <xf numFmtId="167" fontId="20" fillId="40" borderId="1" xfId="0" applyNumberFormat="1" applyFont="1" applyFill="1" applyBorder="1" applyProtection="1">
      <protection locked="0"/>
    </xf>
    <xf numFmtId="168" fontId="0" fillId="44" borderId="1" xfId="0" applyNumberFormat="1" applyFill="1" applyBorder="1" applyProtection="1">
      <protection locked="0"/>
    </xf>
    <xf numFmtId="0" fontId="17" fillId="0" borderId="0" xfId="0" applyFont="1" applyProtection="1">
      <protection locked="0"/>
    </xf>
    <xf numFmtId="171" fontId="0" fillId="40" borderId="1" xfId="0" applyNumberFormat="1" applyFill="1" applyBorder="1" applyProtection="1">
      <protection locked="0"/>
    </xf>
    <xf numFmtId="0" fontId="49" fillId="36" borderId="0" xfId="0" applyFont="1" applyFill="1" applyAlignment="1" applyProtection="1">
      <alignment vertical="top"/>
      <protection locked="0"/>
    </xf>
    <xf numFmtId="0" fontId="20" fillId="36" borderId="0" xfId="0" applyFont="1" applyFill="1" applyAlignment="1" applyProtection="1">
      <alignment vertical="top"/>
      <protection locked="0"/>
    </xf>
    <xf numFmtId="0" fontId="49" fillId="0" borderId="0" xfId="0" applyFont="1" applyProtection="1">
      <protection locked="0"/>
    </xf>
    <xf numFmtId="178" fontId="11" fillId="0" borderId="0" xfId="0" applyNumberFormat="1" applyFont="1" applyProtection="1">
      <protection locked="0"/>
    </xf>
    <xf numFmtId="0" fontId="9" fillId="0" borderId="0" xfId="3" applyFont="1" applyProtection="1">
      <protection locked="0"/>
    </xf>
    <xf numFmtId="0" fontId="63" fillId="0" borderId="0" xfId="3" applyFont="1" applyProtection="1">
      <protection locked="0"/>
    </xf>
    <xf numFmtId="0" fontId="39" fillId="0" borderId="0" xfId="3" applyFont="1" applyProtection="1">
      <protection locked="0"/>
    </xf>
    <xf numFmtId="0" fontId="46" fillId="0" borderId="0" xfId="3" applyFont="1" applyProtection="1">
      <protection locked="0"/>
    </xf>
    <xf numFmtId="0" fontId="23" fillId="0" borderId="0" xfId="3" applyFont="1" applyProtection="1">
      <protection locked="0"/>
    </xf>
    <xf numFmtId="0" fontId="29" fillId="0" borderId="0" xfId="3" applyFont="1" applyAlignment="1" applyProtection="1">
      <alignment horizontal="center"/>
      <protection locked="0"/>
    </xf>
    <xf numFmtId="0" fontId="8" fillId="0" borderId="0" xfId="3" applyFont="1" applyProtection="1">
      <protection locked="0"/>
    </xf>
    <xf numFmtId="0" fontId="20" fillId="0" borderId="0" xfId="3" applyFont="1" applyAlignment="1" applyProtection="1">
      <alignment horizontal="center"/>
      <protection locked="0"/>
    </xf>
    <xf numFmtId="171" fontId="29" fillId="2" borderId="1" xfId="3" applyNumberFormat="1" applyFont="1" applyFill="1" applyBorder="1" applyProtection="1">
      <protection locked="0"/>
    </xf>
    <xf numFmtId="0" fontId="9" fillId="0" borderId="0" xfId="3" applyFont="1" applyAlignment="1" applyProtection="1">
      <alignment horizontal="center"/>
      <protection locked="0"/>
    </xf>
    <xf numFmtId="0" fontId="9" fillId="0" borderId="0" xfId="3" applyFont="1" applyFill="1" applyBorder="1" applyAlignment="1" applyProtection="1">
      <alignment horizontal="center"/>
      <protection locked="0"/>
    </xf>
    <xf numFmtId="0" fontId="9" fillId="0" borderId="0" xfId="3" applyFont="1" applyFill="1" applyBorder="1" applyProtection="1">
      <protection locked="0"/>
    </xf>
    <xf numFmtId="171" fontId="9" fillId="35" borderId="1" xfId="3" applyNumberFormat="1" applyFont="1" applyFill="1" applyBorder="1" applyProtection="1">
      <protection locked="0"/>
    </xf>
    <xf numFmtId="0" fontId="29" fillId="2" borderId="4" xfId="3" applyFont="1" applyFill="1" applyBorder="1" applyAlignment="1" applyProtection="1">
      <alignment horizontal="left"/>
      <protection locked="0"/>
    </xf>
    <xf numFmtId="0" fontId="29" fillId="2" borderId="6" xfId="3" applyFont="1" applyFill="1" applyBorder="1" applyAlignment="1" applyProtection="1">
      <alignment horizontal="left"/>
      <protection locked="0"/>
    </xf>
    <xf numFmtId="0" fontId="29" fillId="2" borderId="5" xfId="3" applyFont="1" applyFill="1" applyBorder="1" applyAlignment="1" applyProtection="1">
      <alignment horizontal="left"/>
      <protection locked="0"/>
    </xf>
    <xf numFmtId="0" fontId="29" fillId="2" borderId="1" xfId="3" applyFont="1" applyFill="1" applyBorder="1" applyProtection="1">
      <protection locked="0"/>
    </xf>
    <xf numFmtId="171" fontId="9" fillId="0" borderId="13" xfId="3" applyNumberFormat="1" applyFont="1" applyBorder="1" applyProtection="1"/>
    <xf numFmtId="0" fontId="9" fillId="0" borderId="0" xfId="31" applyFont="1" applyFill="1" applyBorder="1" applyProtection="1">
      <protection locked="0"/>
    </xf>
    <xf numFmtId="0" fontId="9" fillId="0" borderId="0" xfId="31" applyFont="1" applyFill="1" applyBorder="1" applyAlignment="1" applyProtection="1">
      <alignment horizontal="center"/>
      <protection locked="0"/>
    </xf>
    <xf numFmtId="0" fontId="9" fillId="0" borderId="0" xfId="31" applyFont="1" applyBorder="1" applyAlignment="1" applyProtection="1">
      <alignment horizontal="center"/>
      <protection locked="0"/>
    </xf>
    <xf numFmtId="0" fontId="8" fillId="0" borderId="0" xfId="31" applyFont="1" applyBorder="1" applyAlignment="1" applyProtection="1">
      <alignment horizontal="center"/>
      <protection locked="0"/>
    </xf>
    <xf numFmtId="0" fontId="8" fillId="0" borderId="0" xfId="31" applyFont="1" applyBorder="1" applyProtection="1">
      <protection locked="0"/>
    </xf>
    <xf numFmtId="172" fontId="29" fillId="37" borderId="1" xfId="74" applyNumberFormat="1" applyFont="1" applyFill="1" applyBorder="1" applyAlignment="1" applyProtection="1">
      <alignment horizontal="center" vertical="center"/>
      <protection locked="0"/>
    </xf>
    <xf numFmtId="171" fontId="9" fillId="0" borderId="0" xfId="31" applyNumberFormat="1" applyFont="1" applyBorder="1" applyAlignment="1" applyProtection="1">
      <alignment horizontal="right"/>
      <protection locked="0"/>
    </xf>
    <xf numFmtId="170" fontId="9" fillId="0" borderId="0" xfId="3" applyNumberFormat="1" applyFont="1" applyProtection="1">
      <protection locked="0"/>
    </xf>
    <xf numFmtId="171" fontId="9" fillId="0" borderId="0" xfId="31" applyNumberFormat="1" applyFont="1" applyFill="1" applyBorder="1" applyAlignment="1" applyProtection="1">
      <alignment horizontal="right"/>
      <protection locked="0"/>
    </xf>
    <xf numFmtId="0" fontId="9" fillId="0" borderId="0" xfId="3" applyFont="1" applyBorder="1" applyProtection="1">
      <protection locked="0"/>
    </xf>
    <xf numFmtId="0" fontId="10" fillId="0" borderId="0" xfId="31" applyFont="1" applyBorder="1" applyProtection="1">
      <protection locked="0"/>
    </xf>
    <xf numFmtId="171" fontId="9" fillId="2" borderId="1" xfId="3" applyNumberFormat="1" applyFont="1" applyFill="1" applyBorder="1" applyProtection="1">
      <protection locked="0"/>
    </xf>
    <xf numFmtId="0" fontId="23" fillId="0" borderId="0" xfId="31" applyFont="1" applyBorder="1" applyProtection="1">
      <protection locked="0"/>
    </xf>
    <xf numFmtId="170" fontId="9" fillId="0" borderId="0" xfId="31" applyNumberFormat="1" applyFont="1" applyBorder="1" applyAlignment="1" applyProtection="1">
      <alignment horizontal="right"/>
      <protection locked="0"/>
    </xf>
    <xf numFmtId="170" fontId="9" fillId="0" borderId="0" xfId="31" applyNumberFormat="1" applyFont="1" applyBorder="1" applyProtection="1">
      <protection locked="0"/>
    </xf>
    <xf numFmtId="0" fontId="38" fillId="0" borderId="0" xfId="31" applyFont="1" applyBorder="1" applyProtection="1">
      <protection locked="0"/>
    </xf>
    <xf numFmtId="0" fontId="8" fillId="0" borderId="0" xfId="31" applyFont="1" applyBorder="1" applyAlignment="1" applyProtection="1">
      <alignment horizontal="right"/>
      <protection locked="0"/>
    </xf>
    <xf numFmtId="0" fontId="72" fillId="0" borderId="0" xfId="0" applyFont="1" applyProtection="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172" fontId="29" fillId="35" borderId="1" xfId="73" applyNumberFormat="1" applyFont="1" applyFill="1" applyBorder="1" applyAlignment="1" applyProtection="1">
      <alignment horizontal="right" vertical="center"/>
      <protection locked="0"/>
    </xf>
    <xf numFmtId="0" fontId="29" fillId="36" borderId="0" xfId="0" applyFont="1" applyFill="1" applyAlignment="1" applyProtection="1">
      <alignment vertical="center" wrapText="1"/>
      <protection locked="0"/>
    </xf>
    <xf numFmtId="0" fontId="0" fillId="0" borderId="0" xfId="0" applyBorder="1" applyAlignment="1" applyProtection="1">
      <protection locked="0"/>
    </xf>
    <xf numFmtId="0" fontId="29" fillId="36" borderId="0" xfId="0" applyFont="1" applyFill="1" applyAlignment="1" applyProtection="1">
      <alignment vertical="center" wrapText="1"/>
      <protection locked="0"/>
    </xf>
    <xf numFmtId="0" fontId="29" fillId="43" borderId="0" xfId="0" applyFont="1" applyFill="1" applyAlignment="1" applyProtection="1">
      <alignment vertical="top"/>
    </xf>
    <xf numFmtId="0" fontId="20" fillId="43" borderId="0" xfId="0" applyFont="1" applyFill="1" applyAlignment="1" applyProtection="1">
      <alignment horizontal="center" vertical="top"/>
    </xf>
    <xf numFmtId="0" fontId="20" fillId="43" borderId="0" xfId="0" applyFont="1" applyFill="1" applyAlignment="1" applyProtection="1">
      <alignment horizontal="center" vertical="center" wrapText="1"/>
      <protection locked="0"/>
    </xf>
    <xf numFmtId="0" fontId="72" fillId="36" borderId="0" xfId="0" applyFont="1" applyFill="1" applyAlignment="1" applyProtection="1">
      <alignment vertical="top"/>
    </xf>
    <xf numFmtId="2" fontId="0" fillId="0" borderId="0" xfId="0" applyNumberFormat="1" applyProtection="1">
      <protection locked="0"/>
    </xf>
    <xf numFmtId="2" fontId="1" fillId="41" borderId="1" xfId="0" applyNumberFormat="1" applyFont="1" applyFill="1" applyBorder="1" applyProtection="1"/>
    <xf numFmtId="10" fontId="29" fillId="41" borderId="1" xfId="76" applyNumberFormat="1" applyFont="1" applyFill="1" applyBorder="1" applyAlignment="1" applyProtection="1">
      <alignment horizontal="center" vertical="center"/>
    </xf>
    <xf numFmtId="10" fontId="0" fillId="0" borderId="0" xfId="0" applyNumberFormat="1" applyProtection="1">
      <protection locked="0"/>
    </xf>
    <xf numFmtId="171" fontId="0" fillId="0" borderId="0" xfId="0" applyNumberFormat="1" applyProtection="1">
      <protection locked="0"/>
    </xf>
    <xf numFmtId="171" fontId="1" fillId="41" borderId="1" xfId="0" applyNumberFormat="1" applyFont="1" applyFill="1" applyBorder="1" applyProtection="1">
      <protection locked="0"/>
    </xf>
    <xf numFmtId="171" fontId="29" fillId="40" borderId="1" xfId="0" applyNumberFormat="1" applyFont="1" applyFill="1" applyBorder="1" applyAlignment="1" applyProtection="1">
      <alignment horizontal="center"/>
      <protection locked="0"/>
    </xf>
    <xf numFmtId="171" fontId="1" fillId="41" borderId="1" xfId="0" applyNumberFormat="1" applyFont="1" applyFill="1" applyBorder="1" applyAlignment="1" applyProtection="1">
      <alignment horizontal="center" vertical="center"/>
    </xf>
    <xf numFmtId="171" fontId="1" fillId="45" borderId="1" xfId="0" applyNumberFormat="1" applyFont="1" applyFill="1" applyBorder="1" applyProtection="1">
      <protection locked="0"/>
    </xf>
    <xf numFmtId="171" fontId="29" fillId="0" borderId="0" xfId="0" applyNumberFormat="1" applyFont="1" applyProtection="1">
      <protection locked="0"/>
    </xf>
    <xf numFmtId="171" fontId="1" fillId="41" borderId="1" xfId="0" applyNumberFormat="1" applyFont="1" applyFill="1" applyBorder="1" applyProtection="1"/>
    <xf numFmtId="2" fontId="0" fillId="40" borderId="1" xfId="0" applyNumberFormat="1" applyFill="1" applyBorder="1" applyProtection="1">
      <protection locked="0"/>
    </xf>
    <xf numFmtId="2" fontId="29" fillId="0" borderId="0" xfId="0" applyNumberFormat="1" applyFont="1" applyProtection="1">
      <protection locked="0"/>
    </xf>
    <xf numFmtId="180" fontId="29" fillId="40" borderId="1" xfId="0" applyNumberFormat="1" applyFont="1" applyFill="1" applyBorder="1" applyProtection="1">
      <protection locked="0"/>
    </xf>
    <xf numFmtId="180" fontId="1" fillId="41" borderId="1" xfId="0" applyNumberFormat="1" applyFont="1" applyFill="1" applyBorder="1" applyProtection="1"/>
    <xf numFmtId="180" fontId="0" fillId="40" borderId="1" xfId="0" applyNumberFormat="1" applyFill="1" applyBorder="1" applyProtection="1">
      <protection locked="0"/>
    </xf>
    <xf numFmtId="0" fontId="21" fillId="0" borderId="0" xfId="0" applyFont="1" applyAlignment="1" applyProtection="1">
      <protection locked="0"/>
    </xf>
    <xf numFmtId="0" fontId="21" fillId="0" borderId="0" xfId="0" applyFont="1" applyAlignment="1" applyProtection="1">
      <alignment horizontal="left" vertical="center" indent="4"/>
      <protection locked="0"/>
    </xf>
    <xf numFmtId="171" fontId="0" fillId="44" borderId="1" xfId="0" applyNumberFormat="1" applyFill="1" applyBorder="1" applyProtection="1">
      <protection locked="0"/>
    </xf>
    <xf numFmtId="171" fontId="7" fillId="0" borderId="0" xfId="0" applyNumberFormat="1" applyFont="1" applyProtection="1">
      <protection locked="0"/>
    </xf>
    <xf numFmtId="181" fontId="0" fillId="40" borderId="1" xfId="0" applyNumberFormat="1" applyFill="1" applyBorder="1" applyProtection="1">
      <protection locked="0"/>
    </xf>
    <xf numFmtId="181" fontId="0" fillId="40" borderId="1" xfId="76" applyNumberFormat="1" applyFont="1" applyFill="1" applyBorder="1" applyProtection="1">
      <protection locked="0"/>
    </xf>
    <xf numFmtId="171" fontId="2" fillId="40" borderId="1" xfId="4" applyNumberFormat="1" applyFont="1" applyFill="1" applyBorder="1" applyProtection="1">
      <protection locked="0"/>
    </xf>
    <xf numFmtId="171" fontId="11" fillId="0" borderId="0" xfId="0" applyNumberFormat="1" applyFont="1" applyProtection="1">
      <protection locked="0"/>
    </xf>
    <xf numFmtId="171" fontId="69" fillId="41" borderId="1" xfId="4" applyNumberFormat="1" applyFont="1" applyFill="1" applyBorder="1" applyProtection="1"/>
    <xf numFmtId="171" fontId="29" fillId="40" borderId="1" xfId="0" applyNumberFormat="1" applyFont="1" applyFill="1" applyBorder="1" applyProtection="1">
      <protection locked="0"/>
    </xf>
    <xf numFmtId="0" fontId="0" fillId="43" borderId="0" xfId="0" applyFill="1" applyProtection="1">
      <protection locked="0"/>
    </xf>
    <xf numFmtId="171" fontId="1" fillId="43" borderId="0" xfId="0" applyNumberFormat="1" applyFont="1" applyFill="1" applyBorder="1" applyProtection="1"/>
    <xf numFmtId="175" fontId="0" fillId="44" borderId="1" xfId="76" applyNumberFormat="1" applyFont="1" applyFill="1" applyBorder="1" applyProtection="1">
      <protection locked="0"/>
    </xf>
    <xf numFmtId="167" fontId="29" fillId="44" borderId="1" xfId="0" applyNumberFormat="1" applyFont="1" applyFill="1" applyBorder="1" applyProtection="1">
      <protection locked="0"/>
    </xf>
    <xf numFmtId="180" fontId="0" fillId="0" borderId="0" xfId="0" applyNumberFormat="1" applyProtection="1">
      <protection locked="0"/>
    </xf>
    <xf numFmtId="167" fontId="29" fillId="43" borderId="0" xfId="0" applyNumberFormat="1" applyFont="1" applyFill="1" applyBorder="1" applyProtection="1"/>
    <xf numFmtId="0" fontId="29" fillId="43" borderId="0" xfId="0" applyFont="1" applyFill="1" applyAlignment="1" applyProtection="1">
      <alignment vertical="center" wrapText="1"/>
      <protection locked="0"/>
    </xf>
    <xf numFmtId="180" fontId="29" fillId="44" borderId="1" xfId="0" applyNumberFormat="1" applyFont="1" applyFill="1" applyBorder="1" applyProtection="1">
      <protection locked="0"/>
    </xf>
    <xf numFmtId="180" fontId="29" fillId="40" borderId="4" xfId="0" applyNumberFormat="1" applyFont="1" applyFill="1" applyBorder="1" applyProtection="1">
      <protection locked="0"/>
    </xf>
    <xf numFmtId="180" fontId="29" fillId="41" borderId="1" xfId="0" applyNumberFormat="1" applyFont="1" applyFill="1" applyBorder="1" applyProtection="1"/>
    <xf numFmtId="172" fontId="19" fillId="41" borderId="1" xfId="74" applyNumberFormat="1" applyFont="1" applyFill="1" applyBorder="1" applyAlignment="1" applyProtection="1">
      <alignment horizontal="right" vertical="center"/>
    </xf>
    <xf numFmtId="180" fontId="0" fillId="43" borderId="0" xfId="0" applyNumberFormat="1" applyFill="1" applyProtection="1">
      <protection locked="0"/>
    </xf>
    <xf numFmtId="180" fontId="1" fillId="43" borderId="0" xfId="0" applyNumberFormat="1" applyFont="1" applyFill="1" applyBorder="1" applyProtection="1"/>
    <xf numFmtId="180" fontId="7" fillId="43" borderId="0" xfId="0" applyNumberFormat="1" applyFont="1" applyFill="1" applyProtection="1">
      <protection locked="0"/>
    </xf>
    <xf numFmtId="180" fontId="1" fillId="42" borderId="1" xfId="0" applyNumberFormat="1" applyFont="1" applyFill="1" applyBorder="1" applyProtection="1"/>
    <xf numFmtId="0" fontId="29" fillId="36" borderId="0" xfId="0" applyFont="1" applyFill="1" applyAlignment="1" applyProtection="1">
      <alignment vertical="center" wrapText="1"/>
      <protection locked="0"/>
    </xf>
    <xf numFmtId="0" fontId="29" fillId="0" borderId="0" xfId="0" applyFont="1" applyAlignment="1" applyProtection="1">
      <alignment horizontal="center" vertical="top"/>
      <protection locked="0"/>
    </xf>
    <xf numFmtId="0" fontId="21"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center"/>
      <protection locked="0"/>
    </xf>
    <xf numFmtId="0" fontId="29"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43" borderId="0" xfId="0" applyFill="1" applyAlignment="1" applyProtection="1">
      <alignment horizontal="center"/>
      <protection locked="0"/>
    </xf>
    <xf numFmtId="0" fontId="74" fillId="0" borderId="0" xfId="0" applyFont="1" applyAlignment="1" applyProtection="1">
      <protection locked="0"/>
    </xf>
    <xf numFmtId="0" fontId="19" fillId="0" borderId="0" xfId="0" applyFont="1" applyAlignment="1" applyProtection="1">
      <alignment horizontal="center"/>
      <protection locked="0"/>
    </xf>
    <xf numFmtId="0" fontId="56" fillId="36" borderId="0" xfId="0" applyFont="1" applyFill="1" applyAlignment="1" applyProtection="1">
      <alignment vertical="top"/>
      <protection locked="0"/>
    </xf>
    <xf numFmtId="0" fontId="20" fillId="0" borderId="0" xfId="0" applyFont="1" applyAlignment="1" applyProtection="1">
      <alignment vertical="center" wrapText="1"/>
      <protection locked="0"/>
    </xf>
    <xf numFmtId="171" fontId="29" fillId="42" borderId="1" xfId="76" applyNumberFormat="1" applyFont="1" applyFill="1" applyBorder="1" applyAlignment="1" applyProtection="1">
      <alignment horizontal="center" vertical="center"/>
    </xf>
    <xf numFmtId="0" fontId="29" fillId="36" borderId="0" xfId="0" applyFont="1" applyFill="1" applyAlignment="1" applyProtection="1">
      <alignment vertical="center" wrapText="1"/>
      <protection locked="0"/>
    </xf>
    <xf numFmtId="0" fontId="29" fillId="36" borderId="0" xfId="0" applyFont="1" applyFill="1" applyAlignment="1" applyProtection="1">
      <alignment vertical="center" wrapText="1"/>
      <protection locked="0"/>
    </xf>
    <xf numFmtId="0" fontId="2" fillId="0" borderId="0" xfId="0" applyFont="1" applyProtection="1">
      <protection locked="0"/>
    </xf>
    <xf numFmtId="0" fontId="0" fillId="0" borderId="0" xfId="0" applyProtection="1">
      <protection locked="0"/>
    </xf>
    <xf numFmtId="0" fontId="29" fillId="0" borderId="0" xfId="0" applyFont="1" applyAlignment="1" applyProtection="1">
      <alignment horizontal="center" vertical="center" wrapText="1"/>
      <protection locked="0"/>
    </xf>
    <xf numFmtId="0" fontId="1" fillId="0" borderId="0" xfId="0" applyFont="1" applyProtection="1">
      <protection locked="0"/>
    </xf>
    <xf numFmtId="0" fontId="0" fillId="0" borderId="0" xfId="0" applyAlignment="1" applyProtection="1">
      <alignment horizontal="center"/>
      <protection locked="0"/>
    </xf>
    <xf numFmtId="0" fontId="29" fillId="36" borderId="0" xfId="0" applyFont="1" applyFill="1" applyAlignment="1" applyProtection="1">
      <alignment vertical="center" wrapText="1"/>
      <protection locked="0"/>
    </xf>
    <xf numFmtId="172" fontId="29" fillId="44" borderId="1" xfId="74" applyNumberFormat="1" applyFont="1" applyFill="1" applyBorder="1" applyAlignment="1" applyProtection="1">
      <alignment horizontal="right" vertical="center"/>
      <protection locked="0"/>
    </xf>
    <xf numFmtId="0" fontId="29" fillId="36" borderId="0" xfId="0" applyFont="1" applyFill="1" applyAlignment="1" applyProtection="1">
      <alignment vertical="center" wrapText="1"/>
      <protection locked="0"/>
    </xf>
    <xf numFmtId="0" fontId="46" fillId="36" borderId="0" xfId="0" applyFont="1" applyFill="1" applyAlignment="1" applyProtection="1">
      <alignment vertical="center"/>
      <protection locked="0"/>
    </xf>
    <xf numFmtId="174" fontId="29" fillId="37" borderId="1" xfId="74" applyNumberFormat="1" applyFont="1" applyFill="1" applyBorder="1" applyAlignment="1" applyProtection="1">
      <alignment horizontal="center" vertical="center"/>
      <protection locked="0"/>
    </xf>
    <xf numFmtId="182" fontId="29" fillId="36" borderId="0" xfId="0" applyNumberFormat="1" applyFont="1" applyFill="1" applyBorder="1" applyAlignment="1" applyProtection="1">
      <alignment vertical="center" wrapText="1"/>
      <protection locked="0"/>
    </xf>
    <xf numFmtId="182" fontId="29" fillId="36" borderId="0" xfId="0" applyNumberFormat="1" applyFont="1" applyFill="1" applyAlignment="1" applyProtection="1">
      <alignment vertical="center" wrapText="1"/>
      <protection locked="0"/>
    </xf>
    <xf numFmtId="182" fontId="29" fillId="44" borderId="1" xfId="74" applyNumberFormat="1" applyFont="1" applyFill="1" applyBorder="1" applyAlignment="1" applyProtection="1">
      <alignment horizontal="center" vertical="center"/>
      <protection locked="0"/>
    </xf>
    <xf numFmtId="182" fontId="29" fillId="37" borderId="1" xfId="74" applyNumberFormat="1" applyFont="1" applyFill="1" applyBorder="1" applyAlignment="1" applyProtection="1">
      <alignment horizontal="center" vertical="center"/>
      <protection locked="0"/>
    </xf>
    <xf numFmtId="182" fontId="29" fillId="44" borderId="15" xfId="74" applyNumberFormat="1" applyFont="1" applyFill="1" applyBorder="1" applyAlignment="1" applyProtection="1">
      <alignment horizontal="center" vertical="center"/>
      <protection locked="0"/>
    </xf>
    <xf numFmtId="182" fontId="29" fillId="0" borderId="7" xfId="74" applyNumberFormat="1" applyFont="1" applyFill="1" applyBorder="1" applyAlignment="1" applyProtection="1">
      <alignment horizontal="center" vertical="center"/>
      <protection locked="0"/>
    </xf>
    <xf numFmtId="174" fontId="29" fillId="36" borderId="0" xfId="0" applyNumberFormat="1" applyFont="1" applyFill="1" applyAlignment="1" applyProtection="1">
      <alignment horizontal="center" vertical="center" wrapText="1"/>
      <protection locked="0"/>
    </xf>
    <xf numFmtId="174" fontId="29" fillId="36" borderId="0" xfId="0" applyNumberFormat="1" applyFont="1" applyFill="1" applyBorder="1" applyAlignment="1" applyProtection="1">
      <alignment vertical="center" wrapText="1"/>
      <protection locked="0"/>
    </xf>
    <xf numFmtId="174" fontId="29" fillId="0" borderId="0" xfId="0" applyNumberFormat="1" applyFont="1" applyAlignment="1" applyProtection="1">
      <alignment vertical="center" wrapText="1"/>
      <protection locked="0"/>
    </xf>
    <xf numFmtId="174" fontId="29" fillId="0" borderId="0" xfId="0" applyNumberFormat="1" applyFont="1" applyAlignment="1" applyProtection="1">
      <alignment horizontal="center" vertical="center" wrapText="1"/>
      <protection locked="0"/>
    </xf>
    <xf numFmtId="182" fontId="0" fillId="36" borderId="0" xfId="0" applyNumberFormat="1" applyFont="1" applyFill="1" applyAlignment="1" applyProtection="1">
      <alignment vertical="top"/>
    </xf>
    <xf numFmtId="180" fontId="1" fillId="41" borderId="5" xfId="0" applyNumberFormat="1" applyFont="1" applyFill="1" applyBorder="1" applyProtection="1"/>
    <xf numFmtId="180" fontId="0" fillId="40" borderId="17" xfId="0" applyNumberFormat="1" applyFill="1" applyBorder="1" applyProtection="1">
      <protection locked="0"/>
    </xf>
    <xf numFmtId="180" fontId="1" fillId="0" borderId="18" xfId="0" applyNumberFormat="1" applyFont="1" applyFill="1" applyBorder="1" applyProtection="1"/>
    <xf numFmtId="0" fontId="0" fillId="0" borderId="0" xfId="0" applyAlignment="1" applyProtection="1">
      <alignment horizontal="right"/>
      <protection locked="0"/>
    </xf>
    <xf numFmtId="2" fontId="29" fillId="44" borderId="1" xfId="76" applyNumberFormat="1" applyFont="1" applyFill="1" applyBorder="1" applyAlignment="1" applyProtection="1">
      <alignment horizontal="center" vertical="center"/>
      <protection locked="0"/>
    </xf>
    <xf numFmtId="0" fontId="6" fillId="0" borderId="5" xfId="0" applyFont="1" applyBorder="1" applyAlignment="1" applyProtection="1">
      <alignment horizontal="center"/>
      <protection locked="0"/>
    </xf>
    <xf numFmtId="167" fontId="29" fillId="40" borderId="5" xfId="0" applyNumberFormat="1" applyFont="1" applyFill="1" applyBorder="1" applyProtection="1">
      <protection locked="0"/>
    </xf>
    <xf numFmtId="167" fontId="29" fillId="41" borderId="5" xfId="0" applyNumberFormat="1" applyFont="1" applyFill="1" applyBorder="1" applyProtection="1"/>
    <xf numFmtId="0" fontId="6" fillId="0" borderId="0" xfId="0" applyFont="1" applyFill="1" applyBorder="1" applyAlignment="1" applyProtection="1">
      <alignment horizontal="center"/>
      <protection locked="0"/>
    </xf>
    <xf numFmtId="167" fontId="29" fillId="0" borderId="0" xfId="0" applyNumberFormat="1" applyFont="1" applyFill="1" applyBorder="1" applyProtection="1">
      <protection locked="0"/>
    </xf>
    <xf numFmtId="167" fontId="29" fillId="0" borderId="0" xfId="0" applyNumberFormat="1" applyFont="1" applyFill="1" applyBorder="1" applyProtection="1"/>
    <xf numFmtId="0" fontId="6" fillId="0" borderId="16" xfId="0" applyFont="1" applyFill="1" applyBorder="1" applyAlignment="1" applyProtection="1">
      <alignment horizontal="center"/>
      <protection locked="0"/>
    </xf>
    <xf numFmtId="167" fontId="29" fillId="0" borderId="16" xfId="0" applyNumberFormat="1" applyFont="1" applyFill="1" applyBorder="1" applyProtection="1">
      <protection locked="0"/>
    </xf>
    <xf numFmtId="167" fontId="29" fillId="0" borderId="16" xfId="0" applyNumberFormat="1" applyFont="1" applyFill="1" applyBorder="1" applyProtection="1"/>
    <xf numFmtId="176" fontId="29" fillId="35" borderId="1" xfId="73" applyNumberFormat="1" applyFont="1" applyFill="1" applyBorder="1" applyAlignment="1" applyProtection="1">
      <alignment horizontal="right" vertical="center"/>
    </xf>
    <xf numFmtId="0" fontId="82" fillId="0" borderId="0" xfId="0" applyFont="1" applyProtection="1">
      <protection locked="0"/>
    </xf>
    <xf numFmtId="0" fontId="76" fillId="36" borderId="0" xfId="0" applyFont="1" applyFill="1" applyAlignment="1" applyProtection="1">
      <alignment vertical="top"/>
    </xf>
    <xf numFmtId="0" fontId="29" fillId="36" borderId="0" xfId="0" applyFont="1" applyFill="1" applyAlignment="1" applyProtection="1">
      <alignment vertical="center" wrapText="1"/>
      <protection locked="0"/>
    </xf>
    <xf numFmtId="167" fontId="0" fillId="0" borderId="0" xfId="0" applyNumberFormat="1" applyProtection="1">
      <protection locked="0"/>
    </xf>
    <xf numFmtId="0" fontId="11" fillId="43" borderId="0" xfId="0" applyFont="1" applyFill="1" applyProtection="1">
      <protection locked="0"/>
    </xf>
    <xf numFmtId="0" fontId="29" fillId="43" borderId="0" xfId="0" applyFont="1" applyFill="1" applyProtection="1">
      <protection locked="0"/>
    </xf>
    <xf numFmtId="0" fontId="29" fillId="43" borderId="0" xfId="0" applyFont="1" applyFill="1" applyAlignment="1" applyProtection="1">
      <alignment horizontal="center"/>
      <protection locked="0"/>
    </xf>
    <xf numFmtId="0" fontId="29" fillId="36" borderId="0" xfId="0" applyFont="1" applyFill="1" applyAlignment="1" applyProtection="1">
      <alignment vertical="center" wrapText="1"/>
      <protection locked="0"/>
    </xf>
    <xf numFmtId="172" fontId="29" fillId="38" borderId="1" xfId="0" quotePrefix="1" applyNumberFormat="1" applyFont="1" applyFill="1" applyBorder="1" applyAlignment="1" applyProtection="1">
      <alignment horizontal="left" wrapText="1"/>
    </xf>
    <xf numFmtId="183" fontId="0" fillId="40" borderId="1" xfId="0" applyNumberFormat="1" applyFill="1" applyBorder="1" applyProtection="1">
      <protection locked="0"/>
    </xf>
    <xf numFmtId="0" fontId="29" fillId="36" borderId="0" xfId="0" quotePrefix="1" applyFont="1" applyFill="1" applyAlignment="1" applyProtection="1">
      <alignment vertical="top"/>
    </xf>
    <xf numFmtId="0" fontId="83" fillId="0" borderId="0" xfId="0" applyFont="1" applyProtection="1">
      <protection locked="0"/>
    </xf>
    <xf numFmtId="0" fontId="60" fillId="0" borderId="0" xfId="0" applyFont="1" applyAlignment="1" applyProtection="1">
      <alignment horizontal="left"/>
      <protection locked="0"/>
    </xf>
    <xf numFmtId="178" fontId="29" fillId="40" borderId="1" xfId="0" applyNumberFormat="1" applyFont="1" applyFill="1" applyBorder="1" applyProtection="1">
      <protection locked="0"/>
    </xf>
    <xf numFmtId="178" fontId="0" fillId="40" borderId="1" xfId="0" applyNumberFormat="1" applyFill="1" applyBorder="1" applyProtection="1">
      <protection locked="0"/>
    </xf>
    <xf numFmtId="178" fontId="20" fillId="42" borderId="1" xfId="0" applyNumberFormat="1" applyFont="1" applyFill="1" applyBorder="1" applyProtection="1"/>
    <xf numFmtId="178" fontId="1" fillId="42" borderId="1" xfId="0" applyNumberFormat="1" applyFont="1" applyFill="1" applyBorder="1" applyProtection="1"/>
    <xf numFmtId="167" fontId="20" fillId="42" borderId="1" xfId="0" applyNumberFormat="1" applyFont="1" applyFill="1" applyBorder="1" applyProtection="1"/>
    <xf numFmtId="167" fontId="1" fillId="42" borderId="1" xfId="0" applyNumberFormat="1" applyFont="1" applyFill="1" applyBorder="1" applyProtection="1"/>
    <xf numFmtId="170" fontId="20" fillId="41" borderId="1" xfId="0" applyNumberFormat="1" applyFont="1" applyFill="1" applyBorder="1" applyProtection="1"/>
    <xf numFmtId="172" fontId="29" fillId="38" borderId="1" xfId="0" applyNumberFormat="1" applyFont="1" applyFill="1" applyBorder="1" applyAlignment="1" applyProtection="1">
      <alignment horizontal="center" wrapText="1"/>
    </xf>
    <xf numFmtId="184" fontId="29" fillId="44" borderId="1" xfId="76" applyNumberFormat="1" applyFont="1" applyFill="1" applyBorder="1" applyAlignment="1" applyProtection="1">
      <alignment horizontal="center" vertical="top"/>
    </xf>
    <xf numFmtId="0" fontId="20" fillId="0" borderId="0" xfId="0" applyFont="1" applyFill="1" applyProtection="1">
      <protection locked="0"/>
    </xf>
    <xf numFmtId="0" fontId="29" fillId="0" borderId="0" xfId="0" applyFont="1" applyFill="1" applyProtection="1">
      <protection locked="0"/>
    </xf>
    <xf numFmtId="0" fontId="0" fillId="0" borderId="0" xfId="0" applyFill="1" applyProtection="1">
      <protection locked="0"/>
    </xf>
    <xf numFmtId="0" fontId="0" fillId="0" borderId="0" xfId="0" applyFill="1"/>
    <xf numFmtId="0" fontId="1" fillId="0" borderId="0" xfId="0" applyFont="1" applyFill="1"/>
    <xf numFmtId="0" fontId="0" fillId="0" borderId="0" xfId="0" applyFont="1" applyFill="1" applyAlignment="1" applyProtection="1">
      <alignment vertical="top"/>
    </xf>
    <xf numFmtId="0" fontId="29" fillId="0" borderId="0" xfId="0" applyFont="1" applyFill="1"/>
    <xf numFmtId="0" fontId="1" fillId="0" borderId="0" xfId="0" applyFont="1" applyFill="1" applyProtection="1">
      <protection locked="0"/>
    </xf>
    <xf numFmtId="0" fontId="29" fillId="0" borderId="0" xfId="0" applyFont="1" applyFill="1" applyAlignment="1" applyProtection="1">
      <alignment vertical="center" wrapText="1"/>
      <protection locked="0"/>
    </xf>
    <xf numFmtId="0" fontId="29" fillId="36" borderId="0" xfId="0" applyFont="1" applyFill="1" applyAlignment="1" applyProtection="1">
      <alignment vertical="center"/>
      <protection locked="0"/>
    </xf>
    <xf numFmtId="185" fontId="0" fillId="40" borderId="1" xfId="0" applyNumberFormat="1" applyFill="1" applyBorder="1" applyProtection="1">
      <protection locked="0"/>
    </xf>
    <xf numFmtId="186" fontId="0" fillId="40" borderId="1" xfId="0" applyNumberFormat="1" applyFill="1" applyBorder="1" applyProtection="1">
      <protection locked="0"/>
    </xf>
    <xf numFmtId="176" fontId="20" fillId="41" borderId="1" xfId="0" applyNumberFormat="1" applyFont="1" applyFill="1" applyBorder="1" applyAlignment="1" applyProtection="1">
      <alignment horizontal="center"/>
      <protection locked="0"/>
    </xf>
    <xf numFmtId="0" fontId="7" fillId="0" borderId="0" xfId="0" applyFont="1" applyFill="1" applyProtection="1">
      <protection locked="0"/>
    </xf>
    <xf numFmtId="0" fontId="46" fillId="0" borderId="0" xfId="0" applyFont="1" applyFill="1" applyAlignment="1" applyProtection="1">
      <alignment vertical="center" wrapText="1"/>
      <protection locked="0"/>
    </xf>
    <xf numFmtId="0" fontId="9" fillId="50" borderId="0" xfId="3" applyFont="1" applyFill="1" applyProtection="1">
      <protection locked="0"/>
    </xf>
    <xf numFmtId="0" fontId="29" fillId="0" borderId="0" xfId="0" applyFont="1" applyFill="1" applyAlignment="1" applyProtection="1">
      <alignment vertical="top"/>
      <protection locked="0"/>
    </xf>
    <xf numFmtId="0" fontId="0" fillId="0" borderId="0" xfId="0" applyFill="1" applyBorder="1" applyProtection="1">
      <protection locked="0"/>
    </xf>
    <xf numFmtId="0" fontId="7" fillId="0" borderId="0" xfId="0" applyFont="1" applyFill="1" applyAlignment="1" applyProtection="1">
      <alignment horizontal="left"/>
      <protection locked="0"/>
    </xf>
    <xf numFmtId="0" fontId="46" fillId="0" borderId="0" xfId="0" applyFont="1" applyFill="1" applyAlignment="1" applyProtection="1">
      <alignment vertical="top"/>
    </xf>
    <xf numFmtId="0" fontId="0" fillId="0" borderId="0" xfId="0" applyFont="1" applyFill="1" applyAlignment="1" applyProtection="1">
      <alignment horizontal="center" vertical="top"/>
    </xf>
    <xf numFmtId="0" fontId="7" fillId="0" borderId="0" xfId="0" applyFont="1" applyFill="1" applyAlignment="1" applyProtection="1">
      <alignment vertical="center" wrapText="1"/>
    </xf>
    <xf numFmtId="0" fontId="7" fillId="0" borderId="0" xfId="0" applyFont="1" applyFill="1" applyAlignment="1" applyProtection="1">
      <alignment vertical="top"/>
    </xf>
    <xf numFmtId="0" fontId="7" fillId="0" borderId="0" xfId="0" applyFont="1" applyFill="1" applyAlignment="1" applyProtection="1">
      <alignment vertical="center" wrapText="1"/>
      <protection locked="0"/>
    </xf>
    <xf numFmtId="175" fontId="29" fillId="44" borderId="1" xfId="0" applyNumberFormat="1" applyFont="1" applyFill="1" applyBorder="1" applyProtection="1">
      <protection locked="0"/>
    </xf>
    <xf numFmtId="0" fontId="0" fillId="0" borderId="0" xfId="0" applyFill="1" applyAlignment="1" applyProtection="1">
      <alignment vertical="top"/>
    </xf>
    <xf numFmtId="0" fontId="29" fillId="36" borderId="0" xfId="0" applyFont="1" applyFill="1" applyAlignment="1" applyProtection="1">
      <alignment vertical="center" wrapText="1"/>
      <protection locked="0"/>
    </xf>
    <xf numFmtId="171" fontId="40" fillId="0" borderId="0" xfId="3" applyNumberFormat="1" applyFont="1" applyFill="1" applyProtection="1">
      <protection locked="0"/>
    </xf>
    <xf numFmtId="0" fontId="9" fillId="0" borderId="0" xfId="3" applyFont="1" applyFill="1" applyProtection="1">
      <protection locked="0"/>
    </xf>
    <xf numFmtId="2" fontId="9" fillId="0" borderId="0" xfId="31" applyNumberFormat="1" applyFont="1" applyFill="1" applyBorder="1" applyAlignment="1" applyProtection="1">
      <alignment horizontal="right"/>
      <protection locked="0"/>
    </xf>
    <xf numFmtId="170" fontId="9" fillId="0" borderId="0" xfId="31" applyNumberFormat="1" applyFont="1" applyFill="1" applyBorder="1" applyProtection="1">
      <protection locked="0"/>
    </xf>
    <xf numFmtId="0" fontId="29" fillId="0" borderId="0" xfId="0" applyFont="1" applyFill="1" applyAlignment="1" applyProtection="1">
      <alignment vertical="top"/>
    </xf>
    <xf numFmtId="0" fontId="29" fillId="0" borderId="0" xfId="0" applyFont="1" applyFill="1" applyAlignment="1" applyProtection="1">
      <alignment vertical="top" wrapText="1"/>
    </xf>
    <xf numFmtId="0" fontId="11" fillId="0" borderId="0" xfId="0" applyFont="1" applyFill="1"/>
    <xf numFmtId="10" fontId="29" fillId="36" borderId="0" xfId="0" applyNumberFormat="1" applyFont="1" applyFill="1" applyBorder="1" applyAlignment="1" applyProtection="1">
      <alignment vertical="center" wrapText="1"/>
      <protection locked="0"/>
    </xf>
    <xf numFmtId="10" fontId="29" fillId="0" borderId="0" xfId="0" applyNumberFormat="1" applyFont="1" applyFill="1" applyBorder="1" applyAlignment="1" applyProtection="1">
      <alignment vertical="center" wrapText="1"/>
      <protection locked="0"/>
    </xf>
    <xf numFmtId="0" fontId="40" fillId="0" borderId="0" xfId="3" quotePrefix="1" applyFont="1" applyFill="1" applyAlignment="1" applyProtection="1">
      <alignment horizontal="right"/>
      <protection locked="0"/>
    </xf>
    <xf numFmtId="0" fontId="86" fillId="0" borderId="0" xfId="3" applyFont="1" applyFill="1" applyProtection="1">
      <protection locked="0"/>
    </xf>
    <xf numFmtId="0" fontId="8" fillId="0" borderId="0" xfId="31" applyFont="1" applyFill="1" applyBorder="1" applyAlignment="1" applyProtection="1">
      <alignment horizontal="center"/>
      <protection locked="0"/>
    </xf>
    <xf numFmtId="171" fontId="9" fillId="0" borderId="11" xfId="4" applyNumberFormat="1" applyFont="1" applyFill="1" applyBorder="1" applyAlignment="1" applyProtection="1">
      <alignment horizontal="right"/>
    </xf>
    <xf numFmtId="2" fontId="8" fillId="0" borderId="10" xfId="31" applyNumberFormat="1" applyFont="1" applyFill="1" applyBorder="1" applyAlignment="1" applyProtection="1">
      <alignment horizontal="right"/>
    </xf>
    <xf numFmtId="0" fontId="29" fillId="36" borderId="0" xfId="0" applyFont="1" applyFill="1" applyAlignment="1" applyProtection="1">
      <alignment vertical="center" wrapText="1"/>
      <protection locked="0"/>
    </xf>
    <xf numFmtId="10" fontId="2" fillId="44" borderId="1" xfId="32" applyNumberFormat="1" applyFont="1" applyFill="1" applyBorder="1"/>
    <xf numFmtId="10" fontId="2" fillId="40" borderId="1" xfId="0" applyNumberFormat="1" applyFont="1" applyFill="1" applyBorder="1" applyProtection="1">
      <protection locked="0"/>
    </xf>
    <xf numFmtId="0" fontId="65" fillId="0" borderId="0" xfId="0" applyFont="1" applyFill="1"/>
    <xf numFmtId="0" fontId="53" fillId="0" borderId="0" xfId="0" applyFont="1" applyFill="1" applyAlignment="1" applyProtection="1">
      <alignment vertical="top"/>
    </xf>
    <xf numFmtId="0" fontId="1" fillId="0" borderId="0" xfId="0" applyFont="1" applyFill="1" applyAlignment="1" applyProtection="1">
      <alignment vertical="top"/>
    </xf>
    <xf numFmtId="0" fontId="7" fillId="0" borderId="0" xfId="0" applyFont="1" applyFill="1" applyAlignment="1" applyProtection="1">
      <alignment vertical="top"/>
      <protection locked="0"/>
    </xf>
    <xf numFmtId="0" fontId="29" fillId="0" borderId="0" xfId="0" applyFont="1" applyFill="1" applyAlignment="1" applyProtection="1">
      <alignment vertical="center" wrapText="1"/>
    </xf>
    <xf numFmtId="0" fontId="4" fillId="0" borderId="0" xfId="0" applyFont="1" applyFill="1" applyAlignment="1" applyProtection="1">
      <alignment vertical="center" wrapText="1"/>
      <protection locked="0"/>
    </xf>
    <xf numFmtId="0" fontId="20" fillId="0" borderId="0" xfId="0" applyFont="1" applyFill="1" applyAlignment="1" applyProtection="1">
      <alignment vertical="center" wrapText="1"/>
      <protection locked="0"/>
    </xf>
    <xf numFmtId="0" fontId="29" fillId="0" borderId="0" xfId="0" applyFont="1" applyFill="1" applyAlignment="1" applyProtection="1">
      <alignment horizontal="center" vertical="center" wrapText="1"/>
      <protection locked="0"/>
    </xf>
    <xf numFmtId="0" fontId="89" fillId="0" borderId="0" xfId="0" applyFont="1" applyProtection="1">
      <protection locked="0"/>
    </xf>
    <xf numFmtId="0" fontId="90" fillId="0" borderId="0" xfId="0" applyFont="1" applyProtection="1">
      <protection locked="0"/>
    </xf>
    <xf numFmtId="9" fontId="29" fillId="44" borderId="1" xfId="74" applyNumberFormat="1" applyFont="1" applyFill="1" applyBorder="1" applyAlignment="1" applyProtection="1">
      <alignment horizontal="center" vertical="center"/>
      <protection locked="0"/>
    </xf>
    <xf numFmtId="14" fontId="29" fillId="38" borderId="1" xfId="0" quotePrefix="1" applyNumberFormat="1" applyFont="1" applyFill="1" applyBorder="1" applyAlignment="1" applyProtection="1">
      <alignment horizontal="center"/>
    </xf>
    <xf numFmtId="172" fontId="29" fillId="38" borderId="1" xfId="0" applyNumberFormat="1" applyFont="1" applyFill="1" applyBorder="1" applyAlignment="1" applyProtection="1">
      <alignment horizontal="left" wrapText="1"/>
    </xf>
    <xf numFmtId="172" fontId="91" fillId="38" borderId="1" xfId="0" applyNumberFormat="1" applyFont="1" applyFill="1" applyBorder="1" applyAlignment="1" applyProtection="1">
      <alignment horizontal="left" wrapText="1"/>
    </xf>
    <xf numFmtId="0" fontId="29" fillId="36" borderId="0" xfId="0" applyFont="1" applyFill="1" applyAlignment="1" applyProtection="1">
      <alignment vertical="center" wrapText="1"/>
      <protection locked="0"/>
    </xf>
    <xf numFmtId="0" fontId="29" fillId="36" borderId="0" xfId="0" applyFont="1" applyFill="1" applyAlignment="1" applyProtection="1">
      <alignment vertical="center" wrapText="1"/>
      <protection locked="0"/>
    </xf>
    <xf numFmtId="173" fontId="29" fillId="2" borderId="1" xfId="74" applyNumberFormat="1" applyFont="1" applyFill="1" applyBorder="1" applyAlignment="1" applyProtection="1">
      <alignment horizontal="center" vertical="center"/>
      <protection locked="0"/>
    </xf>
    <xf numFmtId="0" fontId="65" fillId="0" borderId="0" xfId="0" applyFont="1" applyFill="1" applyAlignment="1" applyProtection="1">
      <alignment vertical="center" wrapText="1"/>
      <protection locked="0"/>
    </xf>
    <xf numFmtId="167" fontId="0" fillId="0" borderId="0" xfId="0" applyNumberFormat="1" applyFill="1" applyProtection="1">
      <protection locked="0"/>
    </xf>
    <xf numFmtId="180" fontId="0" fillId="40" borderId="1" xfId="0" applyNumberFormat="1" applyFill="1" applyBorder="1" applyAlignment="1" applyProtection="1">
      <alignment horizontal="center"/>
      <protection locked="0"/>
    </xf>
    <xf numFmtId="0" fontId="29" fillId="36" borderId="0" xfId="0" applyFont="1" applyFill="1" applyAlignment="1" applyProtection="1">
      <alignment vertical="center" wrapText="1"/>
      <protection locked="0"/>
    </xf>
    <xf numFmtId="0" fontId="127" fillId="0" borderId="0" xfId="0" applyFont="1" applyAlignment="1" applyProtection="1">
      <alignment vertical="center" wrapText="1"/>
      <protection locked="0"/>
    </xf>
    <xf numFmtId="0" fontId="127" fillId="0" borderId="0" xfId="0" applyFont="1" applyProtection="1">
      <protection locked="0"/>
    </xf>
    <xf numFmtId="10" fontId="29" fillId="0" borderId="0" xfId="76" applyNumberFormat="1" applyFont="1" applyFill="1" applyBorder="1" applyAlignment="1" applyProtection="1">
      <alignment horizontal="center" vertical="center"/>
      <protection locked="0"/>
    </xf>
    <xf numFmtId="0" fontId="1" fillId="0" borderId="0" xfId="0" applyFont="1"/>
    <xf numFmtId="0" fontId="128" fillId="0" borderId="0" xfId="0" applyFont="1" applyAlignment="1">
      <alignment vertical="center" wrapText="1"/>
    </xf>
    <xf numFmtId="187" fontId="93" fillId="0" borderId="0" xfId="0" applyNumberFormat="1" applyFont="1" applyAlignment="1">
      <alignment vertical="center"/>
    </xf>
    <xf numFmtId="172" fontId="0" fillId="40" borderId="1" xfId="0" applyNumberFormat="1" applyFont="1" applyFill="1" applyBorder="1" applyAlignment="1" applyProtection="1">
      <alignment horizontal="center"/>
    </xf>
    <xf numFmtId="14" fontId="29" fillId="38" borderId="0" xfId="0" quotePrefix="1" applyNumberFormat="1" applyFont="1" applyFill="1" applyBorder="1" applyAlignment="1" applyProtection="1">
      <alignment horizontal="center"/>
    </xf>
    <xf numFmtId="172" fontId="29" fillId="38" borderId="0" xfId="0" applyNumberFormat="1" applyFont="1" applyFill="1" applyBorder="1" applyAlignment="1" applyProtection="1">
      <alignment horizontal="center"/>
    </xf>
    <xf numFmtId="172" fontId="29" fillId="38" borderId="0" xfId="0" applyNumberFormat="1" applyFont="1" applyFill="1" applyBorder="1" applyAlignment="1" applyProtection="1">
      <alignment horizontal="left" wrapText="1"/>
    </xf>
    <xf numFmtId="0" fontId="20" fillId="83" borderId="0" xfId="0" applyFont="1" applyFill="1" applyBorder="1" applyAlignment="1" applyProtection="1">
      <alignment horizontal="center" vertical="center" wrapText="1"/>
    </xf>
    <xf numFmtId="0" fontId="6" fillId="83" borderId="1" xfId="0" applyFont="1" applyFill="1" applyBorder="1" applyAlignment="1" applyProtection="1">
      <alignment horizontal="center"/>
      <protection locked="0"/>
    </xf>
    <xf numFmtId="0" fontId="1" fillId="83" borderId="0" xfId="0" applyFont="1" applyFill="1" applyAlignment="1" applyProtection="1">
      <alignment horizontal="center" vertical="top"/>
    </xf>
    <xf numFmtId="0" fontId="1" fillId="83" borderId="0" xfId="0" applyFont="1" applyFill="1" applyAlignment="1" applyProtection="1">
      <alignment horizontal="center" vertical="center"/>
    </xf>
    <xf numFmtId="9" fontId="29" fillId="36" borderId="0" xfId="76" applyFont="1" applyFill="1" applyAlignment="1" applyProtection="1">
      <alignment vertical="center" wrapText="1"/>
      <protection locked="0"/>
    </xf>
    <xf numFmtId="0" fontId="29" fillId="36" borderId="0" xfId="0" applyFont="1" applyFill="1" applyAlignment="1" applyProtection="1">
      <alignment horizontal="left" vertical="top"/>
    </xf>
    <xf numFmtId="0" fontId="0" fillId="0" borderId="0" xfId="0" applyAlignment="1">
      <alignment horizontal="left" vertical="top"/>
    </xf>
    <xf numFmtId="0" fontId="29" fillId="36" borderId="0" xfId="0" applyFont="1" applyFill="1" applyAlignment="1" applyProtection="1">
      <alignment vertical="center" wrapText="1"/>
      <protection locked="0"/>
    </xf>
    <xf numFmtId="0" fontId="29" fillId="37" borderId="2" xfId="75" applyNumberFormat="1" applyFont="1" applyFill="1" applyBorder="1" applyAlignment="1" applyProtection="1">
      <alignment horizontal="center" vertical="center"/>
      <protection locked="0"/>
    </xf>
    <xf numFmtId="0" fontId="29" fillId="37" borderId="7" xfId="75" applyNumberFormat="1" applyFont="1" applyFill="1" applyBorder="1" applyAlignment="1" applyProtection="1">
      <alignment horizontal="center" vertical="center"/>
      <protection locked="0"/>
    </xf>
    <xf numFmtId="0" fontId="29" fillId="37" borderId="3" xfId="75" applyNumberFormat="1" applyFont="1" applyFill="1" applyBorder="1" applyAlignment="1" applyProtection="1">
      <alignment horizontal="center" vertical="center"/>
      <protection locked="0"/>
    </xf>
    <xf numFmtId="0" fontId="41" fillId="36" borderId="4" xfId="0" applyFont="1" applyFill="1" applyBorder="1" applyAlignment="1" applyProtection="1">
      <alignment horizontal="center" vertical="center"/>
      <protection locked="0"/>
    </xf>
    <xf numFmtId="0" fontId="41" fillId="36" borderId="12" xfId="0" applyFont="1" applyFill="1" applyBorder="1" applyAlignment="1" applyProtection="1">
      <alignment horizontal="center" vertical="center"/>
      <protection locked="0"/>
    </xf>
    <xf numFmtId="0" fontId="41" fillId="36" borderId="5"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15" fillId="0" borderId="0" xfId="0" applyFont="1" applyBorder="1" applyAlignment="1" applyProtection="1">
      <alignment horizontal="center" vertical="center"/>
      <protection locked="0"/>
    </xf>
    <xf numFmtId="0" fontId="65" fillId="0" borderId="19" xfId="0" applyFont="1" applyBorder="1" applyAlignment="1" applyProtection="1">
      <alignment horizontal="center"/>
      <protection locked="0"/>
    </xf>
    <xf numFmtId="0" fontId="65" fillId="0" borderId="20" xfId="0" applyFont="1" applyBorder="1" applyAlignment="1" applyProtection="1">
      <alignment horizontal="center"/>
      <protection locked="0"/>
    </xf>
    <xf numFmtId="0" fontId="29" fillId="2" borderId="1" xfId="3" applyFont="1" applyFill="1" applyBorder="1" applyAlignment="1" applyProtection="1">
      <alignment horizontal="left"/>
      <protection locked="0"/>
    </xf>
    <xf numFmtId="0" fontId="29" fillId="2" borderId="4" xfId="3" applyFont="1" applyFill="1" applyBorder="1" applyAlignment="1" applyProtection="1">
      <alignment horizontal="left"/>
      <protection locked="0"/>
    </xf>
    <xf numFmtId="0" fontId="29" fillId="2" borderId="6" xfId="3" applyFont="1" applyFill="1" applyBorder="1" applyAlignment="1" applyProtection="1">
      <alignment horizontal="left"/>
      <protection locked="0"/>
    </xf>
    <xf numFmtId="0" fontId="29" fillId="2" borderId="5" xfId="3" applyFont="1" applyFill="1" applyBorder="1" applyAlignment="1" applyProtection="1">
      <alignment horizontal="left"/>
      <protection locked="0"/>
    </xf>
    <xf numFmtId="0" fontId="9" fillId="2" borderId="1" xfId="30"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9" fillId="2" borderId="1" xfId="0" applyFont="1"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protection locked="0"/>
    </xf>
    <xf numFmtId="0" fontId="9" fillId="2" borderId="1" xfId="31" applyFont="1" applyFill="1" applyBorder="1" applyAlignment="1" applyProtection="1">
      <alignment wrapText="1"/>
      <protection locked="0"/>
    </xf>
    <xf numFmtId="0" fontId="2" fillId="2" borderId="1" xfId="3" applyFill="1" applyBorder="1" applyAlignment="1" applyProtection="1">
      <alignment wrapText="1"/>
      <protection locked="0"/>
    </xf>
    <xf numFmtId="0" fontId="9" fillId="2" borderId="4" xfId="31" applyFont="1" applyFill="1" applyBorder="1" applyAlignment="1" applyProtection="1">
      <alignment wrapText="1"/>
      <protection locked="0"/>
    </xf>
    <xf numFmtId="0" fontId="29" fillId="2" borderId="12" xfId="3" applyFont="1" applyFill="1" applyBorder="1" applyAlignment="1" applyProtection="1">
      <alignment wrapText="1"/>
      <protection locked="0"/>
    </xf>
    <xf numFmtId="0" fontId="29" fillId="2" borderId="5" xfId="3" applyFont="1" applyFill="1" applyBorder="1" applyAlignment="1" applyProtection="1">
      <alignment wrapText="1"/>
      <protection locked="0"/>
    </xf>
    <xf numFmtId="0" fontId="29" fillId="2" borderId="1" xfId="3" applyFont="1" applyFill="1" applyBorder="1" applyAlignment="1" applyProtection="1">
      <alignment wrapText="1"/>
      <protection locked="0"/>
    </xf>
    <xf numFmtId="0" fontId="29" fillId="0" borderId="0" xfId="0" applyFont="1" applyAlignment="1" applyProtection="1"/>
    <xf numFmtId="0" fontId="0" fillId="0" borderId="0" xfId="0" applyAlignment="1"/>
  </cellXfs>
  <cellStyles count="1490">
    <cellStyle name="%" xfId="5" xr:uid="{00000000-0005-0000-0000-000000000000}"/>
    <cellStyle name="% 10" xfId="104" xr:uid="{00000000-0005-0000-0000-000001000000}"/>
    <cellStyle name="% 10 2 3" xfId="1483" xr:uid="{00000000-0005-0000-0000-000002000000}"/>
    <cellStyle name="% 2" xfId="6" xr:uid="{00000000-0005-0000-0000-000003000000}"/>
    <cellStyle name="% 2 2" xfId="1" xr:uid="{00000000-0005-0000-0000-000004000000}"/>
    <cellStyle name="% 2 2 2" xfId="107" xr:uid="{00000000-0005-0000-0000-000005000000}"/>
    <cellStyle name="% 2 2 3" xfId="106" xr:uid="{00000000-0005-0000-0000-000006000000}"/>
    <cellStyle name="% 2 3" xfId="105" xr:uid="{00000000-0005-0000-0000-000007000000}"/>
    <cellStyle name="% 3" xfId="108" xr:uid="{00000000-0005-0000-0000-000008000000}"/>
    <cellStyle name="% 4" xfId="109" xr:uid="{00000000-0005-0000-0000-000009000000}"/>
    <cellStyle name="% 4 2" xfId="110" xr:uid="{00000000-0005-0000-0000-00000A000000}"/>
    <cellStyle name="% 4 3" xfId="111" xr:uid="{00000000-0005-0000-0000-00000B000000}"/>
    <cellStyle name="% 4 4" xfId="112" xr:uid="{00000000-0005-0000-0000-00000C000000}"/>
    <cellStyle name="% 4 5" xfId="113" xr:uid="{00000000-0005-0000-0000-00000D000000}"/>
    <cellStyle name="% 4 6" xfId="114" xr:uid="{00000000-0005-0000-0000-00000E000000}"/>
    <cellStyle name="% 4 7" xfId="115" xr:uid="{00000000-0005-0000-0000-00000F000000}"/>
    <cellStyle name="% 4 8" xfId="116" xr:uid="{00000000-0005-0000-0000-000010000000}"/>
    <cellStyle name="% 5" xfId="1482" xr:uid="{00000000-0005-0000-0000-000011000000}"/>
    <cellStyle name="% 6" xfId="103" xr:uid="{00000000-0005-0000-0000-000012000000}"/>
    <cellStyle name="%_3.3 Tax" xfId="117" xr:uid="{00000000-0005-0000-0000-000013000000}"/>
    <cellStyle name="%_3.3 Tax 2" xfId="118" xr:uid="{00000000-0005-0000-0000-000014000000}"/>
    <cellStyle name="%_BP10+ GTO Capex Split CN" xfId="119" xr:uid="{00000000-0005-0000-0000-000015000000}"/>
    <cellStyle name="%_GTO Non Operational Capex Roll-over submission (FINAL with property)" xfId="120" xr:uid="{00000000-0005-0000-0000-000016000000}"/>
    <cellStyle name="%_NGG TPCR4 MG Workings" xfId="121" xr:uid="{00000000-0005-0000-0000-000017000000}"/>
    <cellStyle name="%_Opex Input" xfId="122" xr:uid="{00000000-0005-0000-0000-000018000000}"/>
    <cellStyle name="%_RRP Rec" xfId="7" xr:uid="{00000000-0005-0000-0000-000019000000}"/>
    <cellStyle name="%_Section 5" xfId="8" xr:uid="{00000000-0005-0000-0000-00001A000000}"/>
    <cellStyle name="%_Transmission PCRRP tables_SPTL_200809 V1" xfId="123" xr:uid="{00000000-0005-0000-0000-00001B000000}"/>
    <cellStyle name="%_VR NGET Opex tables" xfId="124" xr:uid="{00000000-0005-0000-0000-00001C000000}"/>
    <cellStyle name="%_VR Pensions Opex tables" xfId="125" xr:uid="{00000000-0005-0000-0000-00001D000000}"/>
    <cellStyle name="_070323 - 5yr opex BPQ (Final)" xfId="126" xr:uid="{00000000-0005-0000-0000-00001E000000}"/>
    <cellStyle name="_0708 GSO Capex RRP (detail)" xfId="127" xr:uid="{00000000-0005-0000-0000-00001F000000}"/>
    <cellStyle name="_0708 GSO Capex RRP (detail) 2" xfId="128" xr:uid="{00000000-0005-0000-0000-000020000000}"/>
    <cellStyle name="_0708 GSO Capex RRP (detail) 2 2" xfId="129" xr:uid="{00000000-0005-0000-0000-000021000000}"/>
    <cellStyle name="_0708 GSO Capex RRP (detail) 2 3" xfId="130" xr:uid="{00000000-0005-0000-0000-000022000000}"/>
    <cellStyle name="_0708 GSO Capex RRP (detail) 2 4" xfId="131" xr:uid="{00000000-0005-0000-0000-000023000000}"/>
    <cellStyle name="_0708 GSO Capex RRP (detail) 2 5" xfId="132" xr:uid="{00000000-0005-0000-0000-000024000000}"/>
    <cellStyle name="_0708 GSO Capex RRP (detail) 2 6" xfId="133" xr:uid="{00000000-0005-0000-0000-000025000000}"/>
    <cellStyle name="_0708 GSO Capex RRP (detail) 2 7" xfId="134" xr:uid="{00000000-0005-0000-0000-000026000000}"/>
    <cellStyle name="_0708 GSO Capex RRP (detail) 2 8" xfId="135" xr:uid="{00000000-0005-0000-0000-000027000000}"/>
    <cellStyle name="_0708 GSO Capex RRP (detail)_Opex Input" xfId="136" xr:uid="{00000000-0005-0000-0000-000028000000}"/>
    <cellStyle name="_0708 TO Non-Op Capex (detail)" xfId="137" xr:uid="{00000000-0005-0000-0000-000029000000}"/>
    <cellStyle name="_Book4" xfId="138" xr:uid="{00000000-0005-0000-0000-00002A000000}"/>
    <cellStyle name="_Book4 2" xfId="139" xr:uid="{00000000-0005-0000-0000-00002B000000}"/>
    <cellStyle name="_Book4 2 2" xfId="140" xr:uid="{00000000-0005-0000-0000-00002C000000}"/>
    <cellStyle name="_Book4 2 3" xfId="141" xr:uid="{00000000-0005-0000-0000-00002D000000}"/>
    <cellStyle name="_Book4 2 4" xfId="142" xr:uid="{00000000-0005-0000-0000-00002E000000}"/>
    <cellStyle name="_Book4 2 5" xfId="143" xr:uid="{00000000-0005-0000-0000-00002F000000}"/>
    <cellStyle name="_Book4 2 6" xfId="144" xr:uid="{00000000-0005-0000-0000-000030000000}"/>
    <cellStyle name="_Book4 2 7" xfId="145" xr:uid="{00000000-0005-0000-0000-000031000000}"/>
    <cellStyle name="_Book4 2 8" xfId="146" xr:uid="{00000000-0005-0000-0000-000032000000}"/>
    <cellStyle name="_BP10+ GTO Capex Split CN" xfId="147" xr:uid="{00000000-0005-0000-0000-000033000000}"/>
    <cellStyle name="_BP10+post TIC 1 Jun" xfId="148" xr:uid="{00000000-0005-0000-0000-000034000000}"/>
    <cellStyle name="_BP10+post TIC 1 Jun 2" xfId="149" xr:uid="{00000000-0005-0000-0000-000035000000}"/>
    <cellStyle name="_BP10+post TIC 1 Jun 2 2" xfId="150" xr:uid="{00000000-0005-0000-0000-000036000000}"/>
    <cellStyle name="_BP10+post TIC 1 Jun 2 3" xfId="151" xr:uid="{00000000-0005-0000-0000-000037000000}"/>
    <cellStyle name="_BP10+post TIC 1 Jun 2 4" xfId="152" xr:uid="{00000000-0005-0000-0000-000038000000}"/>
    <cellStyle name="_BP10+post TIC 1 Jun 2 5" xfId="153" xr:uid="{00000000-0005-0000-0000-000039000000}"/>
    <cellStyle name="_BP10+post TIC 1 Jun 2 6" xfId="154" xr:uid="{00000000-0005-0000-0000-00003A000000}"/>
    <cellStyle name="_BP10+post TIC 1 Jun 2 7" xfId="155" xr:uid="{00000000-0005-0000-0000-00003B000000}"/>
    <cellStyle name="_BP10+post TIC 1 Jun 2 8" xfId="156" xr:uid="{00000000-0005-0000-0000-00003C000000}"/>
    <cellStyle name="_Capital Plan - IS UK" xfId="157" xr:uid="{00000000-0005-0000-0000-00003D000000}"/>
    <cellStyle name="_Capital Plan - IS UK_0910 GSO Capex RRP - Final (Detail) v2 220710" xfId="158" xr:uid="{00000000-0005-0000-0000-00003E000000}"/>
    <cellStyle name="_Capital Plan - IS UK_0910 GSO Capex RRP - Final (Detail) v2 220710 2" xfId="159" xr:uid="{00000000-0005-0000-0000-00003F000000}"/>
    <cellStyle name="_Capital Plan - IS UK_0910 GSO Capex RRP - Final (Detail) v2 220710 2 2" xfId="160" xr:uid="{00000000-0005-0000-0000-000040000000}"/>
    <cellStyle name="_Capital Plan - IS UK_0910 GSO Capex RRP - Final (Detail) v2 220710 2 3" xfId="161" xr:uid="{00000000-0005-0000-0000-000041000000}"/>
    <cellStyle name="_Capital Plan - IS UK_0910 GSO Capex RRP - Final (Detail) v2 220710 2 4" xfId="162" xr:uid="{00000000-0005-0000-0000-000042000000}"/>
    <cellStyle name="_Capital Plan - IS UK_0910 GSO Capex RRP - Final (Detail) v2 220710 2 5" xfId="163" xr:uid="{00000000-0005-0000-0000-000043000000}"/>
    <cellStyle name="_Capital Plan - IS UK_0910 GSO Capex RRP - Final (Detail) v2 220710 2 6" xfId="164" xr:uid="{00000000-0005-0000-0000-000044000000}"/>
    <cellStyle name="_Capital Plan - IS UK_0910 GSO Capex RRP - Final (Detail) v2 220710 2 7" xfId="165" xr:uid="{00000000-0005-0000-0000-000045000000}"/>
    <cellStyle name="_Capital Plan - IS UK_0910 GSO Capex RRP - Final (Detail) v2 220710 2 8" xfId="166" xr:uid="{00000000-0005-0000-0000-000046000000}"/>
    <cellStyle name="_Capital Plan - IS UK_0910 GSO Capex RRP - Final (Detail) v2 220710_Opex Input" xfId="167" xr:uid="{00000000-0005-0000-0000-000047000000}"/>
    <cellStyle name="_Gas TO major Projects Forecast Jun-10" xfId="168" xr:uid="{00000000-0005-0000-0000-000048000000}"/>
    <cellStyle name="_Gas TO major Projects Forecast Jun-10 2" xfId="169" xr:uid="{00000000-0005-0000-0000-000049000000}"/>
    <cellStyle name="_Gas TO major Projects Forecast Jun-10 2 2" xfId="170" xr:uid="{00000000-0005-0000-0000-00004A000000}"/>
    <cellStyle name="_Gas TO major Projects Forecast Jun-10 2 3" xfId="171" xr:uid="{00000000-0005-0000-0000-00004B000000}"/>
    <cellStyle name="_Gas TO major Projects Forecast Jun-10 2 4" xfId="172" xr:uid="{00000000-0005-0000-0000-00004C000000}"/>
    <cellStyle name="_Gas TO major Projects Forecast Jun-10 2 5" xfId="173" xr:uid="{00000000-0005-0000-0000-00004D000000}"/>
    <cellStyle name="_Gas TO major Projects Forecast Jun-10 2 6" xfId="174" xr:uid="{00000000-0005-0000-0000-00004E000000}"/>
    <cellStyle name="_Gas TO major Projects Forecast Jun-10 2 7" xfId="175" xr:uid="{00000000-0005-0000-0000-00004F000000}"/>
    <cellStyle name="_Gas TO major Projects Forecast Jun-10 2 8" xfId="176" xr:uid="{00000000-0005-0000-0000-000050000000}"/>
    <cellStyle name="_Gas TO major Projects Forecast May-10 BP10+ v5" xfId="177" xr:uid="{00000000-0005-0000-0000-000051000000}"/>
    <cellStyle name="_Gas TO major Projects Forecast May-10 BP10+ v5 2" xfId="178" xr:uid="{00000000-0005-0000-0000-000052000000}"/>
    <cellStyle name="_Gas TO major Projects Forecast May-10 BP10+ v5 2 2" xfId="179" xr:uid="{00000000-0005-0000-0000-000053000000}"/>
    <cellStyle name="_Gas TO major Projects Forecast May-10 BP10+ v5 2 3" xfId="180" xr:uid="{00000000-0005-0000-0000-000054000000}"/>
    <cellStyle name="_Gas TO major Projects Forecast May-10 BP10+ v5 2 4" xfId="181" xr:uid="{00000000-0005-0000-0000-000055000000}"/>
    <cellStyle name="_Gas TO major Projects Forecast May-10 BP10+ v5 2 5" xfId="182" xr:uid="{00000000-0005-0000-0000-000056000000}"/>
    <cellStyle name="_Gas TO major Projects Forecast May-10 BP10+ v5 2 6" xfId="183" xr:uid="{00000000-0005-0000-0000-000057000000}"/>
    <cellStyle name="_Gas TO major Projects Forecast May-10 BP10+ v5 2 7" xfId="184" xr:uid="{00000000-0005-0000-0000-000058000000}"/>
    <cellStyle name="_Gas TO major Projects Forecast May-10 BP10+ v5 2 8" xfId="185" xr:uid="{00000000-0005-0000-0000-000059000000}"/>
    <cellStyle name="_GTO Non Operational Capex Roll-over submission (FINAL with property)" xfId="186" xr:uid="{00000000-0005-0000-0000-00005A000000}"/>
    <cellStyle name="_Test scoring_UKGDx_20070924_Pilot (DV)" xfId="187" xr:uid="{00000000-0005-0000-0000-00005B000000}"/>
    <cellStyle name="=C:\WINNT\SYSTEM32\COMMAND.COM" xfId="97" xr:uid="{00000000-0005-0000-0000-00005C000000}"/>
    <cellStyle name="=C:\WINNT\SYSTEM32\COMMAND.COM 10" xfId="95" xr:uid="{00000000-0005-0000-0000-00005D000000}"/>
    <cellStyle name="=C:\WINNT\SYSTEM32\COMMAND.COM 11" xfId="188" xr:uid="{00000000-0005-0000-0000-00005E000000}"/>
    <cellStyle name="=C:\WINNT\SYSTEM32\COMMAND.COM 12" xfId="189" xr:uid="{00000000-0005-0000-0000-00005F000000}"/>
    <cellStyle name="=C:\WINNT\SYSTEM32\COMMAND.COM 13" xfId="190" xr:uid="{00000000-0005-0000-0000-000060000000}"/>
    <cellStyle name="=C:\WINNT\SYSTEM32\COMMAND.COM 14" xfId="191" xr:uid="{00000000-0005-0000-0000-000061000000}"/>
    <cellStyle name="=C:\WINNT\SYSTEM32\COMMAND.COM 15" xfId="192" xr:uid="{00000000-0005-0000-0000-000062000000}"/>
    <cellStyle name="=C:\WINNT\SYSTEM32\COMMAND.COM 16" xfId="193" xr:uid="{00000000-0005-0000-0000-000063000000}"/>
    <cellStyle name="=C:\WINNT\SYSTEM32\COMMAND.COM 17" xfId="194" xr:uid="{00000000-0005-0000-0000-000064000000}"/>
    <cellStyle name="=C:\WINNT\SYSTEM32\COMMAND.COM 18" xfId="195" xr:uid="{00000000-0005-0000-0000-000065000000}"/>
    <cellStyle name="=C:\WINNT\SYSTEM32\COMMAND.COM 19" xfId="196" xr:uid="{00000000-0005-0000-0000-000066000000}"/>
    <cellStyle name="=C:\WINNT\SYSTEM32\COMMAND.COM 2" xfId="93" xr:uid="{00000000-0005-0000-0000-000067000000}"/>
    <cellStyle name="=C:\WINNT\SYSTEM32\COMMAND.COM 2 2" xfId="197" xr:uid="{00000000-0005-0000-0000-000068000000}"/>
    <cellStyle name="=C:\WINNT\SYSTEM32\COMMAND.COM 2 2 2" xfId="198" xr:uid="{00000000-0005-0000-0000-000069000000}"/>
    <cellStyle name="=C:\WINNT\SYSTEM32\COMMAND.COM 2 2 2 2" xfId="199" xr:uid="{00000000-0005-0000-0000-00006A000000}"/>
    <cellStyle name="=C:\WINNT\SYSTEM32\COMMAND.COM 2 2 2 3" xfId="200" xr:uid="{00000000-0005-0000-0000-00006B000000}"/>
    <cellStyle name="=C:\WINNT\SYSTEM32\COMMAND.COM 2 2 2_Opex Input" xfId="201" xr:uid="{00000000-0005-0000-0000-00006C000000}"/>
    <cellStyle name="=C:\WINNT\SYSTEM32\COMMAND.COM 2 2 3" xfId="202" xr:uid="{00000000-0005-0000-0000-00006D000000}"/>
    <cellStyle name="=C:\WINNT\SYSTEM32\COMMAND.COM 2 2 4" xfId="1485" xr:uid="{00000000-0005-0000-0000-00006E000000}"/>
    <cellStyle name="=C:\WINNT\SYSTEM32\COMMAND.COM 2 2_Opex Input" xfId="203" xr:uid="{00000000-0005-0000-0000-00006F000000}"/>
    <cellStyle name="=C:\WINNT\SYSTEM32\COMMAND.COM 2 3" xfId="204" xr:uid="{00000000-0005-0000-0000-000070000000}"/>
    <cellStyle name="=C:\WINNT\SYSTEM32\COMMAND.COM 2 4" xfId="1387" xr:uid="{00000000-0005-0000-0000-000071000000}"/>
    <cellStyle name="=C:\WINNT\SYSTEM32\COMMAND.COM 2_Opex Input" xfId="205" xr:uid="{00000000-0005-0000-0000-000072000000}"/>
    <cellStyle name="=C:\WINNT\SYSTEM32\COMMAND.COM 20" xfId="206" xr:uid="{00000000-0005-0000-0000-000073000000}"/>
    <cellStyle name="=C:\WINNT\SYSTEM32\COMMAND.COM 21" xfId="207" xr:uid="{00000000-0005-0000-0000-000074000000}"/>
    <cellStyle name="=C:\WINNT\SYSTEM32\COMMAND.COM 22" xfId="208" xr:uid="{00000000-0005-0000-0000-000075000000}"/>
    <cellStyle name="=C:\WINNT\SYSTEM32\COMMAND.COM 23" xfId="209" xr:uid="{00000000-0005-0000-0000-000076000000}"/>
    <cellStyle name="=C:\WINNT\SYSTEM32\COMMAND.COM 23 2" xfId="210" xr:uid="{00000000-0005-0000-0000-000077000000}"/>
    <cellStyle name="=C:\WINNT\SYSTEM32\COMMAND.COM 24" xfId="211" xr:uid="{00000000-0005-0000-0000-000078000000}"/>
    <cellStyle name="=C:\WINNT\SYSTEM32\COMMAND.COM 25" xfId="212" xr:uid="{00000000-0005-0000-0000-000079000000}"/>
    <cellStyle name="=C:\WINNT\SYSTEM32\COMMAND.COM 25 2" xfId="213" xr:uid="{00000000-0005-0000-0000-00007A000000}"/>
    <cellStyle name="=C:\WINNT\SYSTEM32\COMMAND.COM 25 3" xfId="214" xr:uid="{00000000-0005-0000-0000-00007B000000}"/>
    <cellStyle name="=C:\WINNT\SYSTEM32\COMMAND.COM 26" xfId="215" xr:uid="{00000000-0005-0000-0000-00007C000000}"/>
    <cellStyle name="=C:\WINNT\SYSTEM32\COMMAND.COM 27" xfId="216" xr:uid="{00000000-0005-0000-0000-00007D000000}"/>
    <cellStyle name="=C:\WINNT\SYSTEM32\COMMAND.COM 28" xfId="217" xr:uid="{00000000-0005-0000-0000-00007E000000}"/>
    <cellStyle name="=C:\WINNT\SYSTEM32\COMMAND.COM 29" xfId="218" xr:uid="{00000000-0005-0000-0000-00007F000000}"/>
    <cellStyle name="=C:\WINNT\SYSTEM32\COMMAND.COM 3" xfId="94" xr:uid="{00000000-0005-0000-0000-000080000000}"/>
    <cellStyle name="=C:\WINNT\SYSTEM32\COMMAND.COM 30" xfId="219" xr:uid="{00000000-0005-0000-0000-000081000000}"/>
    <cellStyle name="=C:\WINNT\SYSTEM32\COMMAND.COM 31" xfId="220" xr:uid="{00000000-0005-0000-0000-000082000000}"/>
    <cellStyle name="=C:\WINNT\SYSTEM32\COMMAND.COM 32" xfId="221" xr:uid="{00000000-0005-0000-0000-000083000000}"/>
    <cellStyle name="=C:\WINNT\SYSTEM32\COMMAND.COM 33" xfId="222" xr:uid="{00000000-0005-0000-0000-000084000000}"/>
    <cellStyle name="=C:\WINNT\SYSTEM32\COMMAND.COM 4" xfId="223" xr:uid="{00000000-0005-0000-0000-000085000000}"/>
    <cellStyle name="=C:\WINNT\SYSTEM32\COMMAND.COM 4 2" xfId="224" xr:uid="{00000000-0005-0000-0000-000086000000}"/>
    <cellStyle name="=C:\WINNT\SYSTEM32\COMMAND.COM 4 3" xfId="225" xr:uid="{00000000-0005-0000-0000-000087000000}"/>
    <cellStyle name="=C:\WINNT\SYSTEM32\COMMAND.COM 4_Opex Input" xfId="226" xr:uid="{00000000-0005-0000-0000-000088000000}"/>
    <cellStyle name="=C:\WINNT\SYSTEM32\COMMAND.COM 5" xfId="227" xr:uid="{00000000-0005-0000-0000-000089000000}"/>
    <cellStyle name="=C:\WINNT\SYSTEM32\COMMAND.COM 6" xfId="228" xr:uid="{00000000-0005-0000-0000-00008A000000}"/>
    <cellStyle name="=C:\WINNT\SYSTEM32\COMMAND.COM 7" xfId="229" xr:uid="{00000000-0005-0000-0000-00008B000000}"/>
    <cellStyle name="=C:\WINNT\SYSTEM32\COMMAND.COM 8" xfId="230" xr:uid="{00000000-0005-0000-0000-00008C000000}"/>
    <cellStyle name="=C:\WINNT\SYSTEM32\COMMAND.COM 9" xfId="231" xr:uid="{00000000-0005-0000-0000-00008D000000}"/>
    <cellStyle name="=C:\WINNT\SYSTEM32\COMMAND.COM_Model_run_060901" xfId="232" xr:uid="{00000000-0005-0000-0000-00008E000000}"/>
    <cellStyle name="=C:\WINNT35\SYSTEM32\COMMAND.COM" xfId="233" xr:uid="{00000000-0005-0000-0000-00008F000000}"/>
    <cellStyle name="20% - Accent1 2" xfId="234" xr:uid="{00000000-0005-0000-0000-000090000000}"/>
    <cellStyle name="20% - Accent1 3" xfId="235" xr:uid="{00000000-0005-0000-0000-000091000000}"/>
    <cellStyle name="20% - Accent2 2" xfId="236" xr:uid="{00000000-0005-0000-0000-000092000000}"/>
    <cellStyle name="20% - Accent2 3" xfId="237" xr:uid="{00000000-0005-0000-0000-000093000000}"/>
    <cellStyle name="20% - Accent3 2" xfId="238" xr:uid="{00000000-0005-0000-0000-000094000000}"/>
    <cellStyle name="20% - Accent3 3" xfId="239" xr:uid="{00000000-0005-0000-0000-000095000000}"/>
    <cellStyle name="20% - Accent4 2" xfId="240" xr:uid="{00000000-0005-0000-0000-000096000000}"/>
    <cellStyle name="20% - Accent4 3" xfId="241" xr:uid="{00000000-0005-0000-0000-000097000000}"/>
    <cellStyle name="20% - Accent5 2" xfId="242" xr:uid="{00000000-0005-0000-0000-000098000000}"/>
    <cellStyle name="20% - Accent5 3" xfId="243" xr:uid="{00000000-0005-0000-0000-000099000000}"/>
    <cellStyle name="20% - Accent6 2" xfId="244" xr:uid="{00000000-0005-0000-0000-00009A000000}"/>
    <cellStyle name="20% - Accent6 3" xfId="245" xr:uid="{00000000-0005-0000-0000-00009B000000}"/>
    <cellStyle name="40% - Accent1 2" xfId="246" xr:uid="{00000000-0005-0000-0000-00009C000000}"/>
    <cellStyle name="40% - Accent1 3" xfId="247" xr:uid="{00000000-0005-0000-0000-00009D000000}"/>
    <cellStyle name="40% - Accent2 2" xfId="248" xr:uid="{00000000-0005-0000-0000-00009E000000}"/>
    <cellStyle name="40% - Accent2 3" xfId="249" xr:uid="{00000000-0005-0000-0000-00009F000000}"/>
    <cellStyle name="40% - Accent3 2" xfId="250" xr:uid="{00000000-0005-0000-0000-0000A0000000}"/>
    <cellStyle name="40% - Accent3 3" xfId="251" xr:uid="{00000000-0005-0000-0000-0000A1000000}"/>
    <cellStyle name="40% - Accent4 2" xfId="252" xr:uid="{00000000-0005-0000-0000-0000A2000000}"/>
    <cellStyle name="40% - Accent4 3" xfId="253" xr:uid="{00000000-0005-0000-0000-0000A3000000}"/>
    <cellStyle name="40% - Accent5 2" xfId="254" xr:uid="{00000000-0005-0000-0000-0000A4000000}"/>
    <cellStyle name="40% - Accent5 3" xfId="255" xr:uid="{00000000-0005-0000-0000-0000A5000000}"/>
    <cellStyle name="40% - Accent6 2" xfId="256" xr:uid="{00000000-0005-0000-0000-0000A6000000}"/>
    <cellStyle name="40% - Accent6 3" xfId="257" xr:uid="{00000000-0005-0000-0000-0000A7000000}"/>
    <cellStyle name="60% - Accent1 2" xfId="258" xr:uid="{00000000-0005-0000-0000-0000A8000000}"/>
    <cellStyle name="60% - Accent1 3" xfId="259" xr:uid="{00000000-0005-0000-0000-0000A9000000}"/>
    <cellStyle name="60% - Accent2 2" xfId="260" xr:uid="{00000000-0005-0000-0000-0000AA000000}"/>
    <cellStyle name="60% - Accent2 3" xfId="261" xr:uid="{00000000-0005-0000-0000-0000AB000000}"/>
    <cellStyle name="60% - Accent3 2" xfId="262" xr:uid="{00000000-0005-0000-0000-0000AC000000}"/>
    <cellStyle name="60% - Accent3 3" xfId="263" xr:uid="{00000000-0005-0000-0000-0000AD000000}"/>
    <cellStyle name="60% - Accent4 2" xfId="264" xr:uid="{00000000-0005-0000-0000-0000AE000000}"/>
    <cellStyle name="60% - Accent4 3" xfId="265" xr:uid="{00000000-0005-0000-0000-0000AF000000}"/>
    <cellStyle name="60% - Accent5 2" xfId="266" xr:uid="{00000000-0005-0000-0000-0000B0000000}"/>
    <cellStyle name="60% - Accent5 3" xfId="267" xr:uid="{00000000-0005-0000-0000-0000B1000000}"/>
    <cellStyle name="60% - Accent6 2" xfId="268" xr:uid="{00000000-0005-0000-0000-0000B2000000}"/>
    <cellStyle name="60% - Accent6 3" xfId="269" xr:uid="{00000000-0005-0000-0000-0000B3000000}"/>
    <cellStyle name="Accent1 - 20%" xfId="9" xr:uid="{00000000-0005-0000-0000-0000B4000000}"/>
    <cellStyle name="Accent1 - 20% 2" xfId="270" xr:uid="{00000000-0005-0000-0000-0000B5000000}"/>
    <cellStyle name="Accent1 - 40%" xfId="10" xr:uid="{00000000-0005-0000-0000-0000B6000000}"/>
    <cellStyle name="Accent1 - 40% 2" xfId="271" xr:uid="{00000000-0005-0000-0000-0000B7000000}"/>
    <cellStyle name="Accent1 - 60%" xfId="11" xr:uid="{00000000-0005-0000-0000-0000B8000000}"/>
    <cellStyle name="Accent1 - 60% 2" xfId="272" xr:uid="{00000000-0005-0000-0000-0000B9000000}"/>
    <cellStyle name="Accent1 2" xfId="273" xr:uid="{00000000-0005-0000-0000-0000BA000000}"/>
    <cellStyle name="Accent1 3" xfId="274" xr:uid="{00000000-0005-0000-0000-0000BB000000}"/>
    <cellStyle name="Accent2 - 20%" xfId="12" xr:uid="{00000000-0005-0000-0000-0000BC000000}"/>
    <cellStyle name="Accent2 - 20% 2" xfId="275" xr:uid="{00000000-0005-0000-0000-0000BD000000}"/>
    <cellStyle name="Accent2 - 40%" xfId="13" xr:uid="{00000000-0005-0000-0000-0000BE000000}"/>
    <cellStyle name="Accent2 - 40% 2" xfId="276" xr:uid="{00000000-0005-0000-0000-0000BF000000}"/>
    <cellStyle name="Accent2 - 60%" xfId="14" xr:uid="{00000000-0005-0000-0000-0000C0000000}"/>
    <cellStyle name="Accent2 - 60% 2" xfId="277" xr:uid="{00000000-0005-0000-0000-0000C1000000}"/>
    <cellStyle name="Accent2 2" xfId="278" xr:uid="{00000000-0005-0000-0000-0000C2000000}"/>
    <cellStyle name="Accent2 3" xfId="279" xr:uid="{00000000-0005-0000-0000-0000C3000000}"/>
    <cellStyle name="Accent3 - 20%" xfId="15" xr:uid="{00000000-0005-0000-0000-0000C4000000}"/>
    <cellStyle name="Accent3 - 20% 2" xfId="280" xr:uid="{00000000-0005-0000-0000-0000C5000000}"/>
    <cellStyle name="Accent3 - 40%" xfId="16" xr:uid="{00000000-0005-0000-0000-0000C6000000}"/>
    <cellStyle name="Accent3 - 40% 2" xfId="281" xr:uid="{00000000-0005-0000-0000-0000C7000000}"/>
    <cellStyle name="Accent3 - 60%" xfId="17" xr:uid="{00000000-0005-0000-0000-0000C8000000}"/>
    <cellStyle name="Accent3 - 60% 2" xfId="282" xr:uid="{00000000-0005-0000-0000-0000C9000000}"/>
    <cellStyle name="Accent3 2" xfId="283" xr:uid="{00000000-0005-0000-0000-0000CA000000}"/>
    <cellStyle name="Accent3 3" xfId="284" xr:uid="{00000000-0005-0000-0000-0000CB000000}"/>
    <cellStyle name="Accent4 - 20%" xfId="18" xr:uid="{00000000-0005-0000-0000-0000CC000000}"/>
    <cellStyle name="Accent4 - 20% 2" xfId="285" xr:uid="{00000000-0005-0000-0000-0000CD000000}"/>
    <cellStyle name="Accent4 - 40%" xfId="19" xr:uid="{00000000-0005-0000-0000-0000CE000000}"/>
    <cellStyle name="Accent4 - 40% 2" xfId="286" xr:uid="{00000000-0005-0000-0000-0000CF000000}"/>
    <cellStyle name="Accent4 - 60%" xfId="20" xr:uid="{00000000-0005-0000-0000-0000D0000000}"/>
    <cellStyle name="Accent4 - 60% 2" xfId="287" xr:uid="{00000000-0005-0000-0000-0000D1000000}"/>
    <cellStyle name="Accent4 2" xfId="288" xr:uid="{00000000-0005-0000-0000-0000D2000000}"/>
    <cellStyle name="Accent4 3" xfId="289" xr:uid="{00000000-0005-0000-0000-0000D3000000}"/>
    <cellStyle name="Accent5 - 20%" xfId="21" xr:uid="{00000000-0005-0000-0000-0000D4000000}"/>
    <cellStyle name="Accent5 - 20% 2" xfId="290" xr:uid="{00000000-0005-0000-0000-0000D5000000}"/>
    <cellStyle name="Accent5 - 40%" xfId="22" xr:uid="{00000000-0005-0000-0000-0000D6000000}"/>
    <cellStyle name="Accent5 - 40% 2" xfId="291" xr:uid="{00000000-0005-0000-0000-0000D7000000}"/>
    <cellStyle name="Accent5 - 60%" xfId="23" xr:uid="{00000000-0005-0000-0000-0000D8000000}"/>
    <cellStyle name="Accent5 - 60% 2" xfId="292" xr:uid="{00000000-0005-0000-0000-0000D9000000}"/>
    <cellStyle name="Accent5 2" xfId="293" xr:uid="{00000000-0005-0000-0000-0000DA000000}"/>
    <cellStyle name="Accent5 3" xfId="294" xr:uid="{00000000-0005-0000-0000-0000DB000000}"/>
    <cellStyle name="Accent6 - 20%" xfId="24" xr:uid="{00000000-0005-0000-0000-0000DC000000}"/>
    <cellStyle name="Accent6 - 20% 2" xfId="295" xr:uid="{00000000-0005-0000-0000-0000DD000000}"/>
    <cellStyle name="Accent6 - 40%" xfId="25" xr:uid="{00000000-0005-0000-0000-0000DE000000}"/>
    <cellStyle name="Accent6 - 40% 2" xfId="296" xr:uid="{00000000-0005-0000-0000-0000DF000000}"/>
    <cellStyle name="Accent6 - 60%" xfId="26" xr:uid="{00000000-0005-0000-0000-0000E0000000}"/>
    <cellStyle name="Accent6 - 60% 2" xfId="297" xr:uid="{00000000-0005-0000-0000-0000E1000000}"/>
    <cellStyle name="Accent6 2" xfId="298" xr:uid="{00000000-0005-0000-0000-0000E2000000}"/>
    <cellStyle name="Accent6 3" xfId="299" xr:uid="{00000000-0005-0000-0000-0000E3000000}"/>
    <cellStyle name="Bad 2" xfId="77" xr:uid="{00000000-0005-0000-0000-0000E4000000}"/>
    <cellStyle name="Bad 2 2" xfId="300" xr:uid="{00000000-0005-0000-0000-0000E5000000}"/>
    <cellStyle name="Bad 3" xfId="301" xr:uid="{00000000-0005-0000-0000-0000E6000000}"/>
    <cellStyle name="Calculation 2" xfId="302" xr:uid="{00000000-0005-0000-0000-0000E7000000}"/>
    <cellStyle name="Calculation 3" xfId="303" xr:uid="{00000000-0005-0000-0000-0000E8000000}"/>
    <cellStyle name="Check Cell 2" xfId="78" xr:uid="{00000000-0005-0000-0000-0000E9000000}"/>
    <cellStyle name="Check Cell 2 2" xfId="304" xr:uid="{00000000-0005-0000-0000-0000EA000000}"/>
    <cellStyle name="Check Cell 3" xfId="305" xr:uid="{00000000-0005-0000-0000-0000EB000000}"/>
    <cellStyle name="column Head Underlined" xfId="306" xr:uid="{00000000-0005-0000-0000-0000EC000000}"/>
    <cellStyle name="Column Heading" xfId="307" xr:uid="{00000000-0005-0000-0000-0000ED000000}"/>
    <cellStyle name="Comma [1]" xfId="308" xr:uid="{00000000-0005-0000-0000-0000EE000000}"/>
    <cellStyle name="Comma [1] 2" xfId="309" xr:uid="{00000000-0005-0000-0000-0000EF000000}"/>
    <cellStyle name="Comma [1] 2 2" xfId="310" xr:uid="{00000000-0005-0000-0000-0000F0000000}"/>
    <cellStyle name="Comma [1] 2 3" xfId="311" xr:uid="{00000000-0005-0000-0000-0000F1000000}"/>
    <cellStyle name="Comma [1] 2 4" xfId="312" xr:uid="{00000000-0005-0000-0000-0000F2000000}"/>
    <cellStyle name="Comma [1] 2 5" xfId="313" xr:uid="{00000000-0005-0000-0000-0000F3000000}"/>
    <cellStyle name="Comma [1] 2 6" xfId="314" xr:uid="{00000000-0005-0000-0000-0000F4000000}"/>
    <cellStyle name="Comma [1] 2 7" xfId="315" xr:uid="{00000000-0005-0000-0000-0000F5000000}"/>
    <cellStyle name="Comma [1] 2 8" xfId="316" xr:uid="{00000000-0005-0000-0000-0000F6000000}"/>
    <cellStyle name="Comma 10" xfId="317" xr:uid="{00000000-0005-0000-0000-0000F7000000}"/>
    <cellStyle name="Comma 10 2" xfId="1388" xr:uid="{00000000-0005-0000-0000-0000F8000000}"/>
    <cellStyle name="Comma 11" xfId="88" xr:uid="{00000000-0005-0000-0000-0000F9000000}"/>
    <cellStyle name="Comma 11 2" xfId="1385" xr:uid="{00000000-0005-0000-0000-0000FA000000}"/>
    <cellStyle name="Comma 12" xfId="318" xr:uid="{00000000-0005-0000-0000-0000FB000000}"/>
    <cellStyle name="Comma 12 2" xfId="1389" xr:uid="{00000000-0005-0000-0000-0000FC000000}"/>
    <cellStyle name="Comma 13" xfId="319" xr:uid="{00000000-0005-0000-0000-0000FD000000}"/>
    <cellStyle name="Comma 13 2" xfId="1390" xr:uid="{00000000-0005-0000-0000-0000FE000000}"/>
    <cellStyle name="Comma 2" xfId="4" xr:uid="{00000000-0005-0000-0000-0000FF000000}"/>
    <cellStyle name="Comma 2 10" xfId="321" xr:uid="{00000000-0005-0000-0000-000000010000}"/>
    <cellStyle name="Comma 2 10 2" xfId="1392" xr:uid="{00000000-0005-0000-0000-000001010000}"/>
    <cellStyle name="Comma 2 11" xfId="322" xr:uid="{00000000-0005-0000-0000-000002010000}"/>
    <cellStyle name="Comma 2 11 2" xfId="1393" xr:uid="{00000000-0005-0000-0000-000003010000}"/>
    <cellStyle name="Comma 2 12" xfId="323" xr:uid="{00000000-0005-0000-0000-000004010000}"/>
    <cellStyle name="Comma 2 12 2" xfId="1394" xr:uid="{00000000-0005-0000-0000-000005010000}"/>
    <cellStyle name="Comma 2 13" xfId="324" xr:uid="{00000000-0005-0000-0000-000006010000}"/>
    <cellStyle name="Comma 2 13 2" xfId="1395" xr:uid="{00000000-0005-0000-0000-000007010000}"/>
    <cellStyle name="Comma 2 14" xfId="325" xr:uid="{00000000-0005-0000-0000-000008010000}"/>
    <cellStyle name="Comma 2 14 2" xfId="1396" xr:uid="{00000000-0005-0000-0000-000009010000}"/>
    <cellStyle name="Comma 2 15" xfId="326" xr:uid="{00000000-0005-0000-0000-00000A010000}"/>
    <cellStyle name="Comma 2 15 2" xfId="1397" xr:uid="{00000000-0005-0000-0000-00000B010000}"/>
    <cellStyle name="Comma 2 16" xfId="327" xr:uid="{00000000-0005-0000-0000-00000C010000}"/>
    <cellStyle name="Comma 2 16 2" xfId="1398" xr:uid="{00000000-0005-0000-0000-00000D010000}"/>
    <cellStyle name="Comma 2 17" xfId="328" xr:uid="{00000000-0005-0000-0000-00000E010000}"/>
    <cellStyle name="Comma 2 17 2" xfId="1399" xr:uid="{00000000-0005-0000-0000-00000F010000}"/>
    <cellStyle name="Comma 2 18" xfId="329" xr:uid="{00000000-0005-0000-0000-000010010000}"/>
    <cellStyle name="Comma 2 18 2" xfId="1400" xr:uid="{00000000-0005-0000-0000-000011010000}"/>
    <cellStyle name="Comma 2 19" xfId="330" xr:uid="{00000000-0005-0000-0000-000012010000}"/>
    <cellStyle name="Comma 2 19 2" xfId="1401" xr:uid="{00000000-0005-0000-0000-000013010000}"/>
    <cellStyle name="Comma 2 2" xfId="331" xr:uid="{00000000-0005-0000-0000-000014010000}"/>
    <cellStyle name="Comma 2 2 10" xfId="332" xr:uid="{00000000-0005-0000-0000-000015010000}"/>
    <cellStyle name="Comma 2 2 10 2" xfId="1403" xr:uid="{00000000-0005-0000-0000-000016010000}"/>
    <cellStyle name="Comma 2 2 11" xfId="333" xr:uid="{00000000-0005-0000-0000-000017010000}"/>
    <cellStyle name="Comma 2 2 11 2" xfId="1404" xr:uid="{00000000-0005-0000-0000-000018010000}"/>
    <cellStyle name="Comma 2 2 12" xfId="334" xr:uid="{00000000-0005-0000-0000-000019010000}"/>
    <cellStyle name="Comma 2 2 12 2" xfId="1405" xr:uid="{00000000-0005-0000-0000-00001A010000}"/>
    <cellStyle name="Comma 2 2 13" xfId="335" xr:uid="{00000000-0005-0000-0000-00001B010000}"/>
    <cellStyle name="Comma 2 2 13 2" xfId="1406" xr:uid="{00000000-0005-0000-0000-00001C010000}"/>
    <cellStyle name="Comma 2 2 14" xfId="336" xr:uid="{00000000-0005-0000-0000-00001D010000}"/>
    <cellStyle name="Comma 2 2 14 2" xfId="1407" xr:uid="{00000000-0005-0000-0000-00001E010000}"/>
    <cellStyle name="Comma 2 2 15" xfId="337" xr:uid="{00000000-0005-0000-0000-00001F010000}"/>
    <cellStyle name="Comma 2 2 15 2" xfId="1408" xr:uid="{00000000-0005-0000-0000-000020010000}"/>
    <cellStyle name="Comma 2 2 16" xfId="338" xr:uid="{00000000-0005-0000-0000-000021010000}"/>
    <cellStyle name="Comma 2 2 16 2" xfId="1409" xr:uid="{00000000-0005-0000-0000-000022010000}"/>
    <cellStyle name="Comma 2 2 17" xfId="339" xr:uid="{00000000-0005-0000-0000-000023010000}"/>
    <cellStyle name="Comma 2 2 17 2" xfId="1410" xr:uid="{00000000-0005-0000-0000-000024010000}"/>
    <cellStyle name="Comma 2 2 18" xfId="340" xr:uid="{00000000-0005-0000-0000-000025010000}"/>
    <cellStyle name="Comma 2 2 18 2" xfId="1411" xr:uid="{00000000-0005-0000-0000-000026010000}"/>
    <cellStyle name="Comma 2 2 19" xfId="341" xr:uid="{00000000-0005-0000-0000-000027010000}"/>
    <cellStyle name="Comma 2 2 19 2" xfId="1412" xr:uid="{00000000-0005-0000-0000-000028010000}"/>
    <cellStyle name="Comma 2 2 2" xfId="342" xr:uid="{00000000-0005-0000-0000-000029010000}"/>
    <cellStyle name="Comma 2 2 2 10" xfId="343" xr:uid="{00000000-0005-0000-0000-00002A010000}"/>
    <cellStyle name="Comma 2 2 2 11" xfId="344" xr:uid="{00000000-0005-0000-0000-00002B010000}"/>
    <cellStyle name="Comma 2 2 2 12" xfId="345" xr:uid="{00000000-0005-0000-0000-00002C010000}"/>
    <cellStyle name="Comma 2 2 2 13" xfId="346" xr:uid="{00000000-0005-0000-0000-00002D010000}"/>
    <cellStyle name="Comma 2 2 2 14" xfId="347" xr:uid="{00000000-0005-0000-0000-00002E010000}"/>
    <cellStyle name="Comma 2 2 2 15" xfId="348" xr:uid="{00000000-0005-0000-0000-00002F010000}"/>
    <cellStyle name="Comma 2 2 2 16" xfId="349" xr:uid="{00000000-0005-0000-0000-000030010000}"/>
    <cellStyle name="Comma 2 2 2 17" xfId="350" xr:uid="{00000000-0005-0000-0000-000031010000}"/>
    <cellStyle name="Comma 2 2 2 18" xfId="351" xr:uid="{00000000-0005-0000-0000-000032010000}"/>
    <cellStyle name="Comma 2 2 2 19" xfId="1413" xr:uid="{00000000-0005-0000-0000-000033010000}"/>
    <cellStyle name="Comma 2 2 2 2" xfId="352" xr:uid="{00000000-0005-0000-0000-000034010000}"/>
    <cellStyle name="Comma 2 2 2 2 2" xfId="353" xr:uid="{00000000-0005-0000-0000-000035010000}"/>
    <cellStyle name="Comma 2 2 2 2 2 2" xfId="354" xr:uid="{00000000-0005-0000-0000-000036010000}"/>
    <cellStyle name="Comma 2 2 2 2 2 3" xfId="355" xr:uid="{00000000-0005-0000-0000-000037010000}"/>
    <cellStyle name="Comma 2 2 2 2 2 4" xfId="356" xr:uid="{00000000-0005-0000-0000-000038010000}"/>
    <cellStyle name="Comma 2 2 2 2 2 5" xfId="357" xr:uid="{00000000-0005-0000-0000-000039010000}"/>
    <cellStyle name="Comma 2 2 2 2 2 6" xfId="358" xr:uid="{00000000-0005-0000-0000-00003A010000}"/>
    <cellStyle name="Comma 2 2 2 2 2 7" xfId="359" xr:uid="{00000000-0005-0000-0000-00003B010000}"/>
    <cellStyle name="Comma 2 2 2 2 2 8" xfId="1414" xr:uid="{00000000-0005-0000-0000-00003C010000}"/>
    <cellStyle name="Comma 2 2 2 2 3" xfId="360" xr:uid="{00000000-0005-0000-0000-00003D010000}"/>
    <cellStyle name="Comma 2 2 2 2 4" xfId="361" xr:uid="{00000000-0005-0000-0000-00003E010000}"/>
    <cellStyle name="Comma 2 2 2 2 4 2" xfId="1415" xr:uid="{00000000-0005-0000-0000-00003F010000}"/>
    <cellStyle name="Comma 2 2 2 2 5" xfId="362" xr:uid="{00000000-0005-0000-0000-000040010000}"/>
    <cellStyle name="Comma 2 2 2 2 5 2" xfId="1416" xr:uid="{00000000-0005-0000-0000-000041010000}"/>
    <cellStyle name="Comma 2 2 2 2 6" xfId="363" xr:uid="{00000000-0005-0000-0000-000042010000}"/>
    <cellStyle name="Comma 2 2 2 2 6 2" xfId="1417" xr:uid="{00000000-0005-0000-0000-000043010000}"/>
    <cellStyle name="Comma 2 2 2 2 7" xfId="364" xr:uid="{00000000-0005-0000-0000-000044010000}"/>
    <cellStyle name="Comma 2 2 2 2 7 2" xfId="1418" xr:uid="{00000000-0005-0000-0000-000045010000}"/>
    <cellStyle name="Comma 2 2 2 2 8" xfId="365" xr:uid="{00000000-0005-0000-0000-000046010000}"/>
    <cellStyle name="Comma 2 2 2 2 8 2" xfId="1419" xr:uid="{00000000-0005-0000-0000-000047010000}"/>
    <cellStyle name="Comma 2 2 2 3" xfId="366" xr:uid="{00000000-0005-0000-0000-000048010000}"/>
    <cellStyle name="Comma 2 2 2 4" xfId="367" xr:uid="{00000000-0005-0000-0000-000049010000}"/>
    <cellStyle name="Comma 2 2 2 5" xfId="368" xr:uid="{00000000-0005-0000-0000-00004A010000}"/>
    <cellStyle name="Comma 2 2 2 5 2" xfId="369" xr:uid="{00000000-0005-0000-0000-00004B010000}"/>
    <cellStyle name="Comma 2 2 2 5 2 2" xfId="1420" xr:uid="{00000000-0005-0000-0000-00004C010000}"/>
    <cellStyle name="Comma 2 2 2 5 3" xfId="370" xr:uid="{00000000-0005-0000-0000-00004D010000}"/>
    <cellStyle name="Comma 2 2 2 5 3 2" xfId="1421" xr:uid="{00000000-0005-0000-0000-00004E010000}"/>
    <cellStyle name="Comma 2 2 2 5 4" xfId="371" xr:uid="{00000000-0005-0000-0000-00004F010000}"/>
    <cellStyle name="Comma 2 2 2 5 4 2" xfId="1422" xr:uid="{00000000-0005-0000-0000-000050010000}"/>
    <cellStyle name="Comma 2 2 2 5 5" xfId="372" xr:uid="{00000000-0005-0000-0000-000051010000}"/>
    <cellStyle name="Comma 2 2 2 5 5 2" xfId="1423" xr:uid="{00000000-0005-0000-0000-000052010000}"/>
    <cellStyle name="Comma 2 2 2 5 6" xfId="373" xr:uid="{00000000-0005-0000-0000-000053010000}"/>
    <cellStyle name="Comma 2 2 2 5 6 2" xfId="1424" xr:uid="{00000000-0005-0000-0000-000054010000}"/>
    <cellStyle name="Comma 2 2 2 5 7" xfId="374" xr:uid="{00000000-0005-0000-0000-000055010000}"/>
    <cellStyle name="Comma 2 2 2 5 7 2" xfId="1425" xr:uid="{00000000-0005-0000-0000-000056010000}"/>
    <cellStyle name="Comma 2 2 2 6" xfId="375" xr:uid="{00000000-0005-0000-0000-000057010000}"/>
    <cellStyle name="Comma 2 2 2 7" xfId="376" xr:uid="{00000000-0005-0000-0000-000058010000}"/>
    <cellStyle name="Comma 2 2 2 8" xfId="377" xr:uid="{00000000-0005-0000-0000-000059010000}"/>
    <cellStyle name="Comma 2 2 2 9" xfId="378" xr:uid="{00000000-0005-0000-0000-00005A010000}"/>
    <cellStyle name="Comma 2 2 20" xfId="1402" xr:uid="{00000000-0005-0000-0000-00005B010000}"/>
    <cellStyle name="Comma 2 2 3" xfId="379" xr:uid="{00000000-0005-0000-0000-00005C010000}"/>
    <cellStyle name="Comma 2 2 4" xfId="380" xr:uid="{00000000-0005-0000-0000-00005D010000}"/>
    <cellStyle name="Comma 2 2 4 2" xfId="381" xr:uid="{00000000-0005-0000-0000-00005E010000}"/>
    <cellStyle name="Comma 2 2 4 2 2" xfId="382" xr:uid="{00000000-0005-0000-0000-00005F010000}"/>
    <cellStyle name="Comma 2 2 4 2 2 2" xfId="1428" xr:uid="{00000000-0005-0000-0000-000060010000}"/>
    <cellStyle name="Comma 2 2 4 2 3" xfId="383" xr:uid="{00000000-0005-0000-0000-000061010000}"/>
    <cellStyle name="Comma 2 2 4 2 3 2" xfId="1429" xr:uid="{00000000-0005-0000-0000-000062010000}"/>
    <cellStyle name="Comma 2 2 4 2 4" xfId="384" xr:uid="{00000000-0005-0000-0000-000063010000}"/>
    <cellStyle name="Comma 2 2 4 2 4 2" xfId="1430" xr:uid="{00000000-0005-0000-0000-000064010000}"/>
    <cellStyle name="Comma 2 2 4 2 5" xfId="385" xr:uid="{00000000-0005-0000-0000-000065010000}"/>
    <cellStyle name="Comma 2 2 4 2 5 2" xfId="1431" xr:uid="{00000000-0005-0000-0000-000066010000}"/>
    <cellStyle name="Comma 2 2 4 2 6" xfId="386" xr:uid="{00000000-0005-0000-0000-000067010000}"/>
    <cellStyle name="Comma 2 2 4 2 6 2" xfId="1432" xr:uid="{00000000-0005-0000-0000-000068010000}"/>
    <cellStyle name="Comma 2 2 4 2 7" xfId="387" xr:uid="{00000000-0005-0000-0000-000069010000}"/>
    <cellStyle name="Comma 2 2 4 2 7 2" xfId="1433" xr:uid="{00000000-0005-0000-0000-00006A010000}"/>
    <cellStyle name="Comma 2 2 4 2 8" xfId="1427" xr:uid="{00000000-0005-0000-0000-00006B010000}"/>
    <cellStyle name="Comma 2 2 4 3" xfId="388" xr:uid="{00000000-0005-0000-0000-00006C010000}"/>
    <cellStyle name="Comma 2 2 4 3 2" xfId="1434" xr:uid="{00000000-0005-0000-0000-00006D010000}"/>
    <cellStyle name="Comma 2 2 4 4" xfId="389" xr:uid="{00000000-0005-0000-0000-00006E010000}"/>
    <cellStyle name="Comma 2 2 4 4 2" xfId="1435" xr:uid="{00000000-0005-0000-0000-00006F010000}"/>
    <cellStyle name="Comma 2 2 4 5" xfId="390" xr:uid="{00000000-0005-0000-0000-000070010000}"/>
    <cellStyle name="Comma 2 2 4 5 2" xfId="1436" xr:uid="{00000000-0005-0000-0000-000071010000}"/>
    <cellStyle name="Comma 2 2 4 6" xfId="391" xr:uid="{00000000-0005-0000-0000-000072010000}"/>
    <cellStyle name="Comma 2 2 4 6 2" xfId="1437" xr:uid="{00000000-0005-0000-0000-000073010000}"/>
    <cellStyle name="Comma 2 2 4 7" xfId="392" xr:uid="{00000000-0005-0000-0000-000074010000}"/>
    <cellStyle name="Comma 2 2 4 7 2" xfId="1438" xr:uid="{00000000-0005-0000-0000-000075010000}"/>
    <cellStyle name="Comma 2 2 4 8" xfId="393" xr:uid="{00000000-0005-0000-0000-000076010000}"/>
    <cellStyle name="Comma 2 2 4 8 2" xfId="1439" xr:uid="{00000000-0005-0000-0000-000077010000}"/>
    <cellStyle name="Comma 2 2 4 9" xfId="1426" xr:uid="{00000000-0005-0000-0000-000078010000}"/>
    <cellStyle name="Comma 2 2 5" xfId="394" xr:uid="{00000000-0005-0000-0000-000079010000}"/>
    <cellStyle name="Comma 2 2 5 2" xfId="1440" xr:uid="{00000000-0005-0000-0000-00007A010000}"/>
    <cellStyle name="Comma 2 2 6" xfId="395" xr:uid="{00000000-0005-0000-0000-00007B010000}"/>
    <cellStyle name="Comma 2 2 6 2" xfId="396" xr:uid="{00000000-0005-0000-0000-00007C010000}"/>
    <cellStyle name="Comma 2 2 6 2 2" xfId="1442" xr:uid="{00000000-0005-0000-0000-00007D010000}"/>
    <cellStyle name="Comma 2 2 6 3" xfId="397" xr:uid="{00000000-0005-0000-0000-00007E010000}"/>
    <cellStyle name="Comma 2 2 6 3 2" xfId="1443" xr:uid="{00000000-0005-0000-0000-00007F010000}"/>
    <cellStyle name="Comma 2 2 6 4" xfId="398" xr:uid="{00000000-0005-0000-0000-000080010000}"/>
    <cellStyle name="Comma 2 2 6 4 2" xfId="1444" xr:uid="{00000000-0005-0000-0000-000081010000}"/>
    <cellStyle name="Comma 2 2 6 5" xfId="399" xr:uid="{00000000-0005-0000-0000-000082010000}"/>
    <cellStyle name="Comma 2 2 6 5 2" xfId="1445" xr:uid="{00000000-0005-0000-0000-000083010000}"/>
    <cellStyle name="Comma 2 2 6 6" xfId="400" xr:uid="{00000000-0005-0000-0000-000084010000}"/>
    <cellStyle name="Comma 2 2 6 6 2" xfId="1446" xr:uid="{00000000-0005-0000-0000-000085010000}"/>
    <cellStyle name="Comma 2 2 6 7" xfId="401" xr:uid="{00000000-0005-0000-0000-000086010000}"/>
    <cellStyle name="Comma 2 2 6 7 2" xfId="1447" xr:uid="{00000000-0005-0000-0000-000087010000}"/>
    <cellStyle name="Comma 2 2 6 8" xfId="1441" xr:uid="{00000000-0005-0000-0000-000088010000}"/>
    <cellStyle name="Comma 2 2 7" xfId="402" xr:uid="{00000000-0005-0000-0000-000089010000}"/>
    <cellStyle name="Comma 2 2 7 2" xfId="1448" xr:uid="{00000000-0005-0000-0000-00008A010000}"/>
    <cellStyle name="Comma 2 2 8" xfId="403" xr:uid="{00000000-0005-0000-0000-00008B010000}"/>
    <cellStyle name="Comma 2 2 8 2" xfId="1449" xr:uid="{00000000-0005-0000-0000-00008C010000}"/>
    <cellStyle name="Comma 2 2 9" xfId="404" xr:uid="{00000000-0005-0000-0000-00008D010000}"/>
    <cellStyle name="Comma 2 2 9 2" xfId="1450" xr:uid="{00000000-0005-0000-0000-00008E010000}"/>
    <cellStyle name="Comma 2 2_Opex Input" xfId="405" xr:uid="{00000000-0005-0000-0000-00008F010000}"/>
    <cellStyle name="Comma 2 20" xfId="406" xr:uid="{00000000-0005-0000-0000-000090010000}"/>
    <cellStyle name="Comma 2 20 2" xfId="1451" xr:uid="{00000000-0005-0000-0000-000091010000}"/>
    <cellStyle name="Comma 2 21" xfId="1391" xr:uid="{00000000-0005-0000-0000-000092010000}"/>
    <cellStyle name="Comma 2 22" xfId="320" xr:uid="{00000000-0005-0000-0000-000093010000}"/>
    <cellStyle name="Comma 2 3" xfId="407" xr:uid="{00000000-0005-0000-0000-000094010000}"/>
    <cellStyle name="Comma 2 3 2" xfId="408" xr:uid="{00000000-0005-0000-0000-000095010000}"/>
    <cellStyle name="Comma 2 3 2 2" xfId="409" xr:uid="{00000000-0005-0000-0000-000096010000}"/>
    <cellStyle name="Comma 2 3 2 2 2" xfId="1454" xr:uid="{00000000-0005-0000-0000-000097010000}"/>
    <cellStyle name="Comma 2 3 2 3" xfId="1453" xr:uid="{00000000-0005-0000-0000-000098010000}"/>
    <cellStyle name="Comma 2 3 3" xfId="410" xr:uid="{00000000-0005-0000-0000-000099010000}"/>
    <cellStyle name="Comma 2 3 3 2" xfId="1455" xr:uid="{00000000-0005-0000-0000-00009A010000}"/>
    <cellStyle name="Comma 2 3 4" xfId="1452" xr:uid="{00000000-0005-0000-0000-00009B010000}"/>
    <cellStyle name="Comma 2 4" xfId="411" xr:uid="{00000000-0005-0000-0000-00009C010000}"/>
    <cellStyle name="Comma 2 4 2" xfId="1456" xr:uid="{00000000-0005-0000-0000-00009D010000}"/>
    <cellStyle name="Comma 2 5" xfId="412" xr:uid="{00000000-0005-0000-0000-00009E010000}"/>
    <cellStyle name="Comma 2 5 2" xfId="1457" xr:uid="{00000000-0005-0000-0000-00009F010000}"/>
    <cellStyle name="Comma 2 6" xfId="413" xr:uid="{00000000-0005-0000-0000-0000A0010000}"/>
    <cellStyle name="Comma 2 6 2" xfId="1458" xr:uid="{00000000-0005-0000-0000-0000A1010000}"/>
    <cellStyle name="Comma 2 7" xfId="414" xr:uid="{00000000-0005-0000-0000-0000A2010000}"/>
    <cellStyle name="Comma 2 7 2" xfId="1459" xr:uid="{00000000-0005-0000-0000-0000A3010000}"/>
    <cellStyle name="Comma 2 8" xfId="415" xr:uid="{00000000-0005-0000-0000-0000A4010000}"/>
    <cellStyle name="Comma 2 8 2" xfId="1460" xr:uid="{00000000-0005-0000-0000-0000A5010000}"/>
    <cellStyle name="Comma 2 9" xfId="416" xr:uid="{00000000-0005-0000-0000-0000A6010000}"/>
    <cellStyle name="Comma 2 9 2" xfId="1461" xr:uid="{00000000-0005-0000-0000-0000A7010000}"/>
    <cellStyle name="Comma 3" xfId="417" xr:uid="{00000000-0005-0000-0000-0000A8010000}"/>
    <cellStyle name="Comma 3 2" xfId="418" xr:uid="{00000000-0005-0000-0000-0000A9010000}"/>
    <cellStyle name="Comma 3 2 2" xfId="419" xr:uid="{00000000-0005-0000-0000-0000AA010000}"/>
    <cellStyle name="Comma 3 2 2 2" xfId="1464" xr:uid="{00000000-0005-0000-0000-0000AB010000}"/>
    <cellStyle name="Comma 3 2 3" xfId="420" xr:uid="{00000000-0005-0000-0000-0000AC010000}"/>
    <cellStyle name="Comma 3 2 3 2" xfId="1465" xr:uid="{00000000-0005-0000-0000-0000AD010000}"/>
    <cellStyle name="Comma 3 2 4" xfId="1463" xr:uid="{00000000-0005-0000-0000-0000AE010000}"/>
    <cellStyle name="Comma 3 2 5" xfId="1489" xr:uid="{00000000-0005-0000-0000-0000AF010000}"/>
    <cellStyle name="Comma 3 3" xfId="421" xr:uid="{00000000-0005-0000-0000-0000B0010000}"/>
    <cellStyle name="Comma 3 3 2" xfId="1466" xr:uid="{00000000-0005-0000-0000-0000B1010000}"/>
    <cellStyle name="Comma 3 4" xfId="1462" xr:uid="{00000000-0005-0000-0000-0000B2010000}"/>
    <cellStyle name="Comma 3_Asset Health Themes (2)" xfId="422" xr:uid="{00000000-0005-0000-0000-0000B3010000}"/>
    <cellStyle name="Comma 4" xfId="423" xr:uid="{00000000-0005-0000-0000-0000B4010000}"/>
    <cellStyle name="Comma 4 2" xfId="1467" xr:uid="{00000000-0005-0000-0000-0000B5010000}"/>
    <cellStyle name="Comma 5" xfId="424" xr:uid="{00000000-0005-0000-0000-0000B6010000}"/>
    <cellStyle name="Comma 5 2" xfId="1468" xr:uid="{00000000-0005-0000-0000-0000B7010000}"/>
    <cellStyle name="Comma 6" xfId="91" xr:uid="{00000000-0005-0000-0000-0000B8010000}"/>
    <cellStyle name="Comma 6 2" xfId="1386" xr:uid="{00000000-0005-0000-0000-0000B9010000}"/>
    <cellStyle name="Comma 7" xfId="425" xr:uid="{00000000-0005-0000-0000-0000BA010000}"/>
    <cellStyle name="Comma 7 2" xfId="1469" xr:uid="{00000000-0005-0000-0000-0000BB010000}"/>
    <cellStyle name="Comma 8" xfId="426" xr:uid="{00000000-0005-0000-0000-0000BC010000}"/>
    <cellStyle name="Comma 8 2" xfId="427" xr:uid="{00000000-0005-0000-0000-0000BD010000}"/>
    <cellStyle name="Comma 8 2 2" xfId="1471" xr:uid="{00000000-0005-0000-0000-0000BE010000}"/>
    <cellStyle name="Comma 8 3" xfId="428" xr:uid="{00000000-0005-0000-0000-0000BF010000}"/>
    <cellStyle name="Comma 8 3 2" xfId="1472" xr:uid="{00000000-0005-0000-0000-0000C0010000}"/>
    <cellStyle name="Comma 8 4" xfId="1470" xr:uid="{00000000-0005-0000-0000-0000C1010000}"/>
    <cellStyle name="Comma 9" xfId="429" xr:uid="{00000000-0005-0000-0000-0000C2010000}"/>
    <cellStyle name="Comma 9 2" xfId="1473" xr:uid="{00000000-0005-0000-0000-0000C3010000}"/>
    <cellStyle name="Comment" xfId="85" xr:uid="{00000000-0005-0000-0000-0000C4010000}"/>
    <cellStyle name="Date" xfId="430" xr:uid="{00000000-0005-0000-0000-0000C5010000}"/>
    <cellStyle name="Date 2" xfId="431" xr:uid="{00000000-0005-0000-0000-0000C6010000}"/>
    <cellStyle name="Date_0910 GSO Capex RRP - Final (Detail) v2 220710" xfId="432" xr:uid="{00000000-0005-0000-0000-0000C7010000}"/>
    <cellStyle name="Dezimal [0]_Compiling Utility Macros" xfId="433" xr:uid="{00000000-0005-0000-0000-0000C8010000}"/>
    <cellStyle name="Dezimal_Compiling Utility Macros" xfId="434" xr:uid="{00000000-0005-0000-0000-0000C9010000}"/>
    <cellStyle name="Emphasis 1" xfId="27" xr:uid="{00000000-0005-0000-0000-0000CA010000}"/>
    <cellStyle name="Emphasis 1 2" xfId="435" xr:uid="{00000000-0005-0000-0000-0000CB010000}"/>
    <cellStyle name="Emphasis 2" xfId="28" xr:uid="{00000000-0005-0000-0000-0000CC010000}"/>
    <cellStyle name="Emphasis 2 2" xfId="436" xr:uid="{00000000-0005-0000-0000-0000CD010000}"/>
    <cellStyle name="Emphasis 3" xfId="29" xr:uid="{00000000-0005-0000-0000-0000CE010000}"/>
    <cellStyle name="Emphasis 3 2" xfId="437" xr:uid="{00000000-0005-0000-0000-0000CF010000}"/>
    <cellStyle name="Euro" xfId="438" xr:uid="{00000000-0005-0000-0000-0000D0010000}"/>
    <cellStyle name="Explanatory Text 2" xfId="439" xr:uid="{00000000-0005-0000-0000-0000D1010000}"/>
    <cellStyle name="Explanatory Text 3" xfId="440" xr:uid="{00000000-0005-0000-0000-0000D2010000}"/>
    <cellStyle name="Good 2" xfId="79" xr:uid="{00000000-0005-0000-0000-0000D3010000}"/>
    <cellStyle name="Good 2 2" xfId="441" xr:uid="{00000000-0005-0000-0000-0000D4010000}"/>
    <cellStyle name="Good 3" xfId="442" xr:uid="{00000000-0005-0000-0000-0000D5010000}"/>
    <cellStyle name="GreyOrWhite" xfId="443" xr:uid="{00000000-0005-0000-0000-0000D6010000}"/>
    <cellStyle name="GreyOrWhite 2" xfId="444" xr:uid="{00000000-0005-0000-0000-0000D7010000}"/>
    <cellStyle name="GreyOrWhite 2 2" xfId="445" xr:uid="{00000000-0005-0000-0000-0000D8010000}"/>
    <cellStyle name="GreyOrWhite 2 3" xfId="446" xr:uid="{00000000-0005-0000-0000-0000D9010000}"/>
    <cellStyle name="GreyOrWhite 2 4" xfId="447" xr:uid="{00000000-0005-0000-0000-0000DA010000}"/>
    <cellStyle name="GreyOrWhite 2 5" xfId="448" xr:uid="{00000000-0005-0000-0000-0000DB010000}"/>
    <cellStyle name="GreyOrWhite 2 6" xfId="449" xr:uid="{00000000-0005-0000-0000-0000DC010000}"/>
    <cellStyle name="GreyOrWhite 2 7" xfId="450" xr:uid="{00000000-0005-0000-0000-0000DD010000}"/>
    <cellStyle name="GreyOrWhite 2 8" xfId="451" xr:uid="{00000000-0005-0000-0000-0000DE010000}"/>
    <cellStyle name="Heading 1 2" xfId="452" xr:uid="{00000000-0005-0000-0000-0000DF010000}"/>
    <cellStyle name="Heading 1 3" xfId="453" xr:uid="{00000000-0005-0000-0000-0000E0010000}"/>
    <cellStyle name="Heading 2 2" xfId="454" xr:uid="{00000000-0005-0000-0000-0000E1010000}"/>
    <cellStyle name="Heading 2 3" xfId="455" xr:uid="{00000000-0005-0000-0000-0000E2010000}"/>
    <cellStyle name="Heading 3 2" xfId="456" xr:uid="{00000000-0005-0000-0000-0000E3010000}"/>
    <cellStyle name="Heading 3 3" xfId="457" xr:uid="{00000000-0005-0000-0000-0000E4010000}"/>
    <cellStyle name="Heading 4 2" xfId="458" xr:uid="{00000000-0005-0000-0000-0000E5010000}"/>
    <cellStyle name="Heading 4 3" xfId="459" xr:uid="{00000000-0005-0000-0000-0000E6010000}"/>
    <cellStyle name="Hyperlink 2" xfId="1487" xr:uid="{00000000-0005-0000-0000-0000E7010000}"/>
    <cellStyle name="Hyperlink 3" xfId="98" xr:uid="{00000000-0005-0000-0000-0000E8010000}"/>
    <cellStyle name="Input 2" xfId="460" xr:uid="{00000000-0005-0000-0000-0000E9010000}"/>
    <cellStyle name="Input 3" xfId="461" xr:uid="{00000000-0005-0000-0000-0000EA010000}"/>
    <cellStyle name="InputData" xfId="462" xr:uid="{00000000-0005-0000-0000-0000EB010000}"/>
    <cellStyle name="Level 1" xfId="82" xr:uid="{00000000-0005-0000-0000-0000EC010000}"/>
    <cellStyle name="Level 2" xfId="83" xr:uid="{00000000-0005-0000-0000-0000ED010000}"/>
    <cellStyle name="Level 3" xfId="84" xr:uid="{00000000-0005-0000-0000-0000EE010000}"/>
    <cellStyle name="Level 4" xfId="81" xr:uid="{00000000-0005-0000-0000-0000EF010000}"/>
    <cellStyle name="Linked Cell 2" xfId="463" xr:uid="{00000000-0005-0000-0000-0000F0010000}"/>
    <cellStyle name="Linked Cell 3" xfId="464" xr:uid="{00000000-0005-0000-0000-0000F1010000}"/>
    <cellStyle name="Main Heading" xfId="465" xr:uid="{00000000-0005-0000-0000-0000F2010000}"/>
    <cellStyle name="Neutral 2" xfId="80" xr:uid="{00000000-0005-0000-0000-0000F3010000}"/>
    <cellStyle name="Neutral 2 2" xfId="466" xr:uid="{00000000-0005-0000-0000-0000F4010000}"/>
    <cellStyle name="Neutral 3" xfId="467" xr:uid="{00000000-0005-0000-0000-0000F5010000}"/>
    <cellStyle name="Normal" xfId="0" builtinId="0"/>
    <cellStyle name="Normal 10" xfId="468" xr:uid="{00000000-0005-0000-0000-0000F7010000}"/>
    <cellStyle name="Normal 10 2 2 2" xfId="1476" xr:uid="{00000000-0005-0000-0000-0000F8010000}"/>
    <cellStyle name="Normal 11" xfId="469" xr:uid="{00000000-0005-0000-0000-0000F9010000}"/>
    <cellStyle name="Normal 11 2" xfId="470" xr:uid="{00000000-0005-0000-0000-0000FA010000}"/>
    <cellStyle name="Normal 12" xfId="471" xr:uid="{00000000-0005-0000-0000-0000FB010000}"/>
    <cellStyle name="Normal 12 2" xfId="472" xr:uid="{00000000-0005-0000-0000-0000FC010000}"/>
    <cellStyle name="Normal 13" xfId="473" xr:uid="{00000000-0005-0000-0000-0000FD010000}"/>
    <cellStyle name="Normal 13 2" xfId="92" xr:uid="{00000000-0005-0000-0000-0000FE010000}"/>
    <cellStyle name="Normal 13 2 10" xfId="1383" xr:uid="{00000000-0005-0000-0000-0000FF010000}"/>
    <cellStyle name="Normal 13 2 2 2" xfId="1486" xr:uid="{00000000-0005-0000-0000-000000020000}"/>
    <cellStyle name="Normal 14" xfId="89" xr:uid="{00000000-0005-0000-0000-000001020000}"/>
    <cellStyle name="Normal 14 2 10" xfId="1384" xr:uid="{00000000-0005-0000-0000-000002020000}"/>
    <cellStyle name="Normal 14 2_List of table gaps" xfId="1481" xr:uid="{00000000-0005-0000-0000-000003020000}"/>
    <cellStyle name="Normal 15" xfId="87" xr:uid="{00000000-0005-0000-0000-000004020000}"/>
    <cellStyle name="Normal 16" xfId="474" xr:uid="{00000000-0005-0000-0000-000005020000}"/>
    <cellStyle name="Normal 17" xfId="475" xr:uid="{00000000-0005-0000-0000-000006020000}"/>
    <cellStyle name="Normal 18" xfId="476" xr:uid="{00000000-0005-0000-0000-000007020000}"/>
    <cellStyle name="Normal 19" xfId="477" xr:uid="{00000000-0005-0000-0000-000008020000}"/>
    <cellStyle name="Normal 2" xfId="3" xr:uid="{00000000-0005-0000-0000-000009020000}"/>
    <cellStyle name="Normal 2 10" xfId="479" xr:uid="{00000000-0005-0000-0000-00000A020000}"/>
    <cellStyle name="Normal 2 11" xfId="480" xr:uid="{00000000-0005-0000-0000-00000B020000}"/>
    <cellStyle name="Normal 2 12" xfId="481" xr:uid="{00000000-0005-0000-0000-00000C020000}"/>
    <cellStyle name="Normal 2 13" xfId="482" xr:uid="{00000000-0005-0000-0000-00000D020000}"/>
    <cellStyle name="Normal 2 14" xfId="483" xr:uid="{00000000-0005-0000-0000-00000E020000}"/>
    <cellStyle name="Normal 2 15" xfId="484" xr:uid="{00000000-0005-0000-0000-00000F020000}"/>
    <cellStyle name="Normal 2 16" xfId="485" xr:uid="{00000000-0005-0000-0000-000010020000}"/>
    <cellStyle name="Normal 2 17" xfId="486" xr:uid="{00000000-0005-0000-0000-000011020000}"/>
    <cellStyle name="Normal 2 18" xfId="487" xr:uid="{00000000-0005-0000-0000-000012020000}"/>
    <cellStyle name="Normal 2 19" xfId="488" xr:uid="{00000000-0005-0000-0000-000013020000}"/>
    <cellStyle name="Normal 2 2" xfId="2" xr:uid="{00000000-0005-0000-0000-000014020000}"/>
    <cellStyle name="Normal 2 2 10" xfId="490" xr:uid="{00000000-0005-0000-0000-000015020000}"/>
    <cellStyle name="Normal 2 2 11" xfId="491" xr:uid="{00000000-0005-0000-0000-000016020000}"/>
    <cellStyle name="Normal 2 2 11 2" xfId="492" xr:uid="{00000000-0005-0000-0000-000017020000}"/>
    <cellStyle name="Normal 2 2 11 2 2" xfId="493" xr:uid="{00000000-0005-0000-0000-000018020000}"/>
    <cellStyle name="Normal 2 2 11 2 3" xfId="494" xr:uid="{00000000-0005-0000-0000-000019020000}"/>
    <cellStyle name="Normal 2 2 11 2 4" xfId="495" xr:uid="{00000000-0005-0000-0000-00001A020000}"/>
    <cellStyle name="Normal 2 2 11 2 5" xfId="496" xr:uid="{00000000-0005-0000-0000-00001B020000}"/>
    <cellStyle name="Normal 2 2 11 2 6" xfId="497" xr:uid="{00000000-0005-0000-0000-00001C020000}"/>
    <cellStyle name="Normal 2 2 11 2 7" xfId="498" xr:uid="{00000000-0005-0000-0000-00001D020000}"/>
    <cellStyle name="Normal 2 2 11 3" xfId="499" xr:uid="{00000000-0005-0000-0000-00001E020000}"/>
    <cellStyle name="Normal 2 2 11 4" xfId="500" xr:uid="{00000000-0005-0000-0000-00001F020000}"/>
    <cellStyle name="Normal 2 2 11 5" xfId="501" xr:uid="{00000000-0005-0000-0000-000020020000}"/>
    <cellStyle name="Normal 2 2 11 6" xfId="502" xr:uid="{00000000-0005-0000-0000-000021020000}"/>
    <cellStyle name="Normal 2 2 11 7" xfId="503" xr:uid="{00000000-0005-0000-0000-000022020000}"/>
    <cellStyle name="Normal 2 2 11 8" xfId="504" xr:uid="{00000000-0005-0000-0000-000023020000}"/>
    <cellStyle name="Normal 2 2 12" xfId="505" xr:uid="{00000000-0005-0000-0000-000024020000}"/>
    <cellStyle name="Normal 2 2 13" xfId="506" xr:uid="{00000000-0005-0000-0000-000025020000}"/>
    <cellStyle name="Normal 2 2 13 2" xfId="507" xr:uid="{00000000-0005-0000-0000-000026020000}"/>
    <cellStyle name="Normal 2 2 13 3" xfId="508" xr:uid="{00000000-0005-0000-0000-000027020000}"/>
    <cellStyle name="Normal 2 2 13 4" xfId="509" xr:uid="{00000000-0005-0000-0000-000028020000}"/>
    <cellStyle name="Normal 2 2 13 5" xfId="510" xr:uid="{00000000-0005-0000-0000-000029020000}"/>
    <cellStyle name="Normal 2 2 13 6" xfId="511" xr:uid="{00000000-0005-0000-0000-00002A020000}"/>
    <cellStyle name="Normal 2 2 13 7" xfId="512" xr:uid="{00000000-0005-0000-0000-00002B020000}"/>
    <cellStyle name="Normal 2 2 14" xfId="513" xr:uid="{00000000-0005-0000-0000-00002C020000}"/>
    <cellStyle name="Normal 2 2 15" xfId="514" xr:uid="{00000000-0005-0000-0000-00002D020000}"/>
    <cellStyle name="Normal 2 2 16" xfId="515" xr:uid="{00000000-0005-0000-0000-00002E020000}"/>
    <cellStyle name="Normal 2 2 17" xfId="516" xr:uid="{00000000-0005-0000-0000-00002F020000}"/>
    <cellStyle name="Normal 2 2 18" xfId="517" xr:uid="{00000000-0005-0000-0000-000030020000}"/>
    <cellStyle name="Normal 2 2 19" xfId="518" xr:uid="{00000000-0005-0000-0000-000031020000}"/>
    <cellStyle name="Normal 2 2 2" xfId="519" xr:uid="{00000000-0005-0000-0000-000032020000}"/>
    <cellStyle name="Normal 2 2 2 10" xfId="520" xr:uid="{00000000-0005-0000-0000-000033020000}"/>
    <cellStyle name="Normal 2 2 2 11" xfId="521" xr:uid="{00000000-0005-0000-0000-000034020000}"/>
    <cellStyle name="Normal 2 2 2 11 2" xfId="522" xr:uid="{00000000-0005-0000-0000-000035020000}"/>
    <cellStyle name="Normal 2 2 2 11 2 2" xfId="523" xr:uid="{00000000-0005-0000-0000-000036020000}"/>
    <cellStyle name="Normal 2 2 2 11 2 3" xfId="524" xr:uid="{00000000-0005-0000-0000-000037020000}"/>
    <cellStyle name="Normal 2 2 2 11 2 4" xfId="525" xr:uid="{00000000-0005-0000-0000-000038020000}"/>
    <cellStyle name="Normal 2 2 2 11 2 5" xfId="526" xr:uid="{00000000-0005-0000-0000-000039020000}"/>
    <cellStyle name="Normal 2 2 2 11 2 6" xfId="527" xr:uid="{00000000-0005-0000-0000-00003A020000}"/>
    <cellStyle name="Normal 2 2 2 11 2 7" xfId="528" xr:uid="{00000000-0005-0000-0000-00003B020000}"/>
    <cellStyle name="Normal 2 2 2 11 3" xfId="529" xr:uid="{00000000-0005-0000-0000-00003C020000}"/>
    <cellStyle name="Normal 2 2 2 11 4" xfId="530" xr:uid="{00000000-0005-0000-0000-00003D020000}"/>
    <cellStyle name="Normal 2 2 2 11 5" xfId="531" xr:uid="{00000000-0005-0000-0000-00003E020000}"/>
    <cellStyle name="Normal 2 2 2 11 6" xfId="532" xr:uid="{00000000-0005-0000-0000-00003F020000}"/>
    <cellStyle name="Normal 2 2 2 11 7" xfId="533" xr:uid="{00000000-0005-0000-0000-000040020000}"/>
    <cellStyle name="Normal 2 2 2 11 8" xfId="534" xr:uid="{00000000-0005-0000-0000-000041020000}"/>
    <cellStyle name="Normal 2 2 2 12" xfId="535" xr:uid="{00000000-0005-0000-0000-000042020000}"/>
    <cellStyle name="Normal 2 2 2 13" xfId="536" xr:uid="{00000000-0005-0000-0000-000043020000}"/>
    <cellStyle name="Normal 2 2 2 13 2" xfId="537" xr:uid="{00000000-0005-0000-0000-000044020000}"/>
    <cellStyle name="Normal 2 2 2 13 3" xfId="538" xr:uid="{00000000-0005-0000-0000-000045020000}"/>
    <cellStyle name="Normal 2 2 2 13 4" xfId="539" xr:uid="{00000000-0005-0000-0000-000046020000}"/>
    <cellStyle name="Normal 2 2 2 13 5" xfId="540" xr:uid="{00000000-0005-0000-0000-000047020000}"/>
    <cellStyle name="Normal 2 2 2 13 6" xfId="541" xr:uid="{00000000-0005-0000-0000-000048020000}"/>
    <cellStyle name="Normal 2 2 2 13 7" xfId="542" xr:uid="{00000000-0005-0000-0000-000049020000}"/>
    <cellStyle name="Normal 2 2 2 14" xfId="543" xr:uid="{00000000-0005-0000-0000-00004A020000}"/>
    <cellStyle name="Normal 2 2 2 15" xfId="544" xr:uid="{00000000-0005-0000-0000-00004B020000}"/>
    <cellStyle name="Normal 2 2 2 16" xfId="545" xr:uid="{00000000-0005-0000-0000-00004C020000}"/>
    <cellStyle name="Normal 2 2 2 17" xfId="546" xr:uid="{00000000-0005-0000-0000-00004D020000}"/>
    <cellStyle name="Normal 2 2 2 18" xfId="547" xr:uid="{00000000-0005-0000-0000-00004E020000}"/>
    <cellStyle name="Normal 2 2 2 19" xfId="548" xr:uid="{00000000-0005-0000-0000-00004F020000}"/>
    <cellStyle name="Normal 2 2 2 2" xfId="549" xr:uid="{00000000-0005-0000-0000-000050020000}"/>
    <cellStyle name="Normal 2 2 2 2 10" xfId="550" xr:uid="{00000000-0005-0000-0000-000051020000}"/>
    <cellStyle name="Normal 2 2 2 2 11" xfId="551" xr:uid="{00000000-0005-0000-0000-000052020000}"/>
    <cellStyle name="Normal 2 2 2 2 11 2" xfId="552" xr:uid="{00000000-0005-0000-0000-000053020000}"/>
    <cellStyle name="Normal 2 2 2 2 11 3" xfId="553" xr:uid="{00000000-0005-0000-0000-000054020000}"/>
    <cellStyle name="Normal 2 2 2 2 11 4" xfId="554" xr:uid="{00000000-0005-0000-0000-000055020000}"/>
    <cellStyle name="Normal 2 2 2 2 11 5" xfId="555" xr:uid="{00000000-0005-0000-0000-000056020000}"/>
    <cellStyle name="Normal 2 2 2 2 11 6" xfId="556" xr:uid="{00000000-0005-0000-0000-000057020000}"/>
    <cellStyle name="Normal 2 2 2 2 11 7" xfId="557" xr:uid="{00000000-0005-0000-0000-000058020000}"/>
    <cellStyle name="Normal 2 2 2 2 12" xfId="558" xr:uid="{00000000-0005-0000-0000-000059020000}"/>
    <cellStyle name="Normal 2 2 2 2 13" xfId="559" xr:uid="{00000000-0005-0000-0000-00005A020000}"/>
    <cellStyle name="Normal 2 2 2 2 14" xfId="560" xr:uid="{00000000-0005-0000-0000-00005B020000}"/>
    <cellStyle name="Normal 2 2 2 2 15" xfId="561" xr:uid="{00000000-0005-0000-0000-00005C020000}"/>
    <cellStyle name="Normal 2 2 2 2 16" xfId="562" xr:uid="{00000000-0005-0000-0000-00005D020000}"/>
    <cellStyle name="Normal 2 2 2 2 17" xfId="563" xr:uid="{00000000-0005-0000-0000-00005E020000}"/>
    <cellStyle name="Normal 2 2 2 2 18" xfId="564" xr:uid="{00000000-0005-0000-0000-00005F020000}"/>
    <cellStyle name="Normal 2 2 2 2 19" xfId="565" xr:uid="{00000000-0005-0000-0000-000060020000}"/>
    <cellStyle name="Normal 2 2 2 2 2" xfId="566" xr:uid="{00000000-0005-0000-0000-000061020000}"/>
    <cellStyle name="Normal 2 2 2 2 2 10" xfId="567" xr:uid="{00000000-0005-0000-0000-000062020000}"/>
    <cellStyle name="Normal 2 2 2 2 2 11" xfId="568" xr:uid="{00000000-0005-0000-0000-000063020000}"/>
    <cellStyle name="Normal 2 2 2 2 2 11 2" xfId="569" xr:uid="{00000000-0005-0000-0000-000064020000}"/>
    <cellStyle name="Normal 2 2 2 2 2 11 3" xfId="570" xr:uid="{00000000-0005-0000-0000-000065020000}"/>
    <cellStyle name="Normal 2 2 2 2 2 11 4" xfId="571" xr:uid="{00000000-0005-0000-0000-000066020000}"/>
    <cellStyle name="Normal 2 2 2 2 2 11 5" xfId="572" xr:uid="{00000000-0005-0000-0000-000067020000}"/>
    <cellStyle name="Normal 2 2 2 2 2 11 6" xfId="573" xr:uid="{00000000-0005-0000-0000-000068020000}"/>
    <cellStyle name="Normal 2 2 2 2 2 11 7" xfId="574" xr:uid="{00000000-0005-0000-0000-000069020000}"/>
    <cellStyle name="Normal 2 2 2 2 2 12" xfId="575" xr:uid="{00000000-0005-0000-0000-00006A020000}"/>
    <cellStyle name="Normal 2 2 2 2 2 13" xfId="576" xr:uid="{00000000-0005-0000-0000-00006B020000}"/>
    <cellStyle name="Normal 2 2 2 2 2 14" xfId="577" xr:uid="{00000000-0005-0000-0000-00006C020000}"/>
    <cellStyle name="Normal 2 2 2 2 2 15" xfId="578" xr:uid="{00000000-0005-0000-0000-00006D020000}"/>
    <cellStyle name="Normal 2 2 2 2 2 16" xfId="579" xr:uid="{00000000-0005-0000-0000-00006E020000}"/>
    <cellStyle name="Normal 2 2 2 2 2 17" xfId="580" xr:uid="{00000000-0005-0000-0000-00006F020000}"/>
    <cellStyle name="Normal 2 2 2 2 2 18" xfId="581" xr:uid="{00000000-0005-0000-0000-000070020000}"/>
    <cellStyle name="Normal 2 2 2 2 2 19" xfId="582" xr:uid="{00000000-0005-0000-0000-000071020000}"/>
    <cellStyle name="Normal 2 2 2 2 2 2" xfId="583" xr:uid="{00000000-0005-0000-0000-000072020000}"/>
    <cellStyle name="Normal 2 2 2 2 2 2 10" xfId="584" xr:uid="{00000000-0005-0000-0000-000073020000}"/>
    <cellStyle name="Normal 2 2 2 2 2 2 10 2" xfId="585" xr:uid="{00000000-0005-0000-0000-000074020000}"/>
    <cellStyle name="Normal 2 2 2 2 2 2 10 3" xfId="586" xr:uid="{00000000-0005-0000-0000-000075020000}"/>
    <cellStyle name="Normal 2 2 2 2 2 2 10 4" xfId="587" xr:uid="{00000000-0005-0000-0000-000076020000}"/>
    <cellStyle name="Normal 2 2 2 2 2 2 10 5" xfId="588" xr:uid="{00000000-0005-0000-0000-000077020000}"/>
    <cellStyle name="Normal 2 2 2 2 2 2 10 6" xfId="589" xr:uid="{00000000-0005-0000-0000-000078020000}"/>
    <cellStyle name="Normal 2 2 2 2 2 2 10 7" xfId="590" xr:uid="{00000000-0005-0000-0000-000079020000}"/>
    <cellStyle name="Normal 2 2 2 2 2 2 11" xfId="591" xr:uid="{00000000-0005-0000-0000-00007A020000}"/>
    <cellStyle name="Normal 2 2 2 2 2 2 12" xfId="592" xr:uid="{00000000-0005-0000-0000-00007B020000}"/>
    <cellStyle name="Normal 2 2 2 2 2 2 13" xfId="593" xr:uid="{00000000-0005-0000-0000-00007C020000}"/>
    <cellStyle name="Normal 2 2 2 2 2 2 14" xfId="594" xr:uid="{00000000-0005-0000-0000-00007D020000}"/>
    <cellStyle name="Normal 2 2 2 2 2 2 15" xfId="595" xr:uid="{00000000-0005-0000-0000-00007E020000}"/>
    <cellStyle name="Normal 2 2 2 2 2 2 16" xfId="596" xr:uid="{00000000-0005-0000-0000-00007F020000}"/>
    <cellStyle name="Normal 2 2 2 2 2 2 17" xfId="597" xr:uid="{00000000-0005-0000-0000-000080020000}"/>
    <cellStyle name="Normal 2 2 2 2 2 2 18" xfId="598" xr:uid="{00000000-0005-0000-0000-000081020000}"/>
    <cellStyle name="Normal 2 2 2 2 2 2 19" xfId="599" xr:uid="{00000000-0005-0000-0000-000082020000}"/>
    <cellStyle name="Normal 2 2 2 2 2 2 2" xfId="600" xr:uid="{00000000-0005-0000-0000-000083020000}"/>
    <cellStyle name="Normal 2 2 2 2 2 2 2 10" xfId="601" xr:uid="{00000000-0005-0000-0000-000084020000}"/>
    <cellStyle name="Normal 2 2 2 2 2 2 2 10 2" xfId="602" xr:uid="{00000000-0005-0000-0000-000085020000}"/>
    <cellStyle name="Normal 2 2 2 2 2 2 2 10 3" xfId="603" xr:uid="{00000000-0005-0000-0000-000086020000}"/>
    <cellStyle name="Normal 2 2 2 2 2 2 2 10 4" xfId="604" xr:uid="{00000000-0005-0000-0000-000087020000}"/>
    <cellStyle name="Normal 2 2 2 2 2 2 2 10 5" xfId="605" xr:uid="{00000000-0005-0000-0000-000088020000}"/>
    <cellStyle name="Normal 2 2 2 2 2 2 2 10 6" xfId="606" xr:uid="{00000000-0005-0000-0000-000089020000}"/>
    <cellStyle name="Normal 2 2 2 2 2 2 2 10 7" xfId="607" xr:uid="{00000000-0005-0000-0000-00008A020000}"/>
    <cellStyle name="Normal 2 2 2 2 2 2 2 11" xfId="608" xr:uid="{00000000-0005-0000-0000-00008B020000}"/>
    <cellStyle name="Normal 2 2 2 2 2 2 2 12" xfId="609" xr:uid="{00000000-0005-0000-0000-00008C020000}"/>
    <cellStyle name="Normal 2 2 2 2 2 2 2 13" xfId="610" xr:uid="{00000000-0005-0000-0000-00008D020000}"/>
    <cellStyle name="Normal 2 2 2 2 2 2 2 14" xfId="611" xr:uid="{00000000-0005-0000-0000-00008E020000}"/>
    <cellStyle name="Normal 2 2 2 2 2 2 2 15" xfId="612" xr:uid="{00000000-0005-0000-0000-00008F020000}"/>
    <cellStyle name="Normal 2 2 2 2 2 2 2 16" xfId="613" xr:uid="{00000000-0005-0000-0000-000090020000}"/>
    <cellStyle name="Normal 2 2 2 2 2 2 2 17" xfId="614" xr:uid="{00000000-0005-0000-0000-000091020000}"/>
    <cellStyle name="Normal 2 2 2 2 2 2 2 18" xfId="615" xr:uid="{00000000-0005-0000-0000-000092020000}"/>
    <cellStyle name="Normal 2 2 2 2 2 2 2 19" xfId="616" xr:uid="{00000000-0005-0000-0000-000093020000}"/>
    <cellStyle name="Normal 2 2 2 2 2 2 2 2" xfId="617" xr:uid="{00000000-0005-0000-0000-000094020000}"/>
    <cellStyle name="Normal 2 2 2 2 2 2 2 2 10" xfId="618" xr:uid="{00000000-0005-0000-0000-000095020000}"/>
    <cellStyle name="Normal 2 2 2 2 2 2 2 2 11" xfId="619" xr:uid="{00000000-0005-0000-0000-000096020000}"/>
    <cellStyle name="Normal 2 2 2 2 2 2 2 2 12" xfId="620" xr:uid="{00000000-0005-0000-0000-000097020000}"/>
    <cellStyle name="Normal 2 2 2 2 2 2 2 2 13" xfId="621" xr:uid="{00000000-0005-0000-0000-000098020000}"/>
    <cellStyle name="Normal 2 2 2 2 2 2 2 2 14" xfId="622" xr:uid="{00000000-0005-0000-0000-000099020000}"/>
    <cellStyle name="Normal 2 2 2 2 2 2 2 2 15" xfId="623" xr:uid="{00000000-0005-0000-0000-00009A020000}"/>
    <cellStyle name="Normal 2 2 2 2 2 2 2 2 16" xfId="624" xr:uid="{00000000-0005-0000-0000-00009B020000}"/>
    <cellStyle name="Normal 2 2 2 2 2 2 2 2 17" xfId="625" xr:uid="{00000000-0005-0000-0000-00009C020000}"/>
    <cellStyle name="Normal 2 2 2 2 2 2 2 2 18" xfId="626" xr:uid="{00000000-0005-0000-0000-00009D020000}"/>
    <cellStyle name="Normal 2 2 2 2 2 2 2 2 19" xfId="627" xr:uid="{00000000-0005-0000-0000-00009E020000}"/>
    <cellStyle name="Normal 2 2 2 2 2 2 2 2 2" xfId="628" xr:uid="{00000000-0005-0000-0000-00009F020000}"/>
    <cellStyle name="Normal 2 2 2 2 2 2 2 2 2 10" xfId="629" xr:uid="{00000000-0005-0000-0000-0000A0020000}"/>
    <cellStyle name="Normal 2 2 2 2 2 2 2 2 2 11" xfId="630" xr:uid="{00000000-0005-0000-0000-0000A1020000}"/>
    <cellStyle name="Normal 2 2 2 2 2 2 2 2 2 12" xfId="631" xr:uid="{00000000-0005-0000-0000-0000A2020000}"/>
    <cellStyle name="Normal 2 2 2 2 2 2 2 2 2 13" xfId="632" xr:uid="{00000000-0005-0000-0000-0000A3020000}"/>
    <cellStyle name="Normal 2 2 2 2 2 2 2 2 2 14" xfId="633" xr:uid="{00000000-0005-0000-0000-0000A4020000}"/>
    <cellStyle name="Normal 2 2 2 2 2 2 2 2 2 15" xfId="634" xr:uid="{00000000-0005-0000-0000-0000A5020000}"/>
    <cellStyle name="Normal 2 2 2 2 2 2 2 2 2 16" xfId="635" xr:uid="{00000000-0005-0000-0000-0000A6020000}"/>
    <cellStyle name="Normal 2 2 2 2 2 2 2 2 2 17" xfId="636" xr:uid="{00000000-0005-0000-0000-0000A7020000}"/>
    <cellStyle name="Normal 2 2 2 2 2 2 2 2 2 18" xfId="637" xr:uid="{00000000-0005-0000-0000-0000A8020000}"/>
    <cellStyle name="Normal 2 2 2 2 2 2 2 2 2 19" xfId="638" xr:uid="{00000000-0005-0000-0000-0000A9020000}"/>
    <cellStyle name="Normal 2 2 2 2 2 2 2 2 2 2" xfId="639" xr:uid="{00000000-0005-0000-0000-0000AA020000}"/>
    <cellStyle name="Normal 2 2 2 2 2 2 2 2 2 2 10" xfId="640" xr:uid="{00000000-0005-0000-0000-0000AB020000}"/>
    <cellStyle name="Normal 2 2 2 2 2 2 2 2 2 2 11" xfId="641" xr:uid="{00000000-0005-0000-0000-0000AC020000}"/>
    <cellStyle name="Normal 2 2 2 2 2 2 2 2 2 2 12" xfId="642" xr:uid="{00000000-0005-0000-0000-0000AD020000}"/>
    <cellStyle name="Normal 2 2 2 2 2 2 2 2 2 2 13" xfId="643" xr:uid="{00000000-0005-0000-0000-0000AE020000}"/>
    <cellStyle name="Normal 2 2 2 2 2 2 2 2 2 2 14" xfId="644" xr:uid="{00000000-0005-0000-0000-0000AF020000}"/>
    <cellStyle name="Normal 2 2 2 2 2 2 2 2 2 2 15" xfId="645" xr:uid="{00000000-0005-0000-0000-0000B0020000}"/>
    <cellStyle name="Normal 2 2 2 2 2 2 2 2 2 2 16" xfId="646" xr:uid="{00000000-0005-0000-0000-0000B1020000}"/>
    <cellStyle name="Normal 2 2 2 2 2 2 2 2 2 2 17" xfId="647" xr:uid="{00000000-0005-0000-0000-0000B2020000}"/>
    <cellStyle name="Normal 2 2 2 2 2 2 2 2 2 2 18" xfId="648" xr:uid="{00000000-0005-0000-0000-0000B3020000}"/>
    <cellStyle name="Normal 2 2 2 2 2 2 2 2 2 2 2" xfId="649" xr:uid="{00000000-0005-0000-0000-0000B4020000}"/>
    <cellStyle name="Normal 2 2 2 2 2 2 2 2 2 2 2 2" xfId="650" xr:uid="{00000000-0005-0000-0000-0000B5020000}"/>
    <cellStyle name="Normal 2 2 2 2 2 2 2 2 2 2 2 2 2" xfId="651" xr:uid="{00000000-0005-0000-0000-0000B6020000}"/>
    <cellStyle name="Normal 2 2 2 2 2 2 2 2 2 2 2 2 3" xfId="652" xr:uid="{00000000-0005-0000-0000-0000B7020000}"/>
    <cellStyle name="Normal 2 2 2 2 2 2 2 2 2 2 2 2 4" xfId="653" xr:uid="{00000000-0005-0000-0000-0000B8020000}"/>
    <cellStyle name="Normal 2 2 2 2 2 2 2 2 2 2 2 2 5" xfId="654" xr:uid="{00000000-0005-0000-0000-0000B9020000}"/>
    <cellStyle name="Normal 2 2 2 2 2 2 2 2 2 2 2 2 6" xfId="655" xr:uid="{00000000-0005-0000-0000-0000BA020000}"/>
    <cellStyle name="Normal 2 2 2 2 2 2 2 2 2 2 2 2 7" xfId="656" xr:uid="{00000000-0005-0000-0000-0000BB020000}"/>
    <cellStyle name="Normal 2 2 2 2 2 2 2 2 2 2 2 3" xfId="657" xr:uid="{00000000-0005-0000-0000-0000BC020000}"/>
    <cellStyle name="Normal 2 2 2 2 2 2 2 2 2 2 2 4" xfId="658" xr:uid="{00000000-0005-0000-0000-0000BD020000}"/>
    <cellStyle name="Normal 2 2 2 2 2 2 2 2 2 2 2 5" xfId="659" xr:uid="{00000000-0005-0000-0000-0000BE020000}"/>
    <cellStyle name="Normal 2 2 2 2 2 2 2 2 2 2 2 6" xfId="660" xr:uid="{00000000-0005-0000-0000-0000BF020000}"/>
    <cellStyle name="Normal 2 2 2 2 2 2 2 2 2 2 2 7" xfId="661" xr:uid="{00000000-0005-0000-0000-0000C0020000}"/>
    <cellStyle name="Normal 2 2 2 2 2 2 2 2 2 2 2 8" xfId="662" xr:uid="{00000000-0005-0000-0000-0000C1020000}"/>
    <cellStyle name="Normal 2 2 2 2 2 2 2 2 2 2 3" xfId="663" xr:uid="{00000000-0005-0000-0000-0000C2020000}"/>
    <cellStyle name="Normal 2 2 2 2 2 2 2 2 2 2 4" xfId="664" xr:uid="{00000000-0005-0000-0000-0000C3020000}"/>
    <cellStyle name="Normal 2 2 2 2 2 2 2 2 2 2 5" xfId="665" xr:uid="{00000000-0005-0000-0000-0000C4020000}"/>
    <cellStyle name="Normal 2 2 2 2 2 2 2 2 2 2 5 2" xfId="666" xr:uid="{00000000-0005-0000-0000-0000C5020000}"/>
    <cellStyle name="Normal 2 2 2 2 2 2 2 2 2 2 5 3" xfId="667" xr:uid="{00000000-0005-0000-0000-0000C6020000}"/>
    <cellStyle name="Normal 2 2 2 2 2 2 2 2 2 2 5 4" xfId="668" xr:uid="{00000000-0005-0000-0000-0000C7020000}"/>
    <cellStyle name="Normal 2 2 2 2 2 2 2 2 2 2 5 5" xfId="669" xr:uid="{00000000-0005-0000-0000-0000C8020000}"/>
    <cellStyle name="Normal 2 2 2 2 2 2 2 2 2 2 5 6" xfId="670" xr:uid="{00000000-0005-0000-0000-0000C9020000}"/>
    <cellStyle name="Normal 2 2 2 2 2 2 2 2 2 2 5 7" xfId="671" xr:uid="{00000000-0005-0000-0000-0000CA020000}"/>
    <cellStyle name="Normal 2 2 2 2 2 2 2 2 2 2 6" xfId="672" xr:uid="{00000000-0005-0000-0000-0000CB020000}"/>
    <cellStyle name="Normal 2 2 2 2 2 2 2 2 2 2 7" xfId="673" xr:uid="{00000000-0005-0000-0000-0000CC020000}"/>
    <cellStyle name="Normal 2 2 2 2 2 2 2 2 2 2 8" xfId="674" xr:uid="{00000000-0005-0000-0000-0000CD020000}"/>
    <cellStyle name="Normal 2 2 2 2 2 2 2 2 2 2 9" xfId="675" xr:uid="{00000000-0005-0000-0000-0000CE020000}"/>
    <cellStyle name="Normal 2 2 2 2 2 2 2 2 2 3" xfId="676" xr:uid="{00000000-0005-0000-0000-0000CF020000}"/>
    <cellStyle name="Normal 2 2 2 2 2 2 2 2 2 4" xfId="677" xr:uid="{00000000-0005-0000-0000-0000D0020000}"/>
    <cellStyle name="Normal 2 2 2 2 2 2 2 2 2 4 2" xfId="678" xr:uid="{00000000-0005-0000-0000-0000D1020000}"/>
    <cellStyle name="Normal 2 2 2 2 2 2 2 2 2 4 2 2" xfId="679" xr:uid="{00000000-0005-0000-0000-0000D2020000}"/>
    <cellStyle name="Normal 2 2 2 2 2 2 2 2 2 4 2 3" xfId="680" xr:uid="{00000000-0005-0000-0000-0000D3020000}"/>
    <cellStyle name="Normal 2 2 2 2 2 2 2 2 2 4 2 4" xfId="681" xr:uid="{00000000-0005-0000-0000-0000D4020000}"/>
    <cellStyle name="Normal 2 2 2 2 2 2 2 2 2 4 2 5" xfId="682" xr:uid="{00000000-0005-0000-0000-0000D5020000}"/>
    <cellStyle name="Normal 2 2 2 2 2 2 2 2 2 4 2 6" xfId="683" xr:uid="{00000000-0005-0000-0000-0000D6020000}"/>
    <cellStyle name="Normal 2 2 2 2 2 2 2 2 2 4 2 7" xfId="684" xr:uid="{00000000-0005-0000-0000-0000D7020000}"/>
    <cellStyle name="Normal 2 2 2 2 2 2 2 2 2 4 3" xfId="685" xr:uid="{00000000-0005-0000-0000-0000D8020000}"/>
    <cellStyle name="Normal 2 2 2 2 2 2 2 2 2 4 4" xfId="686" xr:uid="{00000000-0005-0000-0000-0000D9020000}"/>
    <cellStyle name="Normal 2 2 2 2 2 2 2 2 2 4 5" xfId="687" xr:uid="{00000000-0005-0000-0000-0000DA020000}"/>
    <cellStyle name="Normal 2 2 2 2 2 2 2 2 2 4 6" xfId="688" xr:uid="{00000000-0005-0000-0000-0000DB020000}"/>
    <cellStyle name="Normal 2 2 2 2 2 2 2 2 2 4 7" xfId="689" xr:uid="{00000000-0005-0000-0000-0000DC020000}"/>
    <cellStyle name="Normal 2 2 2 2 2 2 2 2 2 4 8" xfId="690" xr:uid="{00000000-0005-0000-0000-0000DD020000}"/>
    <cellStyle name="Normal 2 2 2 2 2 2 2 2 2 5" xfId="691" xr:uid="{00000000-0005-0000-0000-0000DE020000}"/>
    <cellStyle name="Normal 2 2 2 2 2 2 2 2 2 6" xfId="692" xr:uid="{00000000-0005-0000-0000-0000DF020000}"/>
    <cellStyle name="Normal 2 2 2 2 2 2 2 2 2 6 2" xfId="693" xr:uid="{00000000-0005-0000-0000-0000E0020000}"/>
    <cellStyle name="Normal 2 2 2 2 2 2 2 2 2 6 3" xfId="694" xr:uid="{00000000-0005-0000-0000-0000E1020000}"/>
    <cellStyle name="Normal 2 2 2 2 2 2 2 2 2 6 4" xfId="695" xr:uid="{00000000-0005-0000-0000-0000E2020000}"/>
    <cellStyle name="Normal 2 2 2 2 2 2 2 2 2 6 5" xfId="696" xr:uid="{00000000-0005-0000-0000-0000E3020000}"/>
    <cellStyle name="Normal 2 2 2 2 2 2 2 2 2 6 6" xfId="697" xr:uid="{00000000-0005-0000-0000-0000E4020000}"/>
    <cellStyle name="Normal 2 2 2 2 2 2 2 2 2 6 7" xfId="698" xr:uid="{00000000-0005-0000-0000-0000E5020000}"/>
    <cellStyle name="Normal 2 2 2 2 2 2 2 2 2 7" xfId="699" xr:uid="{00000000-0005-0000-0000-0000E6020000}"/>
    <cellStyle name="Normal 2 2 2 2 2 2 2 2 2 8" xfId="700" xr:uid="{00000000-0005-0000-0000-0000E7020000}"/>
    <cellStyle name="Normal 2 2 2 2 2 2 2 2 2 9" xfId="701" xr:uid="{00000000-0005-0000-0000-0000E8020000}"/>
    <cellStyle name="Normal 2 2 2 2 2 2 2 2 2_Opex Input" xfId="702" xr:uid="{00000000-0005-0000-0000-0000E9020000}"/>
    <cellStyle name="Normal 2 2 2 2 2 2 2 2 20" xfId="703" xr:uid="{00000000-0005-0000-0000-0000EA020000}"/>
    <cellStyle name="Normal 2 2 2 2 2 2 2 2 3" xfId="704" xr:uid="{00000000-0005-0000-0000-0000EB020000}"/>
    <cellStyle name="Normal 2 2 2 2 2 2 2 2 4" xfId="705" xr:uid="{00000000-0005-0000-0000-0000EC020000}"/>
    <cellStyle name="Normal 2 2 2 2 2 2 2 2 5" xfId="706" xr:uid="{00000000-0005-0000-0000-0000ED020000}"/>
    <cellStyle name="Normal 2 2 2 2 2 2 2 2 5 2" xfId="707" xr:uid="{00000000-0005-0000-0000-0000EE020000}"/>
    <cellStyle name="Normal 2 2 2 2 2 2 2 2 5 2 2" xfId="708" xr:uid="{00000000-0005-0000-0000-0000EF020000}"/>
    <cellStyle name="Normal 2 2 2 2 2 2 2 2 5 2 3" xfId="709" xr:uid="{00000000-0005-0000-0000-0000F0020000}"/>
    <cellStyle name="Normal 2 2 2 2 2 2 2 2 5 2 4" xfId="710" xr:uid="{00000000-0005-0000-0000-0000F1020000}"/>
    <cellStyle name="Normal 2 2 2 2 2 2 2 2 5 2 5" xfId="711" xr:uid="{00000000-0005-0000-0000-0000F2020000}"/>
    <cellStyle name="Normal 2 2 2 2 2 2 2 2 5 2 6" xfId="712" xr:uid="{00000000-0005-0000-0000-0000F3020000}"/>
    <cellStyle name="Normal 2 2 2 2 2 2 2 2 5 2 7" xfId="713" xr:uid="{00000000-0005-0000-0000-0000F4020000}"/>
    <cellStyle name="Normal 2 2 2 2 2 2 2 2 5 3" xfId="714" xr:uid="{00000000-0005-0000-0000-0000F5020000}"/>
    <cellStyle name="Normal 2 2 2 2 2 2 2 2 5 4" xfId="715" xr:uid="{00000000-0005-0000-0000-0000F6020000}"/>
    <cellStyle name="Normal 2 2 2 2 2 2 2 2 5 5" xfId="716" xr:uid="{00000000-0005-0000-0000-0000F7020000}"/>
    <cellStyle name="Normal 2 2 2 2 2 2 2 2 5 6" xfId="717" xr:uid="{00000000-0005-0000-0000-0000F8020000}"/>
    <cellStyle name="Normal 2 2 2 2 2 2 2 2 5 7" xfId="718" xr:uid="{00000000-0005-0000-0000-0000F9020000}"/>
    <cellStyle name="Normal 2 2 2 2 2 2 2 2 5 8" xfId="719" xr:uid="{00000000-0005-0000-0000-0000FA020000}"/>
    <cellStyle name="Normal 2 2 2 2 2 2 2 2 6" xfId="720" xr:uid="{00000000-0005-0000-0000-0000FB020000}"/>
    <cellStyle name="Normal 2 2 2 2 2 2 2 2 7" xfId="721" xr:uid="{00000000-0005-0000-0000-0000FC020000}"/>
    <cellStyle name="Normal 2 2 2 2 2 2 2 2 7 2" xfId="722" xr:uid="{00000000-0005-0000-0000-0000FD020000}"/>
    <cellStyle name="Normal 2 2 2 2 2 2 2 2 7 3" xfId="723" xr:uid="{00000000-0005-0000-0000-0000FE020000}"/>
    <cellStyle name="Normal 2 2 2 2 2 2 2 2 7 4" xfId="724" xr:uid="{00000000-0005-0000-0000-0000FF020000}"/>
    <cellStyle name="Normal 2 2 2 2 2 2 2 2 7 5" xfId="725" xr:uid="{00000000-0005-0000-0000-000000030000}"/>
    <cellStyle name="Normal 2 2 2 2 2 2 2 2 7 6" xfId="726" xr:uid="{00000000-0005-0000-0000-000001030000}"/>
    <cellStyle name="Normal 2 2 2 2 2 2 2 2 7 7" xfId="727" xr:uid="{00000000-0005-0000-0000-000002030000}"/>
    <cellStyle name="Normal 2 2 2 2 2 2 2 2 8" xfId="728" xr:uid="{00000000-0005-0000-0000-000003030000}"/>
    <cellStyle name="Normal 2 2 2 2 2 2 2 2 9" xfId="729" xr:uid="{00000000-0005-0000-0000-000004030000}"/>
    <cellStyle name="Normal 2 2 2 2 2 2 2 2_ELEC SAP FCST UPLOAD" xfId="730" xr:uid="{00000000-0005-0000-0000-000005030000}"/>
    <cellStyle name="Normal 2 2 2 2 2 2 2 20" xfId="731" xr:uid="{00000000-0005-0000-0000-000006030000}"/>
    <cellStyle name="Normal 2 2 2 2 2 2 2 21" xfId="732" xr:uid="{00000000-0005-0000-0000-000007030000}"/>
    <cellStyle name="Normal 2 2 2 2 2 2 2 22" xfId="733" xr:uid="{00000000-0005-0000-0000-000008030000}"/>
    <cellStyle name="Normal 2 2 2 2 2 2 2 23" xfId="734" xr:uid="{00000000-0005-0000-0000-000009030000}"/>
    <cellStyle name="Normal 2 2 2 2 2 2 2 3" xfId="735" xr:uid="{00000000-0005-0000-0000-00000A030000}"/>
    <cellStyle name="Normal 2 2 2 2 2 2 2 4" xfId="736" xr:uid="{00000000-0005-0000-0000-00000B030000}"/>
    <cellStyle name="Normal 2 2 2 2 2 2 2 5" xfId="737" xr:uid="{00000000-0005-0000-0000-00000C030000}"/>
    <cellStyle name="Normal 2 2 2 2 2 2 2 6" xfId="738" xr:uid="{00000000-0005-0000-0000-00000D030000}"/>
    <cellStyle name="Normal 2 2 2 2 2 2 2 7" xfId="739" xr:uid="{00000000-0005-0000-0000-00000E030000}"/>
    <cellStyle name="Normal 2 2 2 2 2 2 2 8" xfId="740" xr:uid="{00000000-0005-0000-0000-00000F030000}"/>
    <cellStyle name="Normal 2 2 2 2 2 2 2 8 2" xfId="741" xr:uid="{00000000-0005-0000-0000-000010030000}"/>
    <cellStyle name="Normal 2 2 2 2 2 2 2 8 2 2" xfId="742" xr:uid="{00000000-0005-0000-0000-000011030000}"/>
    <cellStyle name="Normal 2 2 2 2 2 2 2 8 2 3" xfId="743" xr:uid="{00000000-0005-0000-0000-000012030000}"/>
    <cellStyle name="Normal 2 2 2 2 2 2 2 8 2 4" xfId="744" xr:uid="{00000000-0005-0000-0000-000013030000}"/>
    <cellStyle name="Normal 2 2 2 2 2 2 2 8 2 5" xfId="745" xr:uid="{00000000-0005-0000-0000-000014030000}"/>
    <cellStyle name="Normal 2 2 2 2 2 2 2 8 2 6" xfId="746" xr:uid="{00000000-0005-0000-0000-000015030000}"/>
    <cellStyle name="Normal 2 2 2 2 2 2 2 8 2 7" xfId="747" xr:uid="{00000000-0005-0000-0000-000016030000}"/>
    <cellStyle name="Normal 2 2 2 2 2 2 2 8 3" xfId="748" xr:uid="{00000000-0005-0000-0000-000017030000}"/>
    <cellStyle name="Normal 2 2 2 2 2 2 2 8 4" xfId="749" xr:uid="{00000000-0005-0000-0000-000018030000}"/>
    <cellStyle name="Normal 2 2 2 2 2 2 2 8 5" xfId="750" xr:uid="{00000000-0005-0000-0000-000019030000}"/>
    <cellStyle name="Normal 2 2 2 2 2 2 2 8 6" xfId="751" xr:uid="{00000000-0005-0000-0000-00001A030000}"/>
    <cellStyle name="Normal 2 2 2 2 2 2 2 8 7" xfId="752" xr:uid="{00000000-0005-0000-0000-00001B030000}"/>
    <cellStyle name="Normal 2 2 2 2 2 2 2 8 8" xfId="753" xr:uid="{00000000-0005-0000-0000-00001C030000}"/>
    <cellStyle name="Normal 2 2 2 2 2 2 2 9" xfId="754" xr:uid="{00000000-0005-0000-0000-00001D030000}"/>
    <cellStyle name="Normal 2 2 2 2 2 2 2_ELEC SAP FCST UPLOAD" xfId="755" xr:uid="{00000000-0005-0000-0000-00001E030000}"/>
    <cellStyle name="Normal 2 2 2 2 2 2 20" xfId="756" xr:uid="{00000000-0005-0000-0000-00001F030000}"/>
    <cellStyle name="Normal 2 2 2 2 2 2 21" xfId="757" xr:uid="{00000000-0005-0000-0000-000020030000}"/>
    <cellStyle name="Normal 2 2 2 2 2 2 22" xfId="758" xr:uid="{00000000-0005-0000-0000-000021030000}"/>
    <cellStyle name="Normal 2 2 2 2 2 2 23" xfId="759" xr:uid="{00000000-0005-0000-0000-000022030000}"/>
    <cellStyle name="Normal 2 2 2 2 2 2 3" xfId="760" xr:uid="{00000000-0005-0000-0000-000023030000}"/>
    <cellStyle name="Normal 2 2 2 2 2 2 3 2" xfId="761" xr:uid="{00000000-0005-0000-0000-000024030000}"/>
    <cellStyle name="Normal 2 2 2 2 2 2 3 3" xfId="762" xr:uid="{00000000-0005-0000-0000-000025030000}"/>
    <cellStyle name="Normal 2 2 2 2 2 2 3_ELEC SAP FCST UPLOAD" xfId="763" xr:uid="{00000000-0005-0000-0000-000026030000}"/>
    <cellStyle name="Normal 2 2 2 2 2 2 4" xfId="764" xr:uid="{00000000-0005-0000-0000-000027030000}"/>
    <cellStyle name="Normal 2 2 2 2 2 2 5" xfId="765" xr:uid="{00000000-0005-0000-0000-000028030000}"/>
    <cellStyle name="Normal 2 2 2 2 2 2 6" xfId="766" xr:uid="{00000000-0005-0000-0000-000029030000}"/>
    <cellStyle name="Normal 2 2 2 2 2 2 7" xfId="767" xr:uid="{00000000-0005-0000-0000-00002A030000}"/>
    <cellStyle name="Normal 2 2 2 2 2 2 8" xfId="768" xr:uid="{00000000-0005-0000-0000-00002B030000}"/>
    <cellStyle name="Normal 2 2 2 2 2 2 8 2" xfId="769" xr:uid="{00000000-0005-0000-0000-00002C030000}"/>
    <cellStyle name="Normal 2 2 2 2 2 2 8 2 2" xfId="770" xr:uid="{00000000-0005-0000-0000-00002D030000}"/>
    <cellStyle name="Normal 2 2 2 2 2 2 8 2 3" xfId="771" xr:uid="{00000000-0005-0000-0000-00002E030000}"/>
    <cellStyle name="Normal 2 2 2 2 2 2 8 2 4" xfId="772" xr:uid="{00000000-0005-0000-0000-00002F030000}"/>
    <cellStyle name="Normal 2 2 2 2 2 2 8 2 5" xfId="773" xr:uid="{00000000-0005-0000-0000-000030030000}"/>
    <cellStyle name="Normal 2 2 2 2 2 2 8 2 6" xfId="774" xr:uid="{00000000-0005-0000-0000-000031030000}"/>
    <cellStyle name="Normal 2 2 2 2 2 2 8 2 7" xfId="775" xr:uid="{00000000-0005-0000-0000-000032030000}"/>
    <cellStyle name="Normal 2 2 2 2 2 2 8 3" xfId="776" xr:uid="{00000000-0005-0000-0000-000033030000}"/>
    <cellStyle name="Normal 2 2 2 2 2 2 8 4" xfId="777" xr:uid="{00000000-0005-0000-0000-000034030000}"/>
    <cellStyle name="Normal 2 2 2 2 2 2 8 5" xfId="778" xr:uid="{00000000-0005-0000-0000-000035030000}"/>
    <cellStyle name="Normal 2 2 2 2 2 2 8 6" xfId="779" xr:uid="{00000000-0005-0000-0000-000036030000}"/>
    <cellStyle name="Normal 2 2 2 2 2 2 8 7" xfId="780" xr:uid="{00000000-0005-0000-0000-000037030000}"/>
    <cellStyle name="Normal 2 2 2 2 2 2 8 8" xfId="781" xr:uid="{00000000-0005-0000-0000-000038030000}"/>
    <cellStyle name="Normal 2 2 2 2 2 2 9" xfId="782" xr:uid="{00000000-0005-0000-0000-000039030000}"/>
    <cellStyle name="Normal 2 2 2 2 2 2_ELEC SAP FCST UPLOAD" xfId="783" xr:uid="{00000000-0005-0000-0000-00003A030000}"/>
    <cellStyle name="Normal 2 2 2 2 2 20" xfId="784" xr:uid="{00000000-0005-0000-0000-00003B030000}"/>
    <cellStyle name="Normal 2 2 2 2 2 21" xfId="785" xr:uid="{00000000-0005-0000-0000-00003C030000}"/>
    <cellStyle name="Normal 2 2 2 2 2 22" xfId="786" xr:uid="{00000000-0005-0000-0000-00003D030000}"/>
    <cellStyle name="Normal 2 2 2 2 2 23" xfId="787" xr:uid="{00000000-0005-0000-0000-00003E030000}"/>
    <cellStyle name="Normal 2 2 2 2 2 24" xfId="788" xr:uid="{00000000-0005-0000-0000-00003F030000}"/>
    <cellStyle name="Normal 2 2 2 2 2 3" xfId="789" xr:uid="{00000000-0005-0000-0000-000040030000}"/>
    <cellStyle name="Normal 2 2 2 2 2 3 2" xfId="790" xr:uid="{00000000-0005-0000-0000-000041030000}"/>
    <cellStyle name="Normal 2 2 2 2 2 3 3" xfId="791" xr:uid="{00000000-0005-0000-0000-000042030000}"/>
    <cellStyle name="Normal 2 2 2 2 2 3_ELEC SAP FCST UPLOAD" xfId="792" xr:uid="{00000000-0005-0000-0000-000043030000}"/>
    <cellStyle name="Normal 2 2 2 2 2 4" xfId="793" xr:uid="{00000000-0005-0000-0000-000044030000}"/>
    <cellStyle name="Normal 2 2 2 2 2 5" xfId="794" xr:uid="{00000000-0005-0000-0000-000045030000}"/>
    <cellStyle name="Normal 2 2 2 2 2 6" xfId="795" xr:uid="{00000000-0005-0000-0000-000046030000}"/>
    <cellStyle name="Normal 2 2 2 2 2 7" xfId="796" xr:uid="{00000000-0005-0000-0000-000047030000}"/>
    <cellStyle name="Normal 2 2 2 2 2 8" xfId="797" xr:uid="{00000000-0005-0000-0000-000048030000}"/>
    <cellStyle name="Normal 2 2 2 2 2 9" xfId="798" xr:uid="{00000000-0005-0000-0000-000049030000}"/>
    <cellStyle name="Normal 2 2 2 2 2 9 2" xfId="799" xr:uid="{00000000-0005-0000-0000-00004A030000}"/>
    <cellStyle name="Normal 2 2 2 2 2 9 2 2" xfId="800" xr:uid="{00000000-0005-0000-0000-00004B030000}"/>
    <cellStyle name="Normal 2 2 2 2 2 9 2 3" xfId="801" xr:uid="{00000000-0005-0000-0000-00004C030000}"/>
    <cellStyle name="Normal 2 2 2 2 2 9 2 4" xfId="802" xr:uid="{00000000-0005-0000-0000-00004D030000}"/>
    <cellStyle name="Normal 2 2 2 2 2 9 2 5" xfId="803" xr:uid="{00000000-0005-0000-0000-00004E030000}"/>
    <cellStyle name="Normal 2 2 2 2 2 9 2 6" xfId="804" xr:uid="{00000000-0005-0000-0000-00004F030000}"/>
    <cellStyle name="Normal 2 2 2 2 2 9 2 7" xfId="805" xr:uid="{00000000-0005-0000-0000-000050030000}"/>
    <cellStyle name="Normal 2 2 2 2 2 9 3" xfId="806" xr:uid="{00000000-0005-0000-0000-000051030000}"/>
    <cellStyle name="Normal 2 2 2 2 2 9 4" xfId="807" xr:uid="{00000000-0005-0000-0000-000052030000}"/>
    <cellStyle name="Normal 2 2 2 2 2 9 5" xfId="808" xr:uid="{00000000-0005-0000-0000-000053030000}"/>
    <cellStyle name="Normal 2 2 2 2 2 9 6" xfId="809" xr:uid="{00000000-0005-0000-0000-000054030000}"/>
    <cellStyle name="Normal 2 2 2 2 2 9 7" xfId="810" xr:uid="{00000000-0005-0000-0000-000055030000}"/>
    <cellStyle name="Normal 2 2 2 2 2 9 8" xfId="811" xr:uid="{00000000-0005-0000-0000-000056030000}"/>
    <cellStyle name="Normal 2 2 2 2 2_ELEC SAP FCST UPLOAD" xfId="812" xr:uid="{00000000-0005-0000-0000-000057030000}"/>
    <cellStyle name="Normal 2 2 2 2 20" xfId="813" xr:uid="{00000000-0005-0000-0000-000058030000}"/>
    <cellStyle name="Normal 2 2 2 2 21" xfId="814" xr:uid="{00000000-0005-0000-0000-000059030000}"/>
    <cellStyle name="Normal 2 2 2 2 22" xfId="815" xr:uid="{00000000-0005-0000-0000-00005A030000}"/>
    <cellStyle name="Normal 2 2 2 2 23" xfId="816" xr:uid="{00000000-0005-0000-0000-00005B030000}"/>
    <cellStyle name="Normal 2 2 2 2 24" xfId="817" xr:uid="{00000000-0005-0000-0000-00005C030000}"/>
    <cellStyle name="Normal 2 2 2 2 3" xfId="818" xr:uid="{00000000-0005-0000-0000-00005D030000}"/>
    <cellStyle name="Normal 2 2 2 2 3 2" xfId="819" xr:uid="{00000000-0005-0000-0000-00005E030000}"/>
    <cellStyle name="Normal 2 2 2 2 3 2 2" xfId="820" xr:uid="{00000000-0005-0000-0000-00005F030000}"/>
    <cellStyle name="Normal 2 2 2 2 3 2 3" xfId="821" xr:uid="{00000000-0005-0000-0000-000060030000}"/>
    <cellStyle name="Normal 2 2 2 2 3 2_ELEC SAP FCST UPLOAD" xfId="822" xr:uid="{00000000-0005-0000-0000-000061030000}"/>
    <cellStyle name="Normal 2 2 2 2 3 3" xfId="823" xr:uid="{00000000-0005-0000-0000-000062030000}"/>
    <cellStyle name="Normal 2 2 2 2 3 4" xfId="824" xr:uid="{00000000-0005-0000-0000-000063030000}"/>
    <cellStyle name="Normal 2 2 2 2 3 5" xfId="825" xr:uid="{00000000-0005-0000-0000-000064030000}"/>
    <cellStyle name="Normal 2 2 2 2 3 6" xfId="826" xr:uid="{00000000-0005-0000-0000-000065030000}"/>
    <cellStyle name="Normal 2 2 2 2 3_ELEC SAP FCST UPLOAD" xfId="827" xr:uid="{00000000-0005-0000-0000-000066030000}"/>
    <cellStyle name="Normal 2 2 2 2 4" xfId="828" xr:uid="{00000000-0005-0000-0000-000067030000}"/>
    <cellStyle name="Normal 2 2 2 2 4 2" xfId="829" xr:uid="{00000000-0005-0000-0000-000068030000}"/>
    <cellStyle name="Normal 2 2 2 2 4 3" xfId="830" xr:uid="{00000000-0005-0000-0000-000069030000}"/>
    <cellStyle name="Normal 2 2 2 2 4_ELEC SAP FCST UPLOAD" xfId="831" xr:uid="{00000000-0005-0000-0000-00006A030000}"/>
    <cellStyle name="Normal 2 2 2 2 5" xfId="832" xr:uid="{00000000-0005-0000-0000-00006B030000}"/>
    <cellStyle name="Normal 2 2 2 2 6" xfId="833" xr:uid="{00000000-0005-0000-0000-00006C030000}"/>
    <cellStyle name="Normal 2 2 2 2 7" xfId="834" xr:uid="{00000000-0005-0000-0000-00006D030000}"/>
    <cellStyle name="Normal 2 2 2 2 8" xfId="835" xr:uid="{00000000-0005-0000-0000-00006E030000}"/>
    <cellStyle name="Normal 2 2 2 2 9" xfId="836" xr:uid="{00000000-0005-0000-0000-00006F030000}"/>
    <cellStyle name="Normal 2 2 2 2 9 2" xfId="837" xr:uid="{00000000-0005-0000-0000-000070030000}"/>
    <cellStyle name="Normal 2 2 2 2 9 2 2" xfId="838" xr:uid="{00000000-0005-0000-0000-000071030000}"/>
    <cellStyle name="Normal 2 2 2 2 9 2 3" xfId="839" xr:uid="{00000000-0005-0000-0000-000072030000}"/>
    <cellStyle name="Normal 2 2 2 2 9 2 4" xfId="840" xr:uid="{00000000-0005-0000-0000-000073030000}"/>
    <cellStyle name="Normal 2 2 2 2 9 2 5" xfId="841" xr:uid="{00000000-0005-0000-0000-000074030000}"/>
    <cellStyle name="Normal 2 2 2 2 9 2 6" xfId="842" xr:uid="{00000000-0005-0000-0000-000075030000}"/>
    <cellStyle name="Normal 2 2 2 2 9 2 7" xfId="843" xr:uid="{00000000-0005-0000-0000-000076030000}"/>
    <cellStyle name="Normal 2 2 2 2 9 3" xfId="844" xr:uid="{00000000-0005-0000-0000-000077030000}"/>
    <cellStyle name="Normal 2 2 2 2 9 4" xfId="845" xr:uid="{00000000-0005-0000-0000-000078030000}"/>
    <cellStyle name="Normal 2 2 2 2 9 5" xfId="846" xr:uid="{00000000-0005-0000-0000-000079030000}"/>
    <cellStyle name="Normal 2 2 2 2 9 6" xfId="847" xr:uid="{00000000-0005-0000-0000-00007A030000}"/>
    <cellStyle name="Normal 2 2 2 2 9 7" xfId="848" xr:uid="{00000000-0005-0000-0000-00007B030000}"/>
    <cellStyle name="Normal 2 2 2 2 9 8" xfId="849" xr:uid="{00000000-0005-0000-0000-00007C030000}"/>
    <cellStyle name="Normal 2 2 2 2_ELEC SAP FCST UPLOAD" xfId="850" xr:uid="{00000000-0005-0000-0000-00007D030000}"/>
    <cellStyle name="Normal 2 2 2 20" xfId="851" xr:uid="{00000000-0005-0000-0000-00007E030000}"/>
    <cellStyle name="Normal 2 2 2 21" xfId="852" xr:uid="{00000000-0005-0000-0000-00007F030000}"/>
    <cellStyle name="Normal 2 2 2 22" xfId="853" xr:uid="{00000000-0005-0000-0000-000080030000}"/>
    <cellStyle name="Normal 2 2 2 23" xfId="854" xr:uid="{00000000-0005-0000-0000-000081030000}"/>
    <cellStyle name="Normal 2 2 2 24" xfId="855" xr:uid="{00000000-0005-0000-0000-000082030000}"/>
    <cellStyle name="Normal 2 2 2 25" xfId="856" xr:uid="{00000000-0005-0000-0000-000083030000}"/>
    <cellStyle name="Normal 2 2 2 26" xfId="857" xr:uid="{00000000-0005-0000-0000-000084030000}"/>
    <cellStyle name="Normal 2 2 2 3" xfId="858" xr:uid="{00000000-0005-0000-0000-000085030000}"/>
    <cellStyle name="Normal 2 2 2 4" xfId="859" xr:uid="{00000000-0005-0000-0000-000086030000}"/>
    <cellStyle name="Normal 2 2 2 4 2" xfId="860" xr:uid="{00000000-0005-0000-0000-000087030000}"/>
    <cellStyle name="Normal 2 2 2 4 2 2" xfId="861" xr:uid="{00000000-0005-0000-0000-000088030000}"/>
    <cellStyle name="Normal 2 2 2 4 2 2 2" xfId="862" xr:uid="{00000000-0005-0000-0000-000089030000}"/>
    <cellStyle name="Normal 2 2 2 4 2 2 3" xfId="863" xr:uid="{00000000-0005-0000-0000-00008A030000}"/>
    <cellStyle name="Normal 2 2 2 4 2 2_ELEC SAP FCST UPLOAD" xfId="864" xr:uid="{00000000-0005-0000-0000-00008B030000}"/>
    <cellStyle name="Normal 2 2 2 4 2 3" xfId="865" xr:uid="{00000000-0005-0000-0000-00008C030000}"/>
    <cellStyle name="Normal 2 2 2 4 2 4" xfId="866" xr:uid="{00000000-0005-0000-0000-00008D030000}"/>
    <cellStyle name="Normal 2 2 2 4 2 5" xfId="867" xr:uid="{00000000-0005-0000-0000-00008E030000}"/>
    <cellStyle name="Normal 2 2 2 4 2 6" xfId="868" xr:uid="{00000000-0005-0000-0000-00008F030000}"/>
    <cellStyle name="Normal 2 2 2 4 2_ELEC SAP FCST UPLOAD" xfId="869" xr:uid="{00000000-0005-0000-0000-000090030000}"/>
    <cellStyle name="Normal 2 2 2 4 3" xfId="870" xr:uid="{00000000-0005-0000-0000-000091030000}"/>
    <cellStyle name="Normal 2 2 2 4 3 2" xfId="871" xr:uid="{00000000-0005-0000-0000-000092030000}"/>
    <cellStyle name="Normal 2 2 2 4 3 3" xfId="872" xr:uid="{00000000-0005-0000-0000-000093030000}"/>
    <cellStyle name="Normal 2 2 2 4 3_ELEC SAP FCST UPLOAD" xfId="873" xr:uid="{00000000-0005-0000-0000-000094030000}"/>
    <cellStyle name="Normal 2 2 2 4 4" xfId="874" xr:uid="{00000000-0005-0000-0000-000095030000}"/>
    <cellStyle name="Normal 2 2 2 4 5" xfId="875" xr:uid="{00000000-0005-0000-0000-000096030000}"/>
    <cellStyle name="Normal 2 2 2 4 6" xfId="876" xr:uid="{00000000-0005-0000-0000-000097030000}"/>
    <cellStyle name="Normal 2 2 2 4_ELEC SAP FCST UPLOAD" xfId="877" xr:uid="{00000000-0005-0000-0000-000098030000}"/>
    <cellStyle name="Normal 2 2 2 5" xfId="878" xr:uid="{00000000-0005-0000-0000-000099030000}"/>
    <cellStyle name="Normal 2 2 2 5 2" xfId="879" xr:uid="{00000000-0005-0000-0000-00009A030000}"/>
    <cellStyle name="Normal 2 2 2 5 3" xfId="880" xr:uid="{00000000-0005-0000-0000-00009B030000}"/>
    <cellStyle name="Normal 2 2 2 5_ELEC SAP FCST UPLOAD" xfId="881" xr:uid="{00000000-0005-0000-0000-00009C030000}"/>
    <cellStyle name="Normal 2 2 2 6" xfId="882" xr:uid="{00000000-0005-0000-0000-00009D030000}"/>
    <cellStyle name="Normal 2 2 2 7" xfId="883" xr:uid="{00000000-0005-0000-0000-00009E030000}"/>
    <cellStyle name="Normal 2 2 2 8" xfId="884" xr:uid="{00000000-0005-0000-0000-00009F030000}"/>
    <cellStyle name="Normal 2 2 2 9" xfId="885" xr:uid="{00000000-0005-0000-0000-0000A0030000}"/>
    <cellStyle name="Normal 2 2 2_ELEC SAP FCST UPLOAD" xfId="886" xr:uid="{00000000-0005-0000-0000-0000A1030000}"/>
    <cellStyle name="Normal 2 2 20" xfId="887" xr:uid="{00000000-0005-0000-0000-0000A2030000}"/>
    <cellStyle name="Normal 2 2 21" xfId="888" xr:uid="{00000000-0005-0000-0000-0000A3030000}"/>
    <cellStyle name="Normal 2 2 22" xfId="889" xr:uid="{00000000-0005-0000-0000-0000A4030000}"/>
    <cellStyle name="Normal 2 2 23" xfId="890" xr:uid="{00000000-0005-0000-0000-0000A5030000}"/>
    <cellStyle name="Normal 2 2 24" xfId="891" xr:uid="{00000000-0005-0000-0000-0000A6030000}"/>
    <cellStyle name="Normal 2 2 25" xfId="892" xr:uid="{00000000-0005-0000-0000-0000A7030000}"/>
    <cellStyle name="Normal 2 2 26" xfId="893" xr:uid="{00000000-0005-0000-0000-0000A8030000}"/>
    <cellStyle name="Normal 2 2 27" xfId="489" xr:uid="{00000000-0005-0000-0000-0000A9030000}"/>
    <cellStyle name="Normal 2 2 3" xfId="894" xr:uid="{00000000-0005-0000-0000-0000AA030000}"/>
    <cellStyle name="Normal 2 2 3 2" xfId="895" xr:uid="{00000000-0005-0000-0000-0000AB030000}"/>
    <cellStyle name="Normal 2 2 3 2 2" xfId="896" xr:uid="{00000000-0005-0000-0000-0000AC030000}"/>
    <cellStyle name="Normal 2 2 3 2 2 2" xfId="897" xr:uid="{00000000-0005-0000-0000-0000AD030000}"/>
    <cellStyle name="Normal 2 2 3 2 2 2 2" xfId="898" xr:uid="{00000000-0005-0000-0000-0000AE030000}"/>
    <cellStyle name="Normal 2 2 3 2 2 2 2 2" xfId="899" xr:uid="{00000000-0005-0000-0000-0000AF030000}"/>
    <cellStyle name="Normal 2 2 3 2 2 2 2 3" xfId="900" xr:uid="{00000000-0005-0000-0000-0000B0030000}"/>
    <cellStyle name="Normal 2 2 3 2 2 2 2_ELEC SAP FCST UPLOAD" xfId="901" xr:uid="{00000000-0005-0000-0000-0000B1030000}"/>
    <cellStyle name="Normal 2 2 3 2 2 2 3" xfId="902" xr:uid="{00000000-0005-0000-0000-0000B2030000}"/>
    <cellStyle name="Normal 2 2 3 2 2 2 4" xfId="903" xr:uid="{00000000-0005-0000-0000-0000B3030000}"/>
    <cellStyle name="Normal 2 2 3 2 2 2 5" xfId="904" xr:uid="{00000000-0005-0000-0000-0000B4030000}"/>
    <cellStyle name="Normal 2 2 3 2 2 2 6" xfId="905" xr:uid="{00000000-0005-0000-0000-0000B5030000}"/>
    <cellStyle name="Normal 2 2 3 2 2 2_ELEC SAP FCST UPLOAD" xfId="906" xr:uid="{00000000-0005-0000-0000-0000B6030000}"/>
    <cellStyle name="Normal 2 2 3 2 2 3" xfId="907" xr:uid="{00000000-0005-0000-0000-0000B7030000}"/>
    <cellStyle name="Normal 2 2 3 2 2 3 2" xfId="908" xr:uid="{00000000-0005-0000-0000-0000B8030000}"/>
    <cellStyle name="Normal 2 2 3 2 2 3 3" xfId="909" xr:uid="{00000000-0005-0000-0000-0000B9030000}"/>
    <cellStyle name="Normal 2 2 3 2 2 3_ELEC SAP FCST UPLOAD" xfId="910" xr:uid="{00000000-0005-0000-0000-0000BA030000}"/>
    <cellStyle name="Normal 2 2 3 2 2 4" xfId="911" xr:uid="{00000000-0005-0000-0000-0000BB030000}"/>
    <cellStyle name="Normal 2 2 3 2 2 5" xfId="912" xr:uid="{00000000-0005-0000-0000-0000BC030000}"/>
    <cellStyle name="Normal 2 2 3 2 2 6" xfId="913" xr:uid="{00000000-0005-0000-0000-0000BD030000}"/>
    <cellStyle name="Normal 2 2 3 2 2_ELEC SAP FCST UPLOAD" xfId="914" xr:uid="{00000000-0005-0000-0000-0000BE030000}"/>
    <cellStyle name="Normal 2 2 3 2 3" xfId="915" xr:uid="{00000000-0005-0000-0000-0000BF030000}"/>
    <cellStyle name="Normal 2 2 3 2 3 2" xfId="916" xr:uid="{00000000-0005-0000-0000-0000C0030000}"/>
    <cellStyle name="Normal 2 2 3 2 3 3" xfId="917" xr:uid="{00000000-0005-0000-0000-0000C1030000}"/>
    <cellStyle name="Normal 2 2 3 2 3_ELEC SAP FCST UPLOAD" xfId="918" xr:uid="{00000000-0005-0000-0000-0000C2030000}"/>
    <cellStyle name="Normal 2 2 3 2 4" xfId="919" xr:uid="{00000000-0005-0000-0000-0000C3030000}"/>
    <cellStyle name="Normal 2 2 3 2 5" xfId="920" xr:uid="{00000000-0005-0000-0000-0000C4030000}"/>
    <cellStyle name="Normal 2 2 3 2 6" xfId="921" xr:uid="{00000000-0005-0000-0000-0000C5030000}"/>
    <cellStyle name="Normal 2 2 3 2 7" xfId="922" xr:uid="{00000000-0005-0000-0000-0000C6030000}"/>
    <cellStyle name="Normal 2 2 3 2_ELEC SAP FCST UPLOAD" xfId="923" xr:uid="{00000000-0005-0000-0000-0000C7030000}"/>
    <cellStyle name="Normal 2 2 3 3" xfId="924" xr:uid="{00000000-0005-0000-0000-0000C8030000}"/>
    <cellStyle name="Normal 2 2 3 3 2" xfId="925" xr:uid="{00000000-0005-0000-0000-0000C9030000}"/>
    <cellStyle name="Normal 2 2 3 3 2 2" xfId="926" xr:uid="{00000000-0005-0000-0000-0000CA030000}"/>
    <cellStyle name="Normal 2 2 3 3 2 3" xfId="927" xr:uid="{00000000-0005-0000-0000-0000CB030000}"/>
    <cellStyle name="Normal 2 2 3 3 2_ELEC SAP FCST UPLOAD" xfId="928" xr:uid="{00000000-0005-0000-0000-0000CC030000}"/>
    <cellStyle name="Normal 2 2 3 3 3" xfId="929" xr:uid="{00000000-0005-0000-0000-0000CD030000}"/>
    <cellStyle name="Normal 2 2 3 3 4" xfId="930" xr:uid="{00000000-0005-0000-0000-0000CE030000}"/>
    <cellStyle name="Normal 2 2 3 3 5" xfId="931" xr:uid="{00000000-0005-0000-0000-0000CF030000}"/>
    <cellStyle name="Normal 2 2 3 3 6" xfId="932" xr:uid="{00000000-0005-0000-0000-0000D0030000}"/>
    <cellStyle name="Normal 2 2 3 3_ELEC SAP FCST UPLOAD" xfId="933" xr:uid="{00000000-0005-0000-0000-0000D1030000}"/>
    <cellStyle name="Normal 2 2 3 4" xfId="934" xr:uid="{00000000-0005-0000-0000-0000D2030000}"/>
    <cellStyle name="Normal 2 2 3 4 2" xfId="935" xr:uid="{00000000-0005-0000-0000-0000D3030000}"/>
    <cellStyle name="Normal 2 2 3 4 3" xfId="936" xr:uid="{00000000-0005-0000-0000-0000D4030000}"/>
    <cellStyle name="Normal 2 2 3 4_ELEC SAP FCST UPLOAD" xfId="937" xr:uid="{00000000-0005-0000-0000-0000D5030000}"/>
    <cellStyle name="Normal 2 2 3 5" xfId="938" xr:uid="{00000000-0005-0000-0000-0000D6030000}"/>
    <cellStyle name="Normal 2 2 3 6" xfId="939" xr:uid="{00000000-0005-0000-0000-0000D7030000}"/>
    <cellStyle name="Normal 2 2 3 7" xfId="940" xr:uid="{00000000-0005-0000-0000-0000D8030000}"/>
    <cellStyle name="Normal 2 2 3_ELEC SAP FCST UPLOAD" xfId="941" xr:uid="{00000000-0005-0000-0000-0000D9030000}"/>
    <cellStyle name="Normal 2 2 4" xfId="942" xr:uid="{00000000-0005-0000-0000-0000DA030000}"/>
    <cellStyle name="Normal 2 2 4 2" xfId="943" xr:uid="{00000000-0005-0000-0000-0000DB030000}"/>
    <cellStyle name="Normal 2 2 4 2 2" xfId="944" xr:uid="{00000000-0005-0000-0000-0000DC030000}"/>
    <cellStyle name="Normal 2 2 4 2 2 2" xfId="945" xr:uid="{00000000-0005-0000-0000-0000DD030000}"/>
    <cellStyle name="Normal 2 2 4 2 2 3" xfId="946" xr:uid="{00000000-0005-0000-0000-0000DE030000}"/>
    <cellStyle name="Normal 2 2 4 2 2_ELEC SAP FCST UPLOAD" xfId="947" xr:uid="{00000000-0005-0000-0000-0000DF030000}"/>
    <cellStyle name="Normal 2 2 4 2 3" xfId="948" xr:uid="{00000000-0005-0000-0000-0000E0030000}"/>
    <cellStyle name="Normal 2 2 4 2 4" xfId="949" xr:uid="{00000000-0005-0000-0000-0000E1030000}"/>
    <cellStyle name="Normal 2 2 4 2 5" xfId="950" xr:uid="{00000000-0005-0000-0000-0000E2030000}"/>
    <cellStyle name="Normal 2 2 4 2 6" xfId="951" xr:uid="{00000000-0005-0000-0000-0000E3030000}"/>
    <cellStyle name="Normal 2 2 4 2_ELEC SAP FCST UPLOAD" xfId="952" xr:uid="{00000000-0005-0000-0000-0000E4030000}"/>
    <cellStyle name="Normal 2 2 4 3" xfId="953" xr:uid="{00000000-0005-0000-0000-0000E5030000}"/>
    <cellStyle name="Normal 2 2 4 3 2" xfId="954" xr:uid="{00000000-0005-0000-0000-0000E6030000}"/>
    <cellStyle name="Normal 2 2 4 3 3" xfId="955" xr:uid="{00000000-0005-0000-0000-0000E7030000}"/>
    <cellStyle name="Normal 2 2 4 3_ELEC SAP FCST UPLOAD" xfId="956" xr:uid="{00000000-0005-0000-0000-0000E8030000}"/>
    <cellStyle name="Normal 2 2 4 4" xfId="957" xr:uid="{00000000-0005-0000-0000-0000E9030000}"/>
    <cellStyle name="Normal 2 2 4 5" xfId="958" xr:uid="{00000000-0005-0000-0000-0000EA030000}"/>
    <cellStyle name="Normal 2 2 4 6" xfId="959" xr:uid="{00000000-0005-0000-0000-0000EB030000}"/>
    <cellStyle name="Normal 2 2 4_ELEC SAP FCST UPLOAD" xfId="960" xr:uid="{00000000-0005-0000-0000-0000EC030000}"/>
    <cellStyle name="Normal 2 2 5" xfId="961" xr:uid="{00000000-0005-0000-0000-0000ED030000}"/>
    <cellStyle name="Normal 2 2 5 2" xfId="962" xr:uid="{00000000-0005-0000-0000-0000EE030000}"/>
    <cellStyle name="Normal 2 2 5 3" xfId="963" xr:uid="{00000000-0005-0000-0000-0000EF030000}"/>
    <cellStyle name="Normal 2 2 5_ELEC SAP FCST UPLOAD" xfId="964" xr:uid="{00000000-0005-0000-0000-0000F0030000}"/>
    <cellStyle name="Normal 2 2 6" xfId="965" xr:uid="{00000000-0005-0000-0000-0000F1030000}"/>
    <cellStyle name="Normal 2 2 7" xfId="966" xr:uid="{00000000-0005-0000-0000-0000F2030000}"/>
    <cellStyle name="Normal 2 2 8" xfId="967" xr:uid="{00000000-0005-0000-0000-0000F3030000}"/>
    <cellStyle name="Normal 2 2 9" xfId="968" xr:uid="{00000000-0005-0000-0000-0000F4030000}"/>
    <cellStyle name="Normal 2 2_ELEC SAP FCST UPLOAD" xfId="969" xr:uid="{00000000-0005-0000-0000-0000F5030000}"/>
    <cellStyle name="Normal 2 20" xfId="970" xr:uid="{00000000-0005-0000-0000-0000F6030000}"/>
    <cellStyle name="Normal 2 21" xfId="971" xr:uid="{00000000-0005-0000-0000-0000F7030000}"/>
    <cellStyle name="Normal 2 22" xfId="972" xr:uid="{00000000-0005-0000-0000-0000F8030000}"/>
    <cellStyle name="Normal 2 23" xfId="973" xr:uid="{00000000-0005-0000-0000-0000F9030000}"/>
    <cellStyle name="Normal 2 24" xfId="974" xr:uid="{00000000-0005-0000-0000-0000FA030000}"/>
    <cellStyle name="Normal 2 25" xfId="975" xr:uid="{00000000-0005-0000-0000-0000FB030000}"/>
    <cellStyle name="Normal 2 26" xfId="976" xr:uid="{00000000-0005-0000-0000-0000FC030000}"/>
    <cellStyle name="Normal 2 27" xfId="100" xr:uid="{00000000-0005-0000-0000-0000FD030000}"/>
    <cellStyle name="Normal 2 28" xfId="478" xr:uid="{00000000-0005-0000-0000-0000FE030000}"/>
    <cellStyle name="Normal 2 3" xfId="977" xr:uid="{00000000-0005-0000-0000-0000FF030000}"/>
    <cellStyle name="Normal 2 3 2" xfId="978" xr:uid="{00000000-0005-0000-0000-000000040000}"/>
    <cellStyle name="Normal 2 3 2 2" xfId="979" xr:uid="{00000000-0005-0000-0000-000001040000}"/>
    <cellStyle name="Normal 2 3 2 2 2" xfId="980" xr:uid="{00000000-0005-0000-0000-000002040000}"/>
    <cellStyle name="Normal 2 3 2 2 2 2" xfId="981" xr:uid="{00000000-0005-0000-0000-000003040000}"/>
    <cellStyle name="Normal 2 3 2 2 2 2 2" xfId="982" xr:uid="{00000000-0005-0000-0000-000004040000}"/>
    <cellStyle name="Normal 2 3 2 2 2 2 3" xfId="983" xr:uid="{00000000-0005-0000-0000-000005040000}"/>
    <cellStyle name="Normal 2 3 2 2 2 2_ELEC SAP FCST UPLOAD" xfId="984" xr:uid="{00000000-0005-0000-0000-000006040000}"/>
    <cellStyle name="Normal 2 3 2 2 2 3" xfId="985" xr:uid="{00000000-0005-0000-0000-000007040000}"/>
    <cellStyle name="Normal 2 3 2 2 2 4" xfId="986" xr:uid="{00000000-0005-0000-0000-000008040000}"/>
    <cellStyle name="Normal 2 3 2 2 2 5" xfId="987" xr:uid="{00000000-0005-0000-0000-000009040000}"/>
    <cellStyle name="Normal 2 3 2 2 2 6" xfId="988" xr:uid="{00000000-0005-0000-0000-00000A040000}"/>
    <cellStyle name="Normal 2 3 2 2 2_ELEC SAP FCST UPLOAD" xfId="989" xr:uid="{00000000-0005-0000-0000-00000B040000}"/>
    <cellStyle name="Normal 2 3 2 2 3" xfId="990" xr:uid="{00000000-0005-0000-0000-00000C040000}"/>
    <cellStyle name="Normal 2 3 2 2 3 2" xfId="991" xr:uid="{00000000-0005-0000-0000-00000D040000}"/>
    <cellStyle name="Normal 2 3 2 2 3 3" xfId="992" xr:uid="{00000000-0005-0000-0000-00000E040000}"/>
    <cellStyle name="Normal 2 3 2 2 3_ELEC SAP FCST UPLOAD" xfId="993" xr:uid="{00000000-0005-0000-0000-00000F040000}"/>
    <cellStyle name="Normal 2 3 2 2 4" xfId="994" xr:uid="{00000000-0005-0000-0000-000010040000}"/>
    <cellStyle name="Normal 2 3 2 2 5" xfId="995" xr:uid="{00000000-0005-0000-0000-000011040000}"/>
    <cellStyle name="Normal 2 3 2 2 6" xfId="996" xr:uid="{00000000-0005-0000-0000-000012040000}"/>
    <cellStyle name="Normal 2 3 2 2_ELEC SAP FCST UPLOAD" xfId="997" xr:uid="{00000000-0005-0000-0000-000013040000}"/>
    <cellStyle name="Normal 2 3 2 3" xfId="998" xr:uid="{00000000-0005-0000-0000-000014040000}"/>
    <cellStyle name="Normal 2 3 2 3 2" xfId="999" xr:uid="{00000000-0005-0000-0000-000015040000}"/>
    <cellStyle name="Normal 2 3 2 3 3" xfId="1000" xr:uid="{00000000-0005-0000-0000-000016040000}"/>
    <cellStyle name="Normal 2 3 2 3_ELEC SAP FCST UPLOAD" xfId="1001" xr:uid="{00000000-0005-0000-0000-000017040000}"/>
    <cellStyle name="Normal 2 3 2 4" xfId="1002" xr:uid="{00000000-0005-0000-0000-000018040000}"/>
    <cellStyle name="Normal 2 3 2 5" xfId="1003" xr:uid="{00000000-0005-0000-0000-000019040000}"/>
    <cellStyle name="Normal 2 3 2 6" xfId="1004" xr:uid="{00000000-0005-0000-0000-00001A040000}"/>
    <cellStyle name="Normal 2 3 2 7" xfId="1005" xr:uid="{00000000-0005-0000-0000-00001B040000}"/>
    <cellStyle name="Normal 2 3 2_ELEC SAP FCST UPLOAD" xfId="1006" xr:uid="{00000000-0005-0000-0000-00001C040000}"/>
    <cellStyle name="Normal 2 3 3" xfId="1007" xr:uid="{00000000-0005-0000-0000-00001D040000}"/>
    <cellStyle name="Normal 2 3 3 2" xfId="1008" xr:uid="{00000000-0005-0000-0000-00001E040000}"/>
    <cellStyle name="Normal 2 3 3 2 2" xfId="1009" xr:uid="{00000000-0005-0000-0000-00001F040000}"/>
    <cellStyle name="Normal 2 3 3 2 3" xfId="1010" xr:uid="{00000000-0005-0000-0000-000020040000}"/>
    <cellStyle name="Normal 2 3 3 2_ELEC SAP FCST UPLOAD" xfId="1011" xr:uid="{00000000-0005-0000-0000-000021040000}"/>
    <cellStyle name="Normal 2 3 3 3" xfId="1012" xr:uid="{00000000-0005-0000-0000-000022040000}"/>
    <cellStyle name="Normal 2 3 3 4" xfId="1013" xr:uid="{00000000-0005-0000-0000-000023040000}"/>
    <cellStyle name="Normal 2 3 3 5" xfId="1014" xr:uid="{00000000-0005-0000-0000-000024040000}"/>
    <cellStyle name="Normal 2 3 3 6" xfId="1015" xr:uid="{00000000-0005-0000-0000-000025040000}"/>
    <cellStyle name="Normal 2 3 3_ELEC SAP FCST UPLOAD" xfId="1016" xr:uid="{00000000-0005-0000-0000-000026040000}"/>
    <cellStyle name="Normal 2 3 4" xfId="1017" xr:uid="{00000000-0005-0000-0000-000027040000}"/>
    <cellStyle name="Normal 2 3 4 2" xfId="1018" xr:uid="{00000000-0005-0000-0000-000028040000}"/>
    <cellStyle name="Normal 2 3 4 3" xfId="1019" xr:uid="{00000000-0005-0000-0000-000029040000}"/>
    <cellStyle name="Normal 2 3 4_ELEC SAP FCST UPLOAD" xfId="1020" xr:uid="{00000000-0005-0000-0000-00002A040000}"/>
    <cellStyle name="Normal 2 3 5" xfId="1021" xr:uid="{00000000-0005-0000-0000-00002B040000}"/>
    <cellStyle name="Normal 2 3 6" xfId="1022" xr:uid="{00000000-0005-0000-0000-00002C040000}"/>
    <cellStyle name="Normal 2 3 7" xfId="1023" xr:uid="{00000000-0005-0000-0000-00002D040000}"/>
    <cellStyle name="Normal 2 3_ELEC SAP FCST UPLOAD" xfId="1024" xr:uid="{00000000-0005-0000-0000-00002E040000}"/>
    <cellStyle name="Normal 2 4" xfId="1025" xr:uid="{00000000-0005-0000-0000-00002F040000}"/>
    <cellStyle name="Normal 2 5" xfId="1026" xr:uid="{00000000-0005-0000-0000-000030040000}"/>
    <cellStyle name="Normal 2 5 2" xfId="1027" xr:uid="{00000000-0005-0000-0000-000031040000}"/>
    <cellStyle name="Normal 2 5 2 2" xfId="1028" xr:uid="{00000000-0005-0000-0000-000032040000}"/>
    <cellStyle name="Normal 2 5 2 2 2" xfId="1029" xr:uid="{00000000-0005-0000-0000-000033040000}"/>
    <cellStyle name="Normal 2 5 2 2 3" xfId="1030" xr:uid="{00000000-0005-0000-0000-000034040000}"/>
    <cellStyle name="Normal 2 5 2 2_ELEC SAP FCST UPLOAD" xfId="1031" xr:uid="{00000000-0005-0000-0000-000035040000}"/>
    <cellStyle name="Normal 2 5 2 3" xfId="1032" xr:uid="{00000000-0005-0000-0000-000036040000}"/>
    <cellStyle name="Normal 2 5 2 4" xfId="1033" xr:uid="{00000000-0005-0000-0000-000037040000}"/>
    <cellStyle name="Normal 2 5 2 5" xfId="1034" xr:uid="{00000000-0005-0000-0000-000038040000}"/>
    <cellStyle name="Normal 2 5 2 6" xfId="1035" xr:uid="{00000000-0005-0000-0000-000039040000}"/>
    <cellStyle name="Normal 2 5 2_ELEC SAP FCST UPLOAD" xfId="1036" xr:uid="{00000000-0005-0000-0000-00003A040000}"/>
    <cellStyle name="Normal 2 5 3" xfId="1037" xr:uid="{00000000-0005-0000-0000-00003B040000}"/>
    <cellStyle name="Normal 2 5 3 2" xfId="1038" xr:uid="{00000000-0005-0000-0000-00003C040000}"/>
    <cellStyle name="Normal 2 5 3 3" xfId="1039" xr:uid="{00000000-0005-0000-0000-00003D040000}"/>
    <cellStyle name="Normal 2 5 3_ELEC SAP FCST UPLOAD" xfId="1040" xr:uid="{00000000-0005-0000-0000-00003E040000}"/>
    <cellStyle name="Normal 2 5 4" xfId="1041" xr:uid="{00000000-0005-0000-0000-00003F040000}"/>
    <cellStyle name="Normal 2 5 5" xfId="1042" xr:uid="{00000000-0005-0000-0000-000040040000}"/>
    <cellStyle name="Normal 2 5 6" xfId="1043" xr:uid="{00000000-0005-0000-0000-000041040000}"/>
    <cellStyle name="Normal 2 5 7" xfId="1480" xr:uid="{00000000-0005-0000-0000-000042040000}"/>
    <cellStyle name="Normal 2 5_ELEC SAP FCST UPLOAD" xfId="1044" xr:uid="{00000000-0005-0000-0000-000043040000}"/>
    <cellStyle name="Normal 2 6" xfId="1045" xr:uid="{00000000-0005-0000-0000-000044040000}"/>
    <cellStyle name="Normal 2 7" xfId="1046" xr:uid="{00000000-0005-0000-0000-000045040000}"/>
    <cellStyle name="Normal 2 8" xfId="1047" xr:uid="{00000000-0005-0000-0000-000046040000}"/>
    <cellStyle name="Normal 2 9" xfId="1048" xr:uid="{00000000-0005-0000-0000-000047040000}"/>
    <cellStyle name="Normal 20" xfId="1049" xr:uid="{00000000-0005-0000-0000-000048040000}"/>
    <cellStyle name="Normal 21" xfId="1050" xr:uid="{00000000-0005-0000-0000-000049040000}"/>
    <cellStyle name="Normal 22" xfId="1051" xr:uid="{00000000-0005-0000-0000-00004A040000}"/>
    <cellStyle name="Normal 23" xfId="99" xr:uid="{00000000-0005-0000-0000-00004B040000}"/>
    <cellStyle name="Normal 24" xfId="1488" xr:uid="{00000000-0005-0000-0000-00004C040000}"/>
    <cellStyle name="Normal 3" xfId="73" xr:uid="{00000000-0005-0000-0000-00004D040000}"/>
    <cellStyle name="Normal 3 10" xfId="1052" xr:uid="{00000000-0005-0000-0000-00004E040000}"/>
    <cellStyle name="Normal 3 10 2" xfId="1053" xr:uid="{00000000-0005-0000-0000-00004F040000}"/>
    <cellStyle name="Normal 3 10 3" xfId="1054" xr:uid="{00000000-0005-0000-0000-000050040000}"/>
    <cellStyle name="Normal 3 10 4" xfId="1055" xr:uid="{00000000-0005-0000-0000-000051040000}"/>
    <cellStyle name="Normal 3 10 5" xfId="1056" xr:uid="{00000000-0005-0000-0000-000052040000}"/>
    <cellStyle name="Normal 3 10 6" xfId="1057" xr:uid="{00000000-0005-0000-0000-000053040000}"/>
    <cellStyle name="Normal 3 10 7" xfId="1058" xr:uid="{00000000-0005-0000-0000-000054040000}"/>
    <cellStyle name="Normal 3 11" xfId="1059" xr:uid="{00000000-0005-0000-0000-000055040000}"/>
    <cellStyle name="Normal 3 12" xfId="1060" xr:uid="{00000000-0005-0000-0000-000056040000}"/>
    <cellStyle name="Normal 3 13" xfId="1061" xr:uid="{00000000-0005-0000-0000-000057040000}"/>
    <cellStyle name="Normal 3 14" xfId="1062" xr:uid="{00000000-0005-0000-0000-000058040000}"/>
    <cellStyle name="Normal 3 15" xfId="1063" xr:uid="{00000000-0005-0000-0000-000059040000}"/>
    <cellStyle name="Normal 3 16" xfId="1064" xr:uid="{00000000-0005-0000-0000-00005A040000}"/>
    <cellStyle name="Normal 3 17" xfId="1065" xr:uid="{00000000-0005-0000-0000-00005B040000}"/>
    <cellStyle name="Normal 3 18" xfId="1066" xr:uid="{00000000-0005-0000-0000-00005C040000}"/>
    <cellStyle name="Normal 3 19" xfId="1067" xr:uid="{00000000-0005-0000-0000-00005D040000}"/>
    <cellStyle name="Normal 3 2" xfId="1068" xr:uid="{00000000-0005-0000-0000-00005E040000}"/>
    <cellStyle name="Normal 3 2 10" xfId="1069" xr:uid="{00000000-0005-0000-0000-00005F040000}"/>
    <cellStyle name="Normal 3 2 11" xfId="1070" xr:uid="{00000000-0005-0000-0000-000060040000}"/>
    <cellStyle name="Normal 3 2 12" xfId="1071" xr:uid="{00000000-0005-0000-0000-000061040000}"/>
    <cellStyle name="Normal 3 2 13" xfId="1072" xr:uid="{00000000-0005-0000-0000-000062040000}"/>
    <cellStyle name="Normal 3 2 14" xfId="1073" xr:uid="{00000000-0005-0000-0000-000063040000}"/>
    <cellStyle name="Normal 3 2 15" xfId="1074" xr:uid="{00000000-0005-0000-0000-000064040000}"/>
    <cellStyle name="Normal 3 2 16" xfId="1075" xr:uid="{00000000-0005-0000-0000-000065040000}"/>
    <cellStyle name="Normal 3 2 2" xfId="1076" xr:uid="{00000000-0005-0000-0000-000066040000}"/>
    <cellStyle name="Normal 3 2 2 2" xfId="1077" xr:uid="{00000000-0005-0000-0000-000067040000}"/>
    <cellStyle name="Normal 3 2 2 3" xfId="1078" xr:uid="{00000000-0005-0000-0000-000068040000}"/>
    <cellStyle name="Normal 3 2 2 4" xfId="1079" xr:uid="{00000000-0005-0000-0000-000069040000}"/>
    <cellStyle name="Normal 3 2 2 5" xfId="1080" xr:uid="{00000000-0005-0000-0000-00006A040000}"/>
    <cellStyle name="Normal 3 2 2 6" xfId="1081" xr:uid="{00000000-0005-0000-0000-00006B040000}"/>
    <cellStyle name="Normal 3 2 2 7" xfId="1082" xr:uid="{00000000-0005-0000-0000-00006C040000}"/>
    <cellStyle name="Normal 3 2 3" xfId="1083" xr:uid="{00000000-0005-0000-0000-00006D040000}"/>
    <cellStyle name="Normal 3 2 4" xfId="1084" xr:uid="{00000000-0005-0000-0000-00006E040000}"/>
    <cellStyle name="Normal 3 2 5" xfId="1085" xr:uid="{00000000-0005-0000-0000-00006F040000}"/>
    <cellStyle name="Normal 3 2 6" xfId="1086" xr:uid="{00000000-0005-0000-0000-000070040000}"/>
    <cellStyle name="Normal 3 2 7" xfId="1087" xr:uid="{00000000-0005-0000-0000-000071040000}"/>
    <cellStyle name="Normal 3 2 8" xfId="1088" xr:uid="{00000000-0005-0000-0000-000072040000}"/>
    <cellStyle name="Normal 3 2 9" xfId="1089" xr:uid="{00000000-0005-0000-0000-000073040000}"/>
    <cellStyle name="Normal 3 20" xfId="1090" xr:uid="{00000000-0005-0000-0000-000074040000}"/>
    <cellStyle name="Normal 3 21" xfId="101" xr:uid="{00000000-0005-0000-0000-000075040000}"/>
    <cellStyle name="Normal 3 3" xfId="1091" xr:uid="{00000000-0005-0000-0000-000076040000}"/>
    <cellStyle name="Normal 3 3 2" xfId="1092" xr:uid="{00000000-0005-0000-0000-000077040000}"/>
    <cellStyle name="Normal 3 3 2 5 10" xfId="1484" xr:uid="{00000000-0005-0000-0000-000078040000}"/>
    <cellStyle name="Normal 3 3 2 5 10 2" xfId="1478" xr:uid="{00000000-0005-0000-0000-000079040000}"/>
    <cellStyle name="Normal 3 3_GTO Non Operational Capex Roll-over submission (FINAL with property)" xfId="1093" xr:uid="{00000000-0005-0000-0000-00007A040000}"/>
    <cellStyle name="Normal 3 4" xfId="1094" xr:uid="{00000000-0005-0000-0000-00007B040000}"/>
    <cellStyle name="Normal 3 5" xfId="1095" xr:uid="{00000000-0005-0000-0000-00007C040000}"/>
    <cellStyle name="Normal 3 6" xfId="1096" xr:uid="{00000000-0005-0000-0000-00007D040000}"/>
    <cellStyle name="Normal 3 7" xfId="1097" xr:uid="{00000000-0005-0000-0000-00007E040000}"/>
    <cellStyle name="Normal 3 8" xfId="1098" xr:uid="{00000000-0005-0000-0000-00007F040000}"/>
    <cellStyle name="Normal 3 9" xfId="1099" xr:uid="{00000000-0005-0000-0000-000080040000}"/>
    <cellStyle name="Normal 3_ELEC SAP FCST UPLOAD" xfId="1100" xr:uid="{00000000-0005-0000-0000-000081040000}"/>
    <cellStyle name="Normal 4" xfId="1101" xr:uid="{00000000-0005-0000-0000-000082040000}"/>
    <cellStyle name="Normal 4 2" xfId="1102" xr:uid="{00000000-0005-0000-0000-000083040000}"/>
    <cellStyle name="Normal 4 2 2" xfId="1103" xr:uid="{00000000-0005-0000-0000-000084040000}"/>
    <cellStyle name="Normal 4 2 2 2" xfId="1104" xr:uid="{00000000-0005-0000-0000-000085040000}"/>
    <cellStyle name="Normal 4 2 2 2 2" xfId="1105" xr:uid="{00000000-0005-0000-0000-000086040000}"/>
    <cellStyle name="Normal 4 2 2 2 2 2" xfId="1106" xr:uid="{00000000-0005-0000-0000-000087040000}"/>
    <cellStyle name="Normal 4 2 2 2 2 3" xfId="1107" xr:uid="{00000000-0005-0000-0000-000088040000}"/>
    <cellStyle name="Normal 4 2 2 2 2_ELEC SAP FCST UPLOAD" xfId="1108" xr:uid="{00000000-0005-0000-0000-000089040000}"/>
    <cellStyle name="Normal 4 2 2 2 3" xfId="1109" xr:uid="{00000000-0005-0000-0000-00008A040000}"/>
    <cellStyle name="Normal 4 2 2 2 4" xfId="1110" xr:uid="{00000000-0005-0000-0000-00008B040000}"/>
    <cellStyle name="Normal 4 2 2 2 5" xfId="1111" xr:uid="{00000000-0005-0000-0000-00008C040000}"/>
    <cellStyle name="Normal 4 2 2 2 6" xfId="1112" xr:uid="{00000000-0005-0000-0000-00008D040000}"/>
    <cellStyle name="Normal 4 2 2 2_ELEC SAP FCST UPLOAD" xfId="1113" xr:uid="{00000000-0005-0000-0000-00008E040000}"/>
    <cellStyle name="Normal 4 2 2 3" xfId="1114" xr:uid="{00000000-0005-0000-0000-00008F040000}"/>
    <cellStyle name="Normal 4 2 2 3 2" xfId="1115" xr:uid="{00000000-0005-0000-0000-000090040000}"/>
    <cellStyle name="Normal 4 2 2 3 3" xfId="1116" xr:uid="{00000000-0005-0000-0000-000091040000}"/>
    <cellStyle name="Normal 4 2 2 3_ELEC SAP FCST UPLOAD" xfId="1117" xr:uid="{00000000-0005-0000-0000-000092040000}"/>
    <cellStyle name="Normal 4 2 2 4" xfId="1118" xr:uid="{00000000-0005-0000-0000-000093040000}"/>
    <cellStyle name="Normal 4 2 2 5" xfId="1119" xr:uid="{00000000-0005-0000-0000-000094040000}"/>
    <cellStyle name="Normal 4 2 2 6" xfId="1120" xr:uid="{00000000-0005-0000-0000-000095040000}"/>
    <cellStyle name="Normal 4 2 2_ELEC SAP FCST UPLOAD" xfId="1121" xr:uid="{00000000-0005-0000-0000-000096040000}"/>
    <cellStyle name="Normal 4 2 24" xfId="1479" xr:uid="{00000000-0005-0000-0000-000097040000}"/>
    <cellStyle name="Normal 4 2 3" xfId="1122" xr:uid="{00000000-0005-0000-0000-000098040000}"/>
    <cellStyle name="Normal 4 2 3 2" xfId="1123" xr:uid="{00000000-0005-0000-0000-000099040000}"/>
    <cellStyle name="Normal 4 2 3 3" xfId="1124" xr:uid="{00000000-0005-0000-0000-00009A040000}"/>
    <cellStyle name="Normal 4 2 3_ELEC SAP FCST UPLOAD" xfId="1125" xr:uid="{00000000-0005-0000-0000-00009B040000}"/>
    <cellStyle name="Normal 4 2 4" xfId="1126" xr:uid="{00000000-0005-0000-0000-00009C040000}"/>
    <cellStyle name="Normal 4 2 5" xfId="1127" xr:uid="{00000000-0005-0000-0000-00009D040000}"/>
    <cellStyle name="Normal 4 2 6" xfId="1128" xr:uid="{00000000-0005-0000-0000-00009E040000}"/>
    <cellStyle name="Normal 4 2 7" xfId="1129" xr:uid="{00000000-0005-0000-0000-00009F040000}"/>
    <cellStyle name="Normal 4 2_ELEC SAP FCST UPLOAD" xfId="1130" xr:uid="{00000000-0005-0000-0000-0000A0040000}"/>
    <cellStyle name="Normal 4 3" xfId="1131" xr:uid="{00000000-0005-0000-0000-0000A1040000}"/>
    <cellStyle name="Normal 4 3 2" xfId="1132" xr:uid="{00000000-0005-0000-0000-0000A2040000}"/>
    <cellStyle name="Normal 4 3 2 2" xfId="1133" xr:uid="{00000000-0005-0000-0000-0000A3040000}"/>
    <cellStyle name="Normal 4 3 2 3" xfId="1134" xr:uid="{00000000-0005-0000-0000-0000A4040000}"/>
    <cellStyle name="Normal 4 3 2_ELEC SAP FCST UPLOAD" xfId="1135" xr:uid="{00000000-0005-0000-0000-0000A5040000}"/>
    <cellStyle name="Normal 4 3 3" xfId="1136" xr:uid="{00000000-0005-0000-0000-0000A6040000}"/>
    <cellStyle name="Normal 4 3 4" xfId="1137" xr:uid="{00000000-0005-0000-0000-0000A7040000}"/>
    <cellStyle name="Normal 4 3 5" xfId="1138" xr:uid="{00000000-0005-0000-0000-0000A8040000}"/>
    <cellStyle name="Normal 4 3 6" xfId="1139" xr:uid="{00000000-0005-0000-0000-0000A9040000}"/>
    <cellStyle name="Normal 4 3_ELEC SAP FCST UPLOAD" xfId="1140" xr:uid="{00000000-0005-0000-0000-0000AA040000}"/>
    <cellStyle name="Normal 4 4" xfId="1141" xr:uid="{00000000-0005-0000-0000-0000AB040000}"/>
    <cellStyle name="Normal 4 5" xfId="1142" xr:uid="{00000000-0005-0000-0000-0000AC040000}"/>
    <cellStyle name="Normal 4 6" xfId="1143" xr:uid="{00000000-0005-0000-0000-0000AD040000}"/>
    <cellStyle name="Normal 4_ELEC SAP FCST UPLOAD" xfId="1144" xr:uid="{00000000-0005-0000-0000-0000AE040000}"/>
    <cellStyle name="Normal 5" xfId="1145" xr:uid="{00000000-0005-0000-0000-0000AF040000}"/>
    <cellStyle name="Normal 5 2" xfId="1146" xr:uid="{00000000-0005-0000-0000-0000B0040000}"/>
    <cellStyle name="Normal 5 2 2" xfId="1147" xr:uid="{00000000-0005-0000-0000-0000B1040000}"/>
    <cellStyle name="Normal 5 2 2 2" xfId="1148" xr:uid="{00000000-0005-0000-0000-0000B2040000}"/>
    <cellStyle name="Normal 5 2 2 3" xfId="1149" xr:uid="{00000000-0005-0000-0000-0000B3040000}"/>
    <cellStyle name="Normal 5 2 2_ELEC SAP FCST UPLOAD" xfId="1150" xr:uid="{00000000-0005-0000-0000-0000B4040000}"/>
    <cellStyle name="Normal 5 2 3" xfId="1151" xr:uid="{00000000-0005-0000-0000-0000B5040000}"/>
    <cellStyle name="Normal 5 2 4" xfId="1152" xr:uid="{00000000-0005-0000-0000-0000B6040000}"/>
    <cellStyle name="Normal 5 2 5" xfId="1153" xr:uid="{00000000-0005-0000-0000-0000B7040000}"/>
    <cellStyle name="Normal 5 2 6" xfId="1154" xr:uid="{00000000-0005-0000-0000-0000B8040000}"/>
    <cellStyle name="Normal 5 2_ELEC SAP FCST UPLOAD" xfId="1155" xr:uid="{00000000-0005-0000-0000-0000B9040000}"/>
    <cellStyle name="Normal 5 3" xfId="1156" xr:uid="{00000000-0005-0000-0000-0000BA040000}"/>
    <cellStyle name="Normal 5 4" xfId="1157" xr:uid="{00000000-0005-0000-0000-0000BB040000}"/>
    <cellStyle name="Normal 5 5" xfId="1158" xr:uid="{00000000-0005-0000-0000-0000BC040000}"/>
    <cellStyle name="Normal 5_ELEC SAP FCST UPLOAD" xfId="1159" xr:uid="{00000000-0005-0000-0000-0000BD040000}"/>
    <cellStyle name="Normal 6" xfId="1160" xr:uid="{00000000-0005-0000-0000-0000BE040000}"/>
    <cellStyle name="Normal 62 2 2 2" xfId="1477" xr:uid="{00000000-0005-0000-0000-0000BF040000}"/>
    <cellStyle name="Normal 7" xfId="1161" xr:uid="{00000000-0005-0000-0000-0000C0040000}"/>
    <cellStyle name="Normal 8" xfId="1162" xr:uid="{00000000-0005-0000-0000-0000C1040000}"/>
    <cellStyle name="Normal 9" xfId="1163" xr:uid="{00000000-0005-0000-0000-0000C2040000}"/>
    <cellStyle name="Normal 9 2" xfId="1164" xr:uid="{00000000-0005-0000-0000-0000C3040000}"/>
    <cellStyle name="Normal 9_GTO Non Operational Capex Roll-over submission (FINAL with property)" xfId="1165" xr:uid="{00000000-0005-0000-0000-0000C4040000}"/>
    <cellStyle name="Normal U" xfId="1166" xr:uid="{00000000-0005-0000-0000-0000C5040000}"/>
    <cellStyle name="Normal_3E(9) proforma 2000-01" xfId="30" xr:uid="{00000000-0005-0000-0000-0000C6040000}"/>
    <cellStyle name="Normal_EMExls" xfId="31" xr:uid="{00000000-0005-0000-0000-0000C7040000}"/>
    <cellStyle name="Normal_risk table" xfId="74" xr:uid="{00000000-0005-0000-0000-0000C8040000}"/>
    <cellStyle name="Note 2" xfId="1167" xr:uid="{00000000-0005-0000-0000-0000C9040000}"/>
    <cellStyle name="Note 3" xfId="1168" xr:uid="{00000000-0005-0000-0000-0000CA040000}"/>
    <cellStyle name="Note 3 2" xfId="1169" xr:uid="{00000000-0005-0000-0000-0000CB040000}"/>
    <cellStyle name="Note 3 3" xfId="1170" xr:uid="{00000000-0005-0000-0000-0000CC040000}"/>
    <cellStyle name="Note 3 4" xfId="1171" xr:uid="{00000000-0005-0000-0000-0000CD040000}"/>
    <cellStyle name="Note 3 5" xfId="1172" xr:uid="{00000000-0005-0000-0000-0000CE040000}"/>
    <cellStyle name="Note 3 6" xfId="1173" xr:uid="{00000000-0005-0000-0000-0000CF040000}"/>
    <cellStyle name="Note 3 7" xfId="1174" xr:uid="{00000000-0005-0000-0000-0000D0040000}"/>
    <cellStyle name="Note 3 8" xfId="1175" xr:uid="{00000000-0005-0000-0000-0000D1040000}"/>
    <cellStyle name="Output 2" xfId="1176" xr:uid="{00000000-0005-0000-0000-0000D2040000}"/>
    <cellStyle name="Output 3" xfId="1177" xr:uid="{00000000-0005-0000-0000-0000D3040000}"/>
    <cellStyle name="Percent" xfId="76" builtinId="5"/>
    <cellStyle name="Percent 10" xfId="1178" xr:uid="{00000000-0005-0000-0000-0000D5040000}"/>
    <cellStyle name="Percent 11" xfId="1179" xr:uid="{00000000-0005-0000-0000-0000D6040000}"/>
    <cellStyle name="Percent 12" xfId="1180" xr:uid="{00000000-0005-0000-0000-0000D7040000}"/>
    <cellStyle name="Percent 13" xfId="1181" xr:uid="{00000000-0005-0000-0000-0000D8040000}"/>
    <cellStyle name="Percent 14" xfId="1182" xr:uid="{00000000-0005-0000-0000-0000D9040000}"/>
    <cellStyle name="Percent 15" xfId="86" xr:uid="{00000000-0005-0000-0000-0000DA040000}"/>
    <cellStyle name="Percent 2" xfId="32" xr:uid="{00000000-0005-0000-0000-0000DB040000}"/>
    <cellStyle name="Percent 2 2" xfId="1183" xr:uid="{00000000-0005-0000-0000-0000DC040000}"/>
    <cellStyle name="Percent 2 2 2" xfId="1184" xr:uid="{00000000-0005-0000-0000-0000DD040000}"/>
    <cellStyle name="Percent 2 2 3" xfId="1185" xr:uid="{00000000-0005-0000-0000-0000DE040000}"/>
    <cellStyle name="Percent 2 3" xfId="1186" xr:uid="{00000000-0005-0000-0000-0000DF040000}"/>
    <cellStyle name="Percent 2 3 2" xfId="1187" xr:uid="{00000000-0005-0000-0000-0000E0040000}"/>
    <cellStyle name="Percent 2 4" xfId="1188" xr:uid="{00000000-0005-0000-0000-0000E1040000}"/>
    <cellStyle name="Percent 2 5" xfId="1382" xr:uid="{00000000-0005-0000-0000-0000E2040000}"/>
    <cellStyle name="Percent 2 6" xfId="102" xr:uid="{00000000-0005-0000-0000-0000E3040000}"/>
    <cellStyle name="Percent 3" xfId="75" xr:uid="{00000000-0005-0000-0000-0000E4040000}"/>
    <cellStyle name="Percent 3 2" xfId="1189" xr:uid="{00000000-0005-0000-0000-0000E5040000}"/>
    <cellStyle name="Percent 4" xfId="1190" xr:uid="{00000000-0005-0000-0000-0000E6040000}"/>
    <cellStyle name="Percent 4 2" xfId="1191" xr:uid="{00000000-0005-0000-0000-0000E7040000}"/>
    <cellStyle name="Percent 4 2 2" xfId="1192" xr:uid="{00000000-0005-0000-0000-0000E8040000}"/>
    <cellStyle name="Percent 4 3" xfId="1193" xr:uid="{00000000-0005-0000-0000-0000E9040000}"/>
    <cellStyle name="Percent 5" xfId="1194" xr:uid="{00000000-0005-0000-0000-0000EA040000}"/>
    <cellStyle name="Percent 6" xfId="1195" xr:uid="{00000000-0005-0000-0000-0000EB040000}"/>
    <cellStyle name="Percent 6 2" xfId="1196" xr:uid="{00000000-0005-0000-0000-0000EC040000}"/>
    <cellStyle name="Percent 7" xfId="1197" xr:uid="{00000000-0005-0000-0000-0000ED040000}"/>
    <cellStyle name="Percent 8" xfId="1198" xr:uid="{00000000-0005-0000-0000-0000EE040000}"/>
    <cellStyle name="Percent 8 2" xfId="1199" xr:uid="{00000000-0005-0000-0000-0000EF040000}"/>
    <cellStyle name="Percent 9" xfId="90" xr:uid="{00000000-0005-0000-0000-0000F0040000}"/>
    <cellStyle name="Percent 9 2" xfId="1200" xr:uid="{00000000-0005-0000-0000-0000F1040000}"/>
    <cellStyle name="Pre-inputted cells" xfId="1201" xr:uid="{00000000-0005-0000-0000-0000F2040000}"/>
    <cellStyle name="Pre-inputted cells 2" xfId="1202" xr:uid="{00000000-0005-0000-0000-0000F3040000}"/>
    <cellStyle name="Pre-inputted cells 2 2" xfId="1203" xr:uid="{00000000-0005-0000-0000-0000F4040000}"/>
    <cellStyle name="Pre-inputted cells 3" xfId="1204" xr:uid="{00000000-0005-0000-0000-0000F5040000}"/>
    <cellStyle name="Pre-inputted cells 3 2" xfId="1205" xr:uid="{00000000-0005-0000-0000-0000F6040000}"/>
    <cellStyle name="Pre-inputted cells 4" xfId="1206" xr:uid="{00000000-0005-0000-0000-0000F7040000}"/>
    <cellStyle name="Pre-inputted cells 4 2" xfId="1207" xr:uid="{00000000-0005-0000-0000-0000F8040000}"/>
    <cellStyle name="Pre-inputted cells 5" xfId="1208" xr:uid="{00000000-0005-0000-0000-0000F9040000}"/>
    <cellStyle name="Pre-inputted cells 5 2" xfId="1209" xr:uid="{00000000-0005-0000-0000-0000FA040000}"/>
    <cellStyle name="Pre-inputted cells 6" xfId="96" xr:uid="{00000000-0005-0000-0000-0000FB040000}"/>
    <cellStyle name="Pre-inputted cells 7" xfId="1210" xr:uid="{00000000-0005-0000-0000-0000FC040000}"/>
    <cellStyle name="RangeName" xfId="1211" xr:uid="{00000000-0005-0000-0000-0000FD040000}"/>
    <cellStyle name="RIGs" xfId="1212" xr:uid="{00000000-0005-0000-0000-0000FE040000}"/>
    <cellStyle name="RIGs 2" xfId="1213" xr:uid="{00000000-0005-0000-0000-0000FF040000}"/>
    <cellStyle name="RIGs input cells" xfId="1214" xr:uid="{00000000-0005-0000-0000-000000050000}"/>
    <cellStyle name="RIGs input cells 2" xfId="1215" xr:uid="{00000000-0005-0000-0000-000001050000}"/>
    <cellStyle name="RIGs input cells 2 2" xfId="1216" xr:uid="{00000000-0005-0000-0000-000002050000}"/>
    <cellStyle name="RIGs input cells 2 2 2" xfId="1217" xr:uid="{00000000-0005-0000-0000-000003050000}"/>
    <cellStyle name="RIGs input cells 2 3" xfId="1218" xr:uid="{00000000-0005-0000-0000-000004050000}"/>
    <cellStyle name="RIGs input cells 3" xfId="1219" xr:uid="{00000000-0005-0000-0000-000005050000}"/>
    <cellStyle name="RIGs input cells 3 2" xfId="1220" xr:uid="{00000000-0005-0000-0000-000006050000}"/>
    <cellStyle name="RIGs input cells 3 2 2" xfId="1221" xr:uid="{00000000-0005-0000-0000-000007050000}"/>
    <cellStyle name="RIGs input cells 3 3" xfId="1222" xr:uid="{00000000-0005-0000-0000-000008050000}"/>
    <cellStyle name="RIGs input cells 4" xfId="1223" xr:uid="{00000000-0005-0000-0000-000009050000}"/>
    <cellStyle name="RIGs input cells 4 2" xfId="1224" xr:uid="{00000000-0005-0000-0000-00000A050000}"/>
    <cellStyle name="RIGs input cells 5" xfId="1225" xr:uid="{00000000-0005-0000-0000-00000B050000}"/>
    <cellStyle name="RIGs input cells 5 2" xfId="1226" xr:uid="{00000000-0005-0000-0000-00000C050000}"/>
    <cellStyle name="RIGs input cells 6" xfId="1227" xr:uid="{00000000-0005-0000-0000-00000D050000}"/>
    <cellStyle name="RIGs input cells 6 2" xfId="1228" xr:uid="{00000000-0005-0000-0000-00000E050000}"/>
    <cellStyle name="RIGs input cells 7" xfId="1229" xr:uid="{00000000-0005-0000-0000-00000F050000}"/>
    <cellStyle name="RIGs input totals" xfId="1230" xr:uid="{00000000-0005-0000-0000-000010050000}"/>
    <cellStyle name="RIGs input totals 2" xfId="1231" xr:uid="{00000000-0005-0000-0000-000011050000}"/>
    <cellStyle name="RIGs input totals 2 2" xfId="1232" xr:uid="{00000000-0005-0000-0000-000012050000}"/>
    <cellStyle name="RIGs input totals 2 2 2" xfId="1233" xr:uid="{00000000-0005-0000-0000-000013050000}"/>
    <cellStyle name="RIGs input totals 2 3" xfId="1234" xr:uid="{00000000-0005-0000-0000-000014050000}"/>
    <cellStyle name="RIGs input totals 2 3 2" xfId="1235" xr:uid="{00000000-0005-0000-0000-000015050000}"/>
    <cellStyle name="RIGs input totals 2 4" xfId="1236" xr:uid="{00000000-0005-0000-0000-000016050000}"/>
    <cellStyle name="RIGs input totals 2 5" xfId="1237" xr:uid="{00000000-0005-0000-0000-000017050000}"/>
    <cellStyle name="RIGs input totals 3" xfId="1238" xr:uid="{00000000-0005-0000-0000-000018050000}"/>
    <cellStyle name="RIGs input totals 3 2" xfId="1239" xr:uid="{00000000-0005-0000-0000-000019050000}"/>
    <cellStyle name="RIGs input totals 4" xfId="1240" xr:uid="{00000000-0005-0000-0000-00001A050000}"/>
    <cellStyle name="RIGs input totals 4 2" xfId="1241" xr:uid="{00000000-0005-0000-0000-00001B050000}"/>
    <cellStyle name="RIGs input totals 5" xfId="1242" xr:uid="{00000000-0005-0000-0000-00001C050000}"/>
    <cellStyle name="RIGs input totals 5 2" xfId="1243" xr:uid="{00000000-0005-0000-0000-00001D050000}"/>
    <cellStyle name="RIGs input totals 6" xfId="1244" xr:uid="{00000000-0005-0000-0000-00001E050000}"/>
    <cellStyle name="RIGs input totals 7" xfId="1245" xr:uid="{00000000-0005-0000-0000-00001F050000}"/>
    <cellStyle name="RIGs linked cells" xfId="1246" xr:uid="{00000000-0005-0000-0000-000020050000}"/>
    <cellStyle name="RIGs linked cells 2" xfId="1247" xr:uid="{00000000-0005-0000-0000-000021050000}"/>
    <cellStyle name="RIGs linked cells 2 2" xfId="1248" xr:uid="{00000000-0005-0000-0000-000022050000}"/>
    <cellStyle name="RIGs linked cells 3" xfId="1249" xr:uid="{00000000-0005-0000-0000-000023050000}"/>
    <cellStyle name="RIGs linked cells 3 2" xfId="1250" xr:uid="{00000000-0005-0000-0000-000024050000}"/>
    <cellStyle name="RIGs linked cells 3 3" xfId="1251" xr:uid="{00000000-0005-0000-0000-000025050000}"/>
    <cellStyle name="RIGs linked cells 4" xfId="1252" xr:uid="{00000000-0005-0000-0000-000026050000}"/>
    <cellStyle name="RIGs linked cells 4 2" xfId="1253" xr:uid="{00000000-0005-0000-0000-000027050000}"/>
    <cellStyle name="RIGs linked cells 5" xfId="1254" xr:uid="{00000000-0005-0000-0000-000028050000}"/>
    <cellStyle name="SAPBEXaggData" xfId="33" xr:uid="{00000000-0005-0000-0000-000029050000}"/>
    <cellStyle name="SAPBEXaggData 2" xfId="1255" xr:uid="{00000000-0005-0000-0000-00002A050000}"/>
    <cellStyle name="SAPBEXaggDataEmph" xfId="34" xr:uid="{00000000-0005-0000-0000-00002B050000}"/>
    <cellStyle name="SAPBEXaggDataEmph 2" xfId="1256" xr:uid="{00000000-0005-0000-0000-00002C050000}"/>
    <cellStyle name="SAPBEXaggItem" xfId="35" xr:uid="{00000000-0005-0000-0000-00002D050000}"/>
    <cellStyle name="SAPBEXaggItem 2" xfId="1257" xr:uid="{00000000-0005-0000-0000-00002E050000}"/>
    <cellStyle name="SAPBEXaggItemX" xfId="36" xr:uid="{00000000-0005-0000-0000-00002F050000}"/>
    <cellStyle name="SAPBEXaggItemX 2" xfId="1258" xr:uid="{00000000-0005-0000-0000-000030050000}"/>
    <cellStyle name="SAPBEXchaText" xfId="37" xr:uid="{00000000-0005-0000-0000-000031050000}"/>
    <cellStyle name="SAPBEXchaText 2" xfId="1259" xr:uid="{00000000-0005-0000-0000-000032050000}"/>
    <cellStyle name="SAPBEXexcBad7" xfId="38" xr:uid="{00000000-0005-0000-0000-000033050000}"/>
    <cellStyle name="SAPBEXexcBad7 2" xfId="1260" xr:uid="{00000000-0005-0000-0000-000034050000}"/>
    <cellStyle name="SAPBEXexcBad8" xfId="39" xr:uid="{00000000-0005-0000-0000-000035050000}"/>
    <cellStyle name="SAPBEXexcBad8 2" xfId="1261" xr:uid="{00000000-0005-0000-0000-000036050000}"/>
    <cellStyle name="SAPBEXexcBad9" xfId="40" xr:uid="{00000000-0005-0000-0000-000037050000}"/>
    <cellStyle name="SAPBEXexcBad9 2" xfId="1262" xr:uid="{00000000-0005-0000-0000-000038050000}"/>
    <cellStyle name="SAPBEXexcCritical4" xfId="41" xr:uid="{00000000-0005-0000-0000-000039050000}"/>
    <cellStyle name="SAPBEXexcCritical4 2" xfId="1263" xr:uid="{00000000-0005-0000-0000-00003A050000}"/>
    <cellStyle name="SAPBEXexcCritical5" xfId="42" xr:uid="{00000000-0005-0000-0000-00003B050000}"/>
    <cellStyle name="SAPBEXexcCritical5 2" xfId="1264" xr:uid="{00000000-0005-0000-0000-00003C050000}"/>
    <cellStyle name="SAPBEXexcCritical6" xfId="43" xr:uid="{00000000-0005-0000-0000-00003D050000}"/>
    <cellStyle name="SAPBEXexcCritical6 2" xfId="1265" xr:uid="{00000000-0005-0000-0000-00003E050000}"/>
    <cellStyle name="SAPBEXexcGood1" xfId="44" xr:uid="{00000000-0005-0000-0000-00003F050000}"/>
    <cellStyle name="SAPBEXexcGood1 2" xfId="1266" xr:uid="{00000000-0005-0000-0000-000040050000}"/>
    <cellStyle name="SAPBEXexcGood2" xfId="45" xr:uid="{00000000-0005-0000-0000-000041050000}"/>
    <cellStyle name="SAPBEXexcGood2 2" xfId="1267" xr:uid="{00000000-0005-0000-0000-000042050000}"/>
    <cellStyle name="SAPBEXexcGood3" xfId="46" xr:uid="{00000000-0005-0000-0000-000043050000}"/>
    <cellStyle name="SAPBEXexcGood3 2" xfId="1268" xr:uid="{00000000-0005-0000-0000-000044050000}"/>
    <cellStyle name="SAPBEXfilterDrill" xfId="47" xr:uid="{00000000-0005-0000-0000-000045050000}"/>
    <cellStyle name="SAPBEXfilterDrill 2" xfId="1269" xr:uid="{00000000-0005-0000-0000-000046050000}"/>
    <cellStyle name="SAPBEXfilterItem" xfId="48" xr:uid="{00000000-0005-0000-0000-000047050000}"/>
    <cellStyle name="SAPBEXfilterItem 2" xfId="1270" xr:uid="{00000000-0005-0000-0000-000048050000}"/>
    <cellStyle name="SAPBEXfilterText" xfId="49" xr:uid="{00000000-0005-0000-0000-000049050000}"/>
    <cellStyle name="SAPBEXfilterText 2" xfId="1271" xr:uid="{00000000-0005-0000-0000-00004A050000}"/>
    <cellStyle name="SAPBEXformats" xfId="50" xr:uid="{00000000-0005-0000-0000-00004B050000}"/>
    <cellStyle name="SAPBEXformats 2" xfId="1272" xr:uid="{00000000-0005-0000-0000-00004C050000}"/>
    <cellStyle name="SAPBEXheaderItem" xfId="51" xr:uid="{00000000-0005-0000-0000-00004D050000}"/>
    <cellStyle name="SAPBEXheaderItem 2" xfId="1274" xr:uid="{00000000-0005-0000-0000-00004E050000}"/>
    <cellStyle name="SAPBEXheaderItem 3" xfId="1273" xr:uid="{00000000-0005-0000-0000-00004F050000}"/>
    <cellStyle name="SAPBEXheaderItem_0910 GSO Capex RRP - Final (Detail) v2 220710" xfId="1275" xr:uid="{00000000-0005-0000-0000-000050050000}"/>
    <cellStyle name="SAPBEXheaderText" xfId="52" xr:uid="{00000000-0005-0000-0000-000051050000}"/>
    <cellStyle name="SAPBEXheaderText 2" xfId="1277" xr:uid="{00000000-0005-0000-0000-000052050000}"/>
    <cellStyle name="SAPBEXheaderText 3" xfId="1276" xr:uid="{00000000-0005-0000-0000-000053050000}"/>
    <cellStyle name="SAPBEXheaderText_0910 GSO Capex RRP - Final (Detail) v2 220710" xfId="1278" xr:uid="{00000000-0005-0000-0000-000054050000}"/>
    <cellStyle name="SAPBEXHLevel0" xfId="53" xr:uid="{00000000-0005-0000-0000-000055050000}"/>
    <cellStyle name="SAPBEXHLevel0 2" xfId="1280" xr:uid="{00000000-0005-0000-0000-000056050000}"/>
    <cellStyle name="SAPBEXHLevel0 3" xfId="1279" xr:uid="{00000000-0005-0000-0000-000057050000}"/>
    <cellStyle name="SAPBEXHLevel0_0910 GSO Capex RRP - Final (Detail) v2 220710" xfId="1281" xr:uid="{00000000-0005-0000-0000-000058050000}"/>
    <cellStyle name="SAPBEXHLevel0X" xfId="54" xr:uid="{00000000-0005-0000-0000-000059050000}"/>
    <cellStyle name="SAPBEXHLevel0X 2" xfId="1283" xr:uid="{00000000-0005-0000-0000-00005A050000}"/>
    <cellStyle name="SAPBEXHLevel0X 3" xfId="1284" xr:uid="{00000000-0005-0000-0000-00005B050000}"/>
    <cellStyle name="SAPBEXHLevel0X 3 2" xfId="1285" xr:uid="{00000000-0005-0000-0000-00005C050000}"/>
    <cellStyle name="SAPBEXHLevel0X 3 3" xfId="1286" xr:uid="{00000000-0005-0000-0000-00005D050000}"/>
    <cellStyle name="SAPBEXHLevel0X 3 4" xfId="1287" xr:uid="{00000000-0005-0000-0000-00005E050000}"/>
    <cellStyle name="SAPBEXHLevel0X 3 5" xfId="1288" xr:uid="{00000000-0005-0000-0000-00005F050000}"/>
    <cellStyle name="SAPBEXHLevel0X 3 6" xfId="1289" xr:uid="{00000000-0005-0000-0000-000060050000}"/>
    <cellStyle name="SAPBEXHLevel0X 3 7" xfId="1290" xr:uid="{00000000-0005-0000-0000-000061050000}"/>
    <cellStyle name="SAPBEXHLevel0X 3 8" xfId="1291" xr:uid="{00000000-0005-0000-0000-000062050000}"/>
    <cellStyle name="SAPBEXHLevel0X 4" xfId="1282" xr:uid="{00000000-0005-0000-0000-000063050000}"/>
    <cellStyle name="SAPBEXHLevel0X_0910 GSO Capex RRP - Final (Detail) v2 220710" xfId="1292" xr:uid="{00000000-0005-0000-0000-000064050000}"/>
    <cellStyle name="SAPBEXHLevel1" xfId="55" xr:uid="{00000000-0005-0000-0000-000065050000}"/>
    <cellStyle name="SAPBEXHLevel1 2" xfId="1294" xr:uid="{00000000-0005-0000-0000-000066050000}"/>
    <cellStyle name="SAPBEXHLevel1 3" xfId="1293" xr:uid="{00000000-0005-0000-0000-000067050000}"/>
    <cellStyle name="SAPBEXHLevel1_0910 GSO Capex RRP - Final (Detail) v2 220710" xfId="1295" xr:uid="{00000000-0005-0000-0000-000068050000}"/>
    <cellStyle name="SAPBEXHLevel1X" xfId="56" xr:uid="{00000000-0005-0000-0000-000069050000}"/>
    <cellStyle name="SAPBEXHLevel1X 2" xfId="1297" xr:uid="{00000000-0005-0000-0000-00006A050000}"/>
    <cellStyle name="SAPBEXHLevel1X 3" xfId="1298" xr:uid="{00000000-0005-0000-0000-00006B050000}"/>
    <cellStyle name="SAPBEXHLevel1X 3 2" xfId="1299" xr:uid="{00000000-0005-0000-0000-00006C050000}"/>
    <cellStyle name="SAPBEXHLevel1X 3 3" xfId="1300" xr:uid="{00000000-0005-0000-0000-00006D050000}"/>
    <cellStyle name="SAPBEXHLevel1X 3 4" xfId="1301" xr:uid="{00000000-0005-0000-0000-00006E050000}"/>
    <cellStyle name="SAPBEXHLevel1X 3 5" xfId="1302" xr:uid="{00000000-0005-0000-0000-00006F050000}"/>
    <cellStyle name="SAPBEXHLevel1X 3 6" xfId="1303" xr:uid="{00000000-0005-0000-0000-000070050000}"/>
    <cellStyle name="SAPBEXHLevel1X 3 7" xfId="1304" xr:uid="{00000000-0005-0000-0000-000071050000}"/>
    <cellStyle name="SAPBEXHLevel1X 3 8" xfId="1305" xr:uid="{00000000-0005-0000-0000-000072050000}"/>
    <cellStyle name="SAPBEXHLevel1X 4" xfId="1296" xr:uid="{00000000-0005-0000-0000-000073050000}"/>
    <cellStyle name="SAPBEXHLevel1X_0910 GSO Capex RRP - Final (Detail) v2 220710" xfId="1306" xr:uid="{00000000-0005-0000-0000-000074050000}"/>
    <cellStyle name="SAPBEXHLevel2" xfId="57" xr:uid="{00000000-0005-0000-0000-000075050000}"/>
    <cellStyle name="SAPBEXHLevel2 2" xfId="1308" xr:uid="{00000000-0005-0000-0000-000076050000}"/>
    <cellStyle name="SAPBEXHLevel2 3" xfId="1307" xr:uid="{00000000-0005-0000-0000-000077050000}"/>
    <cellStyle name="SAPBEXHLevel2_0910 GSO Capex RRP - Final (Detail) v2 220710" xfId="1309" xr:uid="{00000000-0005-0000-0000-000078050000}"/>
    <cellStyle name="SAPBEXHLevel2X" xfId="58" xr:uid="{00000000-0005-0000-0000-000079050000}"/>
    <cellStyle name="SAPBEXHLevel2X 2" xfId="1311" xr:uid="{00000000-0005-0000-0000-00007A050000}"/>
    <cellStyle name="SAPBEXHLevel2X 3" xfId="1312" xr:uid="{00000000-0005-0000-0000-00007B050000}"/>
    <cellStyle name="SAPBEXHLevel2X 3 2" xfId="1313" xr:uid="{00000000-0005-0000-0000-00007C050000}"/>
    <cellStyle name="SAPBEXHLevel2X 3 3" xfId="1314" xr:uid="{00000000-0005-0000-0000-00007D050000}"/>
    <cellStyle name="SAPBEXHLevel2X 3 4" xfId="1315" xr:uid="{00000000-0005-0000-0000-00007E050000}"/>
    <cellStyle name="SAPBEXHLevel2X 3 5" xfId="1316" xr:uid="{00000000-0005-0000-0000-00007F050000}"/>
    <cellStyle name="SAPBEXHLevel2X 3 6" xfId="1317" xr:uid="{00000000-0005-0000-0000-000080050000}"/>
    <cellStyle name="SAPBEXHLevel2X 3 7" xfId="1318" xr:uid="{00000000-0005-0000-0000-000081050000}"/>
    <cellStyle name="SAPBEXHLevel2X 3 8" xfId="1319" xr:uid="{00000000-0005-0000-0000-000082050000}"/>
    <cellStyle name="SAPBEXHLevel2X 4" xfId="1310" xr:uid="{00000000-0005-0000-0000-000083050000}"/>
    <cellStyle name="SAPBEXHLevel2X_0910 GSO Capex RRP - Final (Detail) v2 220710" xfId="1320" xr:uid="{00000000-0005-0000-0000-000084050000}"/>
    <cellStyle name="SAPBEXHLevel3" xfId="59" xr:uid="{00000000-0005-0000-0000-000085050000}"/>
    <cellStyle name="SAPBEXHLevel3 2" xfId="1322" xr:uid="{00000000-0005-0000-0000-000086050000}"/>
    <cellStyle name="SAPBEXHLevel3 3" xfId="1321" xr:uid="{00000000-0005-0000-0000-000087050000}"/>
    <cellStyle name="SAPBEXHLevel3_0910 GSO Capex RRP - Final (Detail) v2 220710" xfId="1323" xr:uid="{00000000-0005-0000-0000-000088050000}"/>
    <cellStyle name="SAPBEXHLevel3X" xfId="60" xr:uid="{00000000-0005-0000-0000-000089050000}"/>
    <cellStyle name="SAPBEXHLevel3X 2" xfId="1325" xr:uid="{00000000-0005-0000-0000-00008A050000}"/>
    <cellStyle name="SAPBEXHLevel3X 3" xfId="1326" xr:uid="{00000000-0005-0000-0000-00008B050000}"/>
    <cellStyle name="SAPBEXHLevel3X 3 2" xfId="1327" xr:uid="{00000000-0005-0000-0000-00008C050000}"/>
    <cellStyle name="SAPBEXHLevel3X 3 3" xfId="1328" xr:uid="{00000000-0005-0000-0000-00008D050000}"/>
    <cellStyle name="SAPBEXHLevel3X 3 4" xfId="1329" xr:uid="{00000000-0005-0000-0000-00008E050000}"/>
    <cellStyle name="SAPBEXHLevel3X 3 5" xfId="1330" xr:uid="{00000000-0005-0000-0000-00008F050000}"/>
    <cellStyle name="SAPBEXHLevel3X 3 6" xfId="1331" xr:uid="{00000000-0005-0000-0000-000090050000}"/>
    <cellStyle name="SAPBEXHLevel3X 3 7" xfId="1332" xr:uid="{00000000-0005-0000-0000-000091050000}"/>
    <cellStyle name="SAPBEXHLevel3X 3 8" xfId="1333" xr:uid="{00000000-0005-0000-0000-000092050000}"/>
    <cellStyle name="SAPBEXHLevel3X 4" xfId="1324" xr:uid="{00000000-0005-0000-0000-000093050000}"/>
    <cellStyle name="SAPBEXHLevel3X_0910 GSO Capex RRP - Final (Detail) v2 220710" xfId="1334" xr:uid="{00000000-0005-0000-0000-000094050000}"/>
    <cellStyle name="SAPBEXinputData" xfId="61" xr:uid="{00000000-0005-0000-0000-000095050000}"/>
    <cellStyle name="SAPBEXinputData 2" xfId="1336" xr:uid="{00000000-0005-0000-0000-000096050000}"/>
    <cellStyle name="SAPBEXinputData 3" xfId="1337" xr:uid="{00000000-0005-0000-0000-000097050000}"/>
    <cellStyle name="SAPBEXinputData 3 2" xfId="1338" xr:uid="{00000000-0005-0000-0000-000098050000}"/>
    <cellStyle name="SAPBEXinputData 3 3" xfId="1339" xr:uid="{00000000-0005-0000-0000-000099050000}"/>
    <cellStyle name="SAPBEXinputData 3 4" xfId="1340" xr:uid="{00000000-0005-0000-0000-00009A050000}"/>
    <cellStyle name="SAPBEXinputData 3 5" xfId="1341" xr:uid="{00000000-0005-0000-0000-00009B050000}"/>
    <cellStyle name="SAPBEXinputData 3 6" xfId="1342" xr:uid="{00000000-0005-0000-0000-00009C050000}"/>
    <cellStyle name="SAPBEXinputData 3 7" xfId="1343" xr:uid="{00000000-0005-0000-0000-00009D050000}"/>
    <cellStyle name="SAPBEXinputData 3 8" xfId="1344" xr:uid="{00000000-0005-0000-0000-00009E050000}"/>
    <cellStyle name="SAPBEXinputData 4" xfId="1335" xr:uid="{00000000-0005-0000-0000-00009F050000}"/>
    <cellStyle name="SAPBEXinputData_0910 GSO Capex RRP - Final (Detail) v2 220710" xfId="1345" xr:uid="{00000000-0005-0000-0000-0000A0050000}"/>
    <cellStyle name="SAPBEXItemHeader" xfId="1346" xr:uid="{00000000-0005-0000-0000-0000A1050000}"/>
    <cellStyle name="SAPBEXresData" xfId="62" xr:uid="{00000000-0005-0000-0000-0000A2050000}"/>
    <cellStyle name="SAPBEXresData 2" xfId="1347" xr:uid="{00000000-0005-0000-0000-0000A3050000}"/>
    <cellStyle name="SAPBEXresDataEmph" xfId="63" xr:uid="{00000000-0005-0000-0000-0000A4050000}"/>
    <cellStyle name="SAPBEXresDataEmph 2" xfId="1348" xr:uid="{00000000-0005-0000-0000-0000A5050000}"/>
    <cellStyle name="SAPBEXresItem" xfId="64" xr:uid="{00000000-0005-0000-0000-0000A6050000}"/>
    <cellStyle name="SAPBEXresItem 2" xfId="1349" xr:uid="{00000000-0005-0000-0000-0000A7050000}"/>
    <cellStyle name="SAPBEXresItemX" xfId="65" xr:uid="{00000000-0005-0000-0000-0000A8050000}"/>
    <cellStyle name="SAPBEXresItemX 2" xfId="1350" xr:uid="{00000000-0005-0000-0000-0000A9050000}"/>
    <cellStyle name="SAPBEXstdData" xfId="66" xr:uid="{00000000-0005-0000-0000-0000AA050000}"/>
    <cellStyle name="SAPBEXstdData 2" xfId="1351" xr:uid="{00000000-0005-0000-0000-0000AB050000}"/>
    <cellStyle name="SAPBEXstdDataEmph" xfId="67" xr:uid="{00000000-0005-0000-0000-0000AC050000}"/>
    <cellStyle name="SAPBEXstdDataEmph 2" xfId="1352" xr:uid="{00000000-0005-0000-0000-0000AD050000}"/>
    <cellStyle name="SAPBEXstdItem" xfId="68" xr:uid="{00000000-0005-0000-0000-0000AE050000}"/>
    <cellStyle name="SAPBEXstdItem 2" xfId="1353" xr:uid="{00000000-0005-0000-0000-0000AF050000}"/>
    <cellStyle name="SAPBEXstdItemX" xfId="69" xr:uid="{00000000-0005-0000-0000-0000B0050000}"/>
    <cellStyle name="SAPBEXstdItemX 2" xfId="1354" xr:uid="{00000000-0005-0000-0000-0000B1050000}"/>
    <cellStyle name="SAPBEXtitle" xfId="70" xr:uid="{00000000-0005-0000-0000-0000B2050000}"/>
    <cellStyle name="SAPBEXtitle 2" xfId="1355" xr:uid="{00000000-0005-0000-0000-0000B3050000}"/>
    <cellStyle name="SAPBEXunassignedItem" xfId="1356" xr:uid="{00000000-0005-0000-0000-0000B4050000}"/>
    <cellStyle name="SAPBEXundefined" xfId="71" xr:uid="{00000000-0005-0000-0000-0000B5050000}"/>
    <cellStyle name="SAPBEXundefined 2" xfId="1357" xr:uid="{00000000-0005-0000-0000-0000B6050000}"/>
    <cellStyle name="Sheet Title" xfId="72" xr:uid="{00000000-0005-0000-0000-0000B7050000}"/>
    <cellStyle name="Sheet Title 2" xfId="1358" xr:uid="{00000000-0005-0000-0000-0000B8050000}"/>
    <cellStyle name="Standard_Anpassen der Amortisation" xfId="1359" xr:uid="{00000000-0005-0000-0000-0000B9050000}"/>
    <cellStyle name="Style 1" xfId="1360" xr:uid="{00000000-0005-0000-0000-0000BA050000}"/>
    <cellStyle name="Style 2" xfId="1475" xr:uid="{00000000-0005-0000-0000-0000BB050000}"/>
    <cellStyle name="Sub-total" xfId="1361" xr:uid="{00000000-0005-0000-0000-0000BC050000}"/>
    <cellStyle name="swpBody01" xfId="1362" xr:uid="{00000000-0005-0000-0000-0000BD050000}"/>
    <cellStyle name="Title 2" xfId="1363" xr:uid="{00000000-0005-0000-0000-0000BE050000}"/>
    <cellStyle name="Title 3" xfId="1364" xr:uid="{00000000-0005-0000-0000-0000BF050000}"/>
    <cellStyle name="Total 1" xfId="1365" xr:uid="{00000000-0005-0000-0000-0000C0050000}"/>
    <cellStyle name="Total 1 2" xfId="1474" xr:uid="{00000000-0005-0000-0000-0000C1050000}"/>
    <cellStyle name="Total 2" xfId="1366" xr:uid="{00000000-0005-0000-0000-0000C2050000}"/>
    <cellStyle name="Total 3" xfId="1367" xr:uid="{00000000-0005-0000-0000-0000C3050000}"/>
    <cellStyle name="Totals" xfId="1368" xr:uid="{00000000-0005-0000-0000-0000C4050000}"/>
    <cellStyle name="Währung [0]_Compiling Utility Macros" xfId="1369" xr:uid="{00000000-0005-0000-0000-0000C5050000}"/>
    <cellStyle name="Währung_Compiling Utility Macros" xfId="1370" xr:uid="{00000000-0005-0000-0000-0000C6050000}"/>
    <cellStyle name="Warning Text 2" xfId="1371" xr:uid="{00000000-0005-0000-0000-0000C7050000}"/>
    <cellStyle name="Warning Text 3" xfId="1372" xr:uid="{00000000-0005-0000-0000-0000C8050000}"/>
    <cellStyle name="Yellow" xfId="1373" xr:uid="{00000000-0005-0000-0000-0000C9050000}"/>
    <cellStyle name="Yellow 2" xfId="1374" xr:uid="{00000000-0005-0000-0000-0000CA050000}"/>
    <cellStyle name="Yellow 2 2" xfId="1375" xr:uid="{00000000-0005-0000-0000-0000CB050000}"/>
    <cellStyle name="Yellow 2 3" xfId="1376" xr:uid="{00000000-0005-0000-0000-0000CC050000}"/>
    <cellStyle name="Yellow 2 4" xfId="1377" xr:uid="{00000000-0005-0000-0000-0000CD050000}"/>
    <cellStyle name="Yellow 2 5" xfId="1378" xr:uid="{00000000-0005-0000-0000-0000CE050000}"/>
    <cellStyle name="Yellow 2 6" xfId="1379" xr:uid="{00000000-0005-0000-0000-0000CF050000}"/>
    <cellStyle name="Yellow 2 7" xfId="1380" xr:uid="{00000000-0005-0000-0000-0000D0050000}"/>
    <cellStyle name="Yellow 2 8" xfId="1381" xr:uid="{00000000-0005-0000-0000-0000D1050000}"/>
  </cellStyles>
  <dxfs count="0"/>
  <tableStyles count="0" defaultTableStyle="TableStyleMedium9" defaultPivotStyle="PivotStyleLight16"/>
  <colors>
    <mruColors>
      <color rgb="FFFFFFCC"/>
      <color rgb="FFFFC000"/>
      <color rgb="FFCC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 Id="rId9" Type="http://schemas.openxmlformats.org/officeDocument/2006/relationships/image" Target="../media/image15.png"/></Relationships>
</file>

<file path=xl/drawings/_rels/drawing6.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4"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2352675</xdr:colOff>
      <xdr:row>1</xdr:row>
      <xdr:rowOff>22145</xdr:rowOff>
    </xdr:to>
    <xdr:pic>
      <xdr:nvPicPr>
        <xdr:cNvPr id="2" name="Picture 1" descr="image of the Ofgem logo" title="Ofgem logo">
          <a:extLst>
            <a:ext uri="{FF2B5EF4-FFF2-40B4-BE49-F238E27FC236}">
              <a16:creationId xmlns:a16="http://schemas.microsoft.com/office/drawing/2014/main" id="{20CA6AE0-1FB8-43E2-95DB-DFEA69288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79825" cy="746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3</xdr:row>
      <xdr:rowOff>0</xdr:rowOff>
    </xdr:from>
    <xdr:to>
      <xdr:col>9</xdr:col>
      <xdr:colOff>323850</xdr:colOff>
      <xdr:row>28</xdr:row>
      <xdr:rowOff>47625</xdr:rowOff>
    </xdr:to>
    <xdr:grpSp>
      <xdr:nvGrpSpPr>
        <xdr:cNvPr id="9219" name="Group 3">
          <a:extLst>
            <a:ext uri="{FF2B5EF4-FFF2-40B4-BE49-F238E27FC236}">
              <a16:creationId xmlns:a16="http://schemas.microsoft.com/office/drawing/2014/main" id="{00000000-0008-0000-0100-000003240000}"/>
            </a:ext>
          </a:extLst>
        </xdr:cNvPr>
        <xdr:cNvGrpSpPr>
          <a:grpSpLocks noChangeAspect="1"/>
        </xdr:cNvGrpSpPr>
      </xdr:nvGrpSpPr>
      <xdr:grpSpPr bwMode="auto">
        <a:xfrm>
          <a:off x="520700" y="609600"/>
          <a:ext cx="7432675" cy="4454525"/>
          <a:chOff x="55" y="65"/>
          <a:chExt cx="718" cy="430"/>
        </a:xfrm>
      </xdr:grpSpPr>
      <xdr:sp macro="" textlink="">
        <xdr:nvSpPr>
          <xdr:cNvPr id="9218" name="AutoShape 2">
            <a:extLst>
              <a:ext uri="{FF2B5EF4-FFF2-40B4-BE49-F238E27FC236}">
                <a16:creationId xmlns:a16="http://schemas.microsoft.com/office/drawing/2014/main" id="{00000000-0008-0000-0100-000002240000}"/>
              </a:ext>
            </a:extLst>
          </xdr:cNvPr>
          <xdr:cNvSpPr>
            <a:spLocks noChangeAspect="1" noChangeArrowheads="1" noTextEdit="1"/>
          </xdr:cNvSpPr>
        </xdr:nvSpPr>
        <xdr:spPr bwMode="auto">
          <a:xfrm>
            <a:off x="55" y="65"/>
            <a:ext cx="718" cy="430"/>
          </a:xfrm>
          <a:prstGeom prst="rect">
            <a:avLst/>
          </a:prstGeom>
          <a:noFill/>
          <a:ln w="9525">
            <a:noFill/>
            <a:miter lim="800000"/>
            <a:headEnd/>
            <a:tailEnd/>
          </a:ln>
        </xdr:spPr>
      </xdr:sp>
      <xdr:sp macro="" textlink="">
        <xdr:nvSpPr>
          <xdr:cNvPr id="9220" name="Freeform 4">
            <a:extLst>
              <a:ext uri="{FF2B5EF4-FFF2-40B4-BE49-F238E27FC236}">
                <a16:creationId xmlns:a16="http://schemas.microsoft.com/office/drawing/2014/main" id="{00000000-0008-0000-0100-000004240000}"/>
              </a:ext>
            </a:extLst>
          </xdr:cNvPr>
          <xdr:cNvSpPr>
            <a:spLocks noEditPoints="1"/>
          </xdr:cNvSpPr>
        </xdr:nvSpPr>
        <xdr:spPr bwMode="auto">
          <a:xfrm>
            <a:off x="344" y="468"/>
            <a:ext cx="160" cy="27"/>
          </a:xfrm>
          <a:custGeom>
            <a:avLst/>
            <a:gdLst/>
            <a:ahLst/>
            <a:cxnLst>
              <a:cxn ang="0">
                <a:pos x="0" y="8"/>
              </a:cxn>
              <a:cxn ang="0">
                <a:pos x="8" y="0"/>
              </a:cxn>
              <a:cxn ang="0">
                <a:pos x="2904" y="0"/>
              </a:cxn>
              <a:cxn ang="0">
                <a:pos x="2912" y="8"/>
              </a:cxn>
              <a:cxn ang="0">
                <a:pos x="2912" y="472"/>
              </a:cxn>
              <a:cxn ang="0">
                <a:pos x="2904" y="480"/>
              </a:cxn>
              <a:cxn ang="0">
                <a:pos x="8" y="480"/>
              </a:cxn>
              <a:cxn ang="0">
                <a:pos x="0" y="472"/>
              </a:cxn>
              <a:cxn ang="0">
                <a:pos x="0" y="8"/>
              </a:cxn>
              <a:cxn ang="0">
                <a:pos x="16" y="472"/>
              </a:cxn>
              <a:cxn ang="0">
                <a:pos x="8" y="464"/>
              </a:cxn>
              <a:cxn ang="0">
                <a:pos x="2904" y="464"/>
              </a:cxn>
              <a:cxn ang="0">
                <a:pos x="2896" y="472"/>
              </a:cxn>
              <a:cxn ang="0">
                <a:pos x="2896" y="8"/>
              </a:cxn>
              <a:cxn ang="0">
                <a:pos x="2904" y="16"/>
              </a:cxn>
              <a:cxn ang="0">
                <a:pos x="8" y="16"/>
              </a:cxn>
              <a:cxn ang="0">
                <a:pos x="16" y="8"/>
              </a:cxn>
              <a:cxn ang="0">
                <a:pos x="16" y="472"/>
              </a:cxn>
            </a:cxnLst>
            <a:rect l="0" t="0" r="r" b="b"/>
            <a:pathLst>
              <a:path w="2912" h="480">
                <a:moveTo>
                  <a:pt x="0" y="8"/>
                </a:moveTo>
                <a:cubicBezTo>
                  <a:pt x="0" y="4"/>
                  <a:pt x="4" y="0"/>
                  <a:pt x="8" y="0"/>
                </a:cubicBezTo>
                <a:lnTo>
                  <a:pt x="2904" y="0"/>
                </a:lnTo>
                <a:cubicBezTo>
                  <a:pt x="2909" y="0"/>
                  <a:pt x="2912" y="4"/>
                  <a:pt x="2912" y="8"/>
                </a:cubicBezTo>
                <a:lnTo>
                  <a:pt x="2912" y="472"/>
                </a:lnTo>
                <a:cubicBezTo>
                  <a:pt x="2912" y="477"/>
                  <a:pt x="2909" y="480"/>
                  <a:pt x="2904" y="480"/>
                </a:cubicBezTo>
                <a:lnTo>
                  <a:pt x="8" y="480"/>
                </a:lnTo>
                <a:cubicBezTo>
                  <a:pt x="4" y="480"/>
                  <a:pt x="0" y="477"/>
                  <a:pt x="0" y="472"/>
                </a:cubicBezTo>
                <a:lnTo>
                  <a:pt x="0" y="8"/>
                </a:lnTo>
                <a:close/>
                <a:moveTo>
                  <a:pt x="16" y="472"/>
                </a:moveTo>
                <a:lnTo>
                  <a:pt x="8" y="464"/>
                </a:lnTo>
                <a:lnTo>
                  <a:pt x="2904" y="464"/>
                </a:lnTo>
                <a:lnTo>
                  <a:pt x="2896" y="472"/>
                </a:lnTo>
                <a:lnTo>
                  <a:pt x="2896" y="8"/>
                </a:lnTo>
                <a:lnTo>
                  <a:pt x="2904" y="16"/>
                </a:lnTo>
                <a:lnTo>
                  <a:pt x="8" y="16"/>
                </a:lnTo>
                <a:lnTo>
                  <a:pt x="16" y="8"/>
                </a:lnTo>
                <a:lnTo>
                  <a:pt x="16" y="472"/>
                </a:lnTo>
                <a:close/>
              </a:path>
            </a:pathLst>
          </a:custGeom>
          <a:solidFill>
            <a:srgbClr val="000000"/>
          </a:solidFill>
          <a:ln w="0" cap="flat">
            <a:solidFill>
              <a:srgbClr val="000000"/>
            </a:solidFill>
            <a:prstDash val="solid"/>
            <a:round/>
            <a:headEnd/>
            <a:tailEnd/>
          </a:ln>
        </xdr:spPr>
      </xdr:sp>
      <xdr:sp macro="" textlink="">
        <xdr:nvSpPr>
          <xdr:cNvPr id="9221" name="Rectangle 5">
            <a:extLst>
              <a:ext uri="{FF2B5EF4-FFF2-40B4-BE49-F238E27FC236}">
                <a16:creationId xmlns:a16="http://schemas.microsoft.com/office/drawing/2014/main" id="{00000000-0008-0000-0100-000005240000}"/>
              </a:ext>
            </a:extLst>
          </xdr:cNvPr>
          <xdr:cNvSpPr>
            <a:spLocks noChangeArrowheads="1"/>
          </xdr:cNvSpPr>
        </xdr:nvSpPr>
        <xdr:spPr bwMode="auto">
          <a:xfrm>
            <a:off x="388" y="473"/>
            <a:ext cx="72"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Summary</a:t>
            </a:r>
          </a:p>
        </xdr:txBody>
      </xdr:sp>
      <xdr:sp macro="" textlink="">
        <xdr:nvSpPr>
          <xdr:cNvPr id="9222" name="Freeform 6">
            <a:extLst>
              <a:ext uri="{FF2B5EF4-FFF2-40B4-BE49-F238E27FC236}">
                <a16:creationId xmlns:a16="http://schemas.microsoft.com/office/drawing/2014/main" id="{00000000-0008-0000-0100-000006240000}"/>
              </a:ext>
            </a:extLst>
          </xdr:cNvPr>
          <xdr:cNvSpPr>
            <a:spLocks noEditPoints="1"/>
          </xdr:cNvSpPr>
        </xdr:nvSpPr>
        <xdr:spPr bwMode="auto">
          <a:xfrm>
            <a:off x="194" y="71"/>
            <a:ext cx="158"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23" name="Rectangle 7">
            <a:extLst>
              <a:ext uri="{FF2B5EF4-FFF2-40B4-BE49-F238E27FC236}">
                <a16:creationId xmlns:a16="http://schemas.microsoft.com/office/drawing/2014/main" id="{00000000-0008-0000-0100-000007240000}"/>
              </a:ext>
            </a:extLst>
          </xdr:cNvPr>
          <xdr:cNvSpPr>
            <a:spLocks noChangeArrowheads="1"/>
          </xdr:cNvSpPr>
        </xdr:nvSpPr>
        <xdr:spPr bwMode="auto">
          <a:xfrm>
            <a:off x="211" y="75"/>
            <a:ext cx="13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Licence Condition </a:t>
            </a:r>
          </a:p>
        </xdr:txBody>
      </xdr:sp>
      <xdr:sp macro="" textlink="">
        <xdr:nvSpPr>
          <xdr:cNvPr id="9224" name="Rectangle 8">
            <a:extLst>
              <a:ext uri="{FF2B5EF4-FFF2-40B4-BE49-F238E27FC236}">
                <a16:creationId xmlns:a16="http://schemas.microsoft.com/office/drawing/2014/main" id="{00000000-0008-0000-0100-000008240000}"/>
              </a:ext>
            </a:extLst>
          </xdr:cNvPr>
          <xdr:cNvSpPr>
            <a:spLocks noChangeArrowheads="1"/>
          </xdr:cNvSpPr>
        </xdr:nvSpPr>
        <xdr:spPr bwMode="auto">
          <a:xfrm>
            <a:off x="250" y="92"/>
            <a:ext cx="4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Values</a:t>
            </a:r>
          </a:p>
        </xdr:txBody>
      </xdr:sp>
      <xdr:sp macro="" textlink="">
        <xdr:nvSpPr>
          <xdr:cNvPr id="9225" name="Freeform 9">
            <a:extLst>
              <a:ext uri="{FF2B5EF4-FFF2-40B4-BE49-F238E27FC236}">
                <a16:creationId xmlns:a16="http://schemas.microsoft.com/office/drawing/2014/main" id="{00000000-0008-0000-0100-000009240000}"/>
              </a:ext>
            </a:extLst>
          </xdr:cNvPr>
          <xdr:cNvSpPr>
            <a:spLocks noEditPoints="1"/>
          </xdr:cNvSpPr>
        </xdr:nvSpPr>
        <xdr:spPr bwMode="auto">
          <a:xfrm>
            <a:off x="378" y="65"/>
            <a:ext cx="198" cy="128"/>
          </a:xfrm>
          <a:custGeom>
            <a:avLst/>
            <a:gdLst/>
            <a:ahLst/>
            <a:cxnLst>
              <a:cxn ang="0">
                <a:pos x="0" y="8"/>
              </a:cxn>
              <a:cxn ang="0">
                <a:pos x="8" y="0"/>
              </a:cxn>
              <a:cxn ang="0">
                <a:pos x="3608" y="0"/>
              </a:cxn>
              <a:cxn ang="0">
                <a:pos x="3616" y="8"/>
              </a:cxn>
              <a:cxn ang="0">
                <a:pos x="3616" y="2328"/>
              </a:cxn>
              <a:cxn ang="0">
                <a:pos x="3608" y="2336"/>
              </a:cxn>
              <a:cxn ang="0">
                <a:pos x="8" y="2336"/>
              </a:cxn>
              <a:cxn ang="0">
                <a:pos x="0" y="2328"/>
              </a:cxn>
              <a:cxn ang="0">
                <a:pos x="0" y="8"/>
              </a:cxn>
              <a:cxn ang="0">
                <a:pos x="16" y="2328"/>
              </a:cxn>
              <a:cxn ang="0">
                <a:pos x="8" y="2320"/>
              </a:cxn>
              <a:cxn ang="0">
                <a:pos x="3608" y="2320"/>
              </a:cxn>
              <a:cxn ang="0">
                <a:pos x="3600" y="2328"/>
              </a:cxn>
              <a:cxn ang="0">
                <a:pos x="3600" y="8"/>
              </a:cxn>
              <a:cxn ang="0">
                <a:pos x="3608" y="16"/>
              </a:cxn>
              <a:cxn ang="0">
                <a:pos x="8" y="16"/>
              </a:cxn>
              <a:cxn ang="0">
                <a:pos x="16" y="8"/>
              </a:cxn>
              <a:cxn ang="0">
                <a:pos x="16" y="2328"/>
              </a:cxn>
            </a:cxnLst>
            <a:rect l="0" t="0" r="r" b="b"/>
            <a:pathLst>
              <a:path w="3616" h="2336">
                <a:moveTo>
                  <a:pt x="0" y="8"/>
                </a:moveTo>
                <a:cubicBezTo>
                  <a:pt x="0" y="4"/>
                  <a:pt x="4" y="0"/>
                  <a:pt x="8" y="0"/>
                </a:cubicBezTo>
                <a:lnTo>
                  <a:pt x="3608" y="0"/>
                </a:lnTo>
                <a:cubicBezTo>
                  <a:pt x="3613" y="0"/>
                  <a:pt x="3616" y="4"/>
                  <a:pt x="3616" y="8"/>
                </a:cubicBezTo>
                <a:lnTo>
                  <a:pt x="3616" y="2328"/>
                </a:lnTo>
                <a:cubicBezTo>
                  <a:pt x="3616" y="2333"/>
                  <a:pt x="3613" y="2336"/>
                  <a:pt x="3608" y="2336"/>
                </a:cubicBezTo>
                <a:lnTo>
                  <a:pt x="8" y="2336"/>
                </a:lnTo>
                <a:cubicBezTo>
                  <a:pt x="4" y="2336"/>
                  <a:pt x="0" y="2333"/>
                  <a:pt x="0" y="2328"/>
                </a:cubicBezTo>
                <a:lnTo>
                  <a:pt x="0" y="8"/>
                </a:lnTo>
                <a:close/>
                <a:moveTo>
                  <a:pt x="16" y="2328"/>
                </a:moveTo>
                <a:lnTo>
                  <a:pt x="8" y="2320"/>
                </a:lnTo>
                <a:lnTo>
                  <a:pt x="3608" y="2320"/>
                </a:lnTo>
                <a:lnTo>
                  <a:pt x="3600" y="2328"/>
                </a:lnTo>
                <a:lnTo>
                  <a:pt x="3600" y="8"/>
                </a:lnTo>
                <a:lnTo>
                  <a:pt x="3608" y="16"/>
                </a:lnTo>
                <a:lnTo>
                  <a:pt x="8" y="16"/>
                </a:lnTo>
                <a:lnTo>
                  <a:pt x="16" y="8"/>
                </a:lnTo>
                <a:lnTo>
                  <a:pt x="16" y="2328"/>
                </a:lnTo>
                <a:close/>
              </a:path>
            </a:pathLst>
          </a:custGeom>
          <a:solidFill>
            <a:srgbClr val="000000"/>
          </a:solidFill>
          <a:ln w="0" cap="flat">
            <a:solidFill>
              <a:srgbClr val="000000"/>
            </a:solidFill>
            <a:prstDash val="solid"/>
            <a:round/>
            <a:headEnd/>
            <a:tailEnd/>
          </a:ln>
        </xdr:spPr>
      </xdr:sp>
      <xdr:sp macro="" textlink="">
        <xdr:nvSpPr>
          <xdr:cNvPr id="9226" name="Rectangle 10">
            <a:extLst>
              <a:ext uri="{FF2B5EF4-FFF2-40B4-BE49-F238E27FC236}">
                <a16:creationId xmlns:a16="http://schemas.microsoft.com/office/drawing/2014/main" id="{00000000-0008-0000-0100-00000A240000}"/>
              </a:ext>
            </a:extLst>
          </xdr:cNvPr>
          <xdr:cNvSpPr>
            <a:spLocks noChangeArrowheads="1"/>
          </xdr:cNvSpPr>
        </xdr:nvSpPr>
        <xdr:spPr bwMode="auto">
          <a:xfrm>
            <a:off x="419" y="70"/>
            <a:ext cx="123"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Licensee Inputs:</a:t>
            </a:r>
          </a:p>
        </xdr:txBody>
      </xdr:sp>
      <xdr:sp macro="" textlink="">
        <xdr:nvSpPr>
          <xdr:cNvPr id="9227" name="Rectangle 11">
            <a:extLst>
              <a:ext uri="{FF2B5EF4-FFF2-40B4-BE49-F238E27FC236}">
                <a16:creationId xmlns:a16="http://schemas.microsoft.com/office/drawing/2014/main" id="{00000000-0008-0000-0100-00000B240000}"/>
              </a:ext>
            </a:extLst>
          </xdr:cNvPr>
          <xdr:cNvSpPr>
            <a:spLocks noChangeArrowheads="1"/>
          </xdr:cNvSpPr>
        </xdr:nvSpPr>
        <xdr:spPr bwMode="auto">
          <a:xfrm>
            <a:off x="387" y="105"/>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28" name="Rectangle 12">
            <a:extLst>
              <a:ext uri="{FF2B5EF4-FFF2-40B4-BE49-F238E27FC236}">
                <a16:creationId xmlns:a16="http://schemas.microsoft.com/office/drawing/2014/main" id="{00000000-0008-0000-0100-00000C240000}"/>
              </a:ext>
            </a:extLst>
          </xdr:cNvPr>
          <xdr:cNvSpPr>
            <a:spLocks noChangeArrowheads="1"/>
          </xdr:cNvSpPr>
        </xdr:nvSpPr>
        <xdr:spPr bwMode="auto">
          <a:xfrm>
            <a:off x="392" y="104"/>
            <a:ext cx="14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Pass Through Items</a:t>
            </a:r>
          </a:p>
        </xdr:txBody>
      </xdr:sp>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87" y="142"/>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30" name="Rectangle 14">
            <a:extLst>
              <a:ext uri="{FF2B5EF4-FFF2-40B4-BE49-F238E27FC236}">
                <a16:creationId xmlns:a16="http://schemas.microsoft.com/office/drawing/2014/main" id="{00000000-0008-0000-0100-00000E240000}"/>
              </a:ext>
            </a:extLst>
          </xdr:cNvPr>
          <xdr:cNvSpPr>
            <a:spLocks noChangeArrowheads="1"/>
          </xdr:cNvSpPr>
        </xdr:nvSpPr>
        <xdr:spPr bwMode="auto">
          <a:xfrm>
            <a:off x="392" y="141"/>
            <a:ext cx="16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Incentive Adjustments</a:t>
            </a:r>
          </a:p>
        </xdr:txBody>
      </xdr:sp>
      <xdr:sp macro="" textlink="">
        <xdr:nvSpPr>
          <xdr:cNvPr id="9231" name="Rectangle 15">
            <a:extLst>
              <a:ext uri="{FF2B5EF4-FFF2-40B4-BE49-F238E27FC236}">
                <a16:creationId xmlns:a16="http://schemas.microsoft.com/office/drawing/2014/main" id="{00000000-0008-0000-0100-00000F240000}"/>
              </a:ext>
            </a:extLst>
          </xdr:cNvPr>
          <xdr:cNvSpPr>
            <a:spLocks noChangeArrowheads="1"/>
          </xdr:cNvSpPr>
        </xdr:nvSpPr>
        <xdr:spPr bwMode="auto">
          <a:xfrm>
            <a:off x="387" y="138"/>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4" name="Rectangle 18">
            <a:extLst>
              <a:ext uri="{FF2B5EF4-FFF2-40B4-BE49-F238E27FC236}">
                <a16:creationId xmlns:a16="http://schemas.microsoft.com/office/drawing/2014/main" id="{00000000-0008-0000-0100-000012240000}"/>
              </a:ext>
            </a:extLst>
          </xdr:cNvPr>
          <xdr:cNvSpPr>
            <a:spLocks noChangeArrowheads="1"/>
          </xdr:cNvSpPr>
        </xdr:nvSpPr>
        <xdr:spPr bwMode="auto">
          <a:xfrm>
            <a:off x="392" y="154"/>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35" name="Rectangle 19">
            <a:extLst>
              <a:ext uri="{FF2B5EF4-FFF2-40B4-BE49-F238E27FC236}">
                <a16:creationId xmlns:a16="http://schemas.microsoft.com/office/drawing/2014/main" id="{00000000-0008-0000-0100-000013240000}"/>
              </a:ext>
            </a:extLst>
          </xdr:cNvPr>
          <xdr:cNvSpPr>
            <a:spLocks noChangeArrowheads="1"/>
          </xdr:cNvSpPr>
        </xdr:nvSpPr>
        <xdr:spPr bwMode="auto">
          <a:xfrm>
            <a:off x="387" y="170"/>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36" name="Freeform 20">
            <a:extLst>
              <a:ext uri="{FF2B5EF4-FFF2-40B4-BE49-F238E27FC236}">
                <a16:creationId xmlns:a16="http://schemas.microsoft.com/office/drawing/2014/main" id="{00000000-0008-0000-0100-000014240000}"/>
              </a:ext>
            </a:extLst>
          </xdr:cNvPr>
          <xdr:cNvSpPr>
            <a:spLocks noEditPoints="1"/>
          </xdr:cNvSpPr>
        </xdr:nvSpPr>
        <xdr:spPr bwMode="auto">
          <a:xfrm>
            <a:off x="55" y="143"/>
            <a:ext cx="159"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37" name="Rectangle 21">
            <a:extLst>
              <a:ext uri="{FF2B5EF4-FFF2-40B4-BE49-F238E27FC236}">
                <a16:creationId xmlns:a16="http://schemas.microsoft.com/office/drawing/2014/main" id="{00000000-0008-0000-0100-000015240000}"/>
              </a:ext>
            </a:extLst>
          </xdr:cNvPr>
          <xdr:cNvSpPr>
            <a:spLocks noChangeArrowheads="1"/>
          </xdr:cNvSpPr>
        </xdr:nvSpPr>
        <xdr:spPr bwMode="auto">
          <a:xfrm>
            <a:off x="69" y="148"/>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RPI &amp; Official Bank </a:t>
            </a:r>
          </a:p>
        </xdr:txBody>
      </xdr:sp>
      <xdr:sp macro="" textlink="">
        <xdr:nvSpPr>
          <xdr:cNvPr id="9238" name="Rectangle 22">
            <a:extLst>
              <a:ext uri="{FF2B5EF4-FFF2-40B4-BE49-F238E27FC236}">
                <a16:creationId xmlns:a16="http://schemas.microsoft.com/office/drawing/2014/main" id="{00000000-0008-0000-0100-000016240000}"/>
              </a:ext>
            </a:extLst>
          </xdr:cNvPr>
          <xdr:cNvSpPr>
            <a:spLocks noChangeArrowheads="1"/>
          </xdr:cNvSpPr>
        </xdr:nvSpPr>
        <xdr:spPr bwMode="auto">
          <a:xfrm>
            <a:off x="119" y="164"/>
            <a:ext cx="34"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Rate</a:t>
            </a:r>
          </a:p>
        </xdr:txBody>
      </xdr:sp>
      <xdr:sp macro="" textlink="">
        <xdr:nvSpPr>
          <xdr:cNvPr id="9239" name="Freeform 23">
            <a:extLst>
              <a:ext uri="{FF2B5EF4-FFF2-40B4-BE49-F238E27FC236}">
                <a16:creationId xmlns:a16="http://schemas.microsoft.com/office/drawing/2014/main" id="{00000000-0008-0000-0100-000017240000}"/>
              </a:ext>
            </a:extLst>
          </xdr:cNvPr>
          <xdr:cNvSpPr>
            <a:spLocks noEditPoints="1"/>
          </xdr:cNvSpPr>
        </xdr:nvSpPr>
        <xdr:spPr bwMode="auto">
          <a:xfrm>
            <a:off x="128" y="231"/>
            <a:ext cx="159" cy="27"/>
          </a:xfrm>
          <a:custGeom>
            <a:avLst/>
            <a:gdLst/>
            <a:ahLst/>
            <a:cxnLst>
              <a:cxn ang="0">
                <a:pos x="0" y="8"/>
              </a:cxn>
              <a:cxn ang="0">
                <a:pos x="8" y="0"/>
              </a:cxn>
              <a:cxn ang="0">
                <a:pos x="2888" y="0"/>
              </a:cxn>
              <a:cxn ang="0">
                <a:pos x="2896" y="8"/>
              </a:cxn>
              <a:cxn ang="0">
                <a:pos x="2896" y="488"/>
              </a:cxn>
              <a:cxn ang="0">
                <a:pos x="2888" y="496"/>
              </a:cxn>
              <a:cxn ang="0">
                <a:pos x="8" y="496"/>
              </a:cxn>
              <a:cxn ang="0">
                <a:pos x="0" y="488"/>
              </a:cxn>
              <a:cxn ang="0">
                <a:pos x="0" y="8"/>
              </a:cxn>
              <a:cxn ang="0">
                <a:pos x="16" y="488"/>
              </a:cxn>
              <a:cxn ang="0">
                <a:pos x="8" y="480"/>
              </a:cxn>
              <a:cxn ang="0">
                <a:pos x="2888" y="480"/>
              </a:cxn>
              <a:cxn ang="0">
                <a:pos x="2880" y="488"/>
              </a:cxn>
              <a:cxn ang="0">
                <a:pos x="2880" y="8"/>
              </a:cxn>
              <a:cxn ang="0">
                <a:pos x="2888" y="16"/>
              </a:cxn>
              <a:cxn ang="0">
                <a:pos x="8" y="16"/>
              </a:cxn>
              <a:cxn ang="0">
                <a:pos x="16" y="8"/>
              </a:cxn>
              <a:cxn ang="0">
                <a:pos x="16" y="488"/>
              </a:cxn>
            </a:cxnLst>
            <a:rect l="0" t="0" r="r" b="b"/>
            <a:pathLst>
              <a:path w="2896" h="496">
                <a:moveTo>
                  <a:pt x="0" y="8"/>
                </a:moveTo>
                <a:cubicBezTo>
                  <a:pt x="0" y="4"/>
                  <a:pt x="4" y="0"/>
                  <a:pt x="8" y="0"/>
                </a:cubicBezTo>
                <a:lnTo>
                  <a:pt x="2888" y="0"/>
                </a:lnTo>
                <a:cubicBezTo>
                  <a:pt x="2893" y="0"/>
                  <a:pt x="2896" y="4"/>
                  <a:pt x="2896" y="8"/>
                </a:cubicBezTo>
                <a:lnTo>
                  <a:pt x="2896" y="488"/>
                </a:lnTo>
                <a:cubicBezTo>
                  <a:pt x="2896" y="493"/>
                  <a:pt x="2893" y="496"/>
                  <a:pt x="2888" y="496"/>
                </a:cubicBezTo>
                <a:lnTo>
                  <a:pt x="8" y="496"/>
                </a:lnTo>
                <a:cubicBezTo>
                  <a:pt x="4" y="496"/>
                  <a:pt x="0" y="493"/>
                  <a:pt x="0" y="488"/>
                </a:cubicBezTo>
                <a:lnTo>
                  <a:pt x="0" y="8"/>
                </a:lnTo>
                <a:close/>
                <a:moveTo>
                  <a:pt x="16" y="488"/>
                </a:moveTo>
                <a:lnTo>
                  <a:pt x="8" y="480"/>
                </a:lnTo>
                <a:lnTo>
                  <a:pt x="2888" y="480"/>
                </a:lnTo>
                <a:lnTo>
                  <a:pt x="2880" y="488"/>
                </a:lnTo>
                <a:lnTo>
                  <a:pt x="2880" y="8"/>
                </a:lnTo>
                <a:lnTo>
                  <a:pt x="2888" y="16"/>
                </a:lnTo>
                <a:lnTo>
                  <a:pt x="8" y="16"/>
                </a:lnTo>
                <a:lnTo>
                  <a:pt x="16" y="8"/>
                </a:lnTo>
                <a:lnTo>
                  <a:pt x="16" y="488"/>
                </a:lnTo>
                <a:close/>
              </a:path>
            </a:pathLst>
          </a:custGeom>
          <a:solidFill>
            <a:srgbClr val="000000"/>
          </a:solidFill>
          <a:ln w="0" cap="flat">
            <a:solidFill>
              <a:srgbClr val="000000"/>
            </a:solidFill>
            <a:prstDash val="solid"/>
            <a:round/>
            <a:headEnd/>
            <a:tailEnd/>
          </a:ln>
        </xdr:spPr>
      </xdr:sp>
      <xdr:sp macro="" textlink="">
        <xdr:nvSpPr>
          <xdr:cNvPr id="9240" name="Rectangle 24">
            <a:extLst>
              <a:ext uri="{FF2B5EF4-FFF2-40B4-BE49-F238E27FC236}">
                <a16:creationId xmlns:a16="http://schemas.microsoft.com/office/drawing/2014/main" id="{00000000-0008-0000-0100-000018240000}"/>
              </a:ext>
            </a:extLst>
          </xdr:cNvPr>
          <xdr:cNvSpPr>
            <a:spLocks noChangeArrowheads="1"/>
          </xdr:cNvSpPr>
        </xdr:nvSpPr>
        <xdr:spPr bwMode="auto">
          <a:xfrm>
            <a:off x="147" y="236"/>
            <a:ext cx="131"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Correction Factor</a:t>
            </a:r>
          </a:p>
        </xdr:txBody>
      </xdr:sp>
      <xdr:sp macro="" textlink="">
        <xdr:nvSpPr>
          <xdr:cNvPr id="9241" name="Freeform 25">
            <a:extLst>
              <a:ext uri="{FF2B5EF4-FFF2-40B4-BE49-F238E27FC236}">
                <a16:creationId xmlns:a16="http://schemas.microsoft.com/office/drawing/2014/main" id="{00000000-0008-0000-0100-000019240000}"/>
              </a:ext>
            </a:extLst>
          </xdr:cNvPr>
          <xdr:cNvSpPr>
            <a:spLocks noEditPoints="1"/>
          </xdr:cNvSpPr>
        </xdr:nvSpPr>
        <xdr:spPr bwMode="auto">
          <a:xfrm>
            <a:off x="344" y="238"/>
            <a:ext cx="160" cy="60"/>
          </a:xfrm>
          <a:custGeom>
            <a:avLst/>
            <a:gdLst/>
            <a:ahLst/>
            <a:cxnLst>
              <a:cxn ang="0">
                <a:pos x="0" y="8"/>
              </a:cxn>
              <a:cxn ang="0">
                <a:pos x="8" y="0"/>
              </a:cxn>
              <a:cxn ang="0">
                <a:pos x="2904" y="0"/>
              </a:cxn>
              <a:cxn ang="0">
                <a:pos x="2912" y="8"/>
              </a:cxn>
              <a:cxn ang="0">
                <a:pos x="2912" y="1080"/>
              </a:cxn>
              <a:cxn ang="0">
                <a:pos x="2904" y="1088"/>
              </a:cxn>
              <a:cxn ang="0">
                <a:pos x="8" y="1088"/>
              </a:cxn>
              <a:cxn ang="0">
                <a:pos x="0" y="1080"/>
              </a:cxn>
              <a:cxn ang="0">
                <a:pos x="0" y="8"/>
              </a:cxn>
              <a:cxn ang="0">
                <a:pos x="16" y="1080"/>
              </a:cxn>
              <a:cxn ang="0">
                <a:pos x="8" y="1072"/>
              </a:cxn>
              <a:cxn ang="0">
                <a:pos x="2904" y="1072"/>
              </a:cxn>
              <a:cxn ang="0">
                <a:pos x="2896" y="1080"/>
              </a:cxn>
              <a:cxn ang="0">
                <a:pos x="2896" y="8"/>
              </a:cxn>
              <a:cxn ang="0">
                <a:pos x="2904" y="16"/>
              </a:cxn>
              <a:cxn ang="0">
                <a:pos x="8" y="16"/>
              </a:cxn>
              <a:cxn ang="0">
                <a:pos x="16" y="8"/>
              </a:cxn>
              <a:cxn ang="0">
                <a:pos x="16" y="1080"/>
              </a:cxn>
            </a:cxnLst>
            <a:rect l="0" t="0" r="r" b="b"/>
            <a:pathLst>
              <a:path w="2912" h="1088">
                <a:moveTo>
                  <a:pt x="0" y="8"/>
                </a:moveTo>
                <a:cubicBezTo>
                  <a:pt x="0" y="4"/>
                  <a:pt x="4" y="0"/>
                  <a:pt x="8" y="0"/>
                </a:cubicBezTo>
                <a:lnTo>
                  <a:pt x="2904" y="0"/>
                </a:lnTo>
                <a:cubicBezTo>
                  <a:pt x="2909" y="0"/>
                  <a:pt x="2912" y="4"/>
                  <a:pt x="2912" y="8"/>
                </a:cubicBezTo>
                <a:lnTo>
                  <a:pt x="2912" y="1080"/>
                </a:lnTo>
                <a:cubicBezTo>
                  <a:pt x="2912" y="1085"/>
                  <a:pt x="2909" y="1088"/>
                  <a:pt x="2904" y="1088"/>
                </a:cubicBezTo>
                <a:lnTo>
                  <a:pt x="8" y="1088"/>
                </a:lnTo>
                <a:cubicBezTo>
                  <a:pt x="4" y="1088"/>
                  <a:pt x="0" y="1085"/>
                  <a:pt x="0" y="1080"/>
                </a:cubicBezTo>
                <a:lnTo>
                  <a:pt x="0" y="8"/>
                </a:lnTo>
                <a:close/>
                <a:moveTo>
                  <a:pt x="16" y="1080"/>
                </a:moveTo>
                <a:lnTo>
                  <a:pt x="8" y="1072"/>
                </a:lnTo>
                <a:lnTo>
                  <a:pt x="2904" y="1072"/>
                </a:lnTo>
                <a:lnTo>
                  <a:pt x="2896" y="1080"/>
                </a:lnTo>
                <a:lnTo>
                  <a:pt x="2896" y="8"/>
                </a:lnTo>
                <a:lnTo>
                  <a:pt x="2904" y="16"/>
                </a:lnTo>
                <a:lnTo>
                  <a:pt x="8" y="16"/>
                </a:lnTo>
                <a:lnTo>
                  <a:pt x="16" y="8"/>
                </a:lnTo>
                <a:lnTo>
                  <a:pt x="16" y="1080"/>
                </a:lnTo>
                <a:close/>
              </a:path>
            </a:pathLst>
          </a:custGeom>
          <a:solidFill>
            <a:srgbClr val="000000"/>
          </a:solidFill>
          <a:ln w="0" cap="flat">
            <a:solidFill>
              <a:srgbClr val="000000"/>
            </a:solidFill>
            <a:prstDash val="solid"/>
            <a:round/>
            <a:headEnd/>
            <a:tailEnd/>
          </a:ln>
        </xdr:spPr>
      </xdr:sp>
      <xdr:sp macro="" textlink="">
        <xdr:nvSpPr>
          <xdr:cNvPr id="9242" name="Rectangle 26">
            <a:extLst>
              <a:ext uri="{FF2B5EF4-FFF2-40B4-BE49-F238E27FC236}">
                <a16:creationId xmlns:a16="http://schemas.microsoft.com/office/drawing/2014/main" id="{00000000-0008-0000-0100-00001A240000}"/>
              </a:ext>
            </a:extLst>
          </xdr:cNvPr>
          <xdr:cNvSpPr>
            <a:spLocks noChangeArrowheads="1"/>
          </xdr:cNvSpPr>
        </xdr:nvSpPr>
        <xdr:spPr bwMode="auto">
          <a:xfrm>
            <a:off x="362" y="249"/>
            <a:ext cx="124" cy="36"/>
          </a:xfrm>
          <a:prstGeom prst="rect">
            <a:avLst/>
          </a:prstGeom>
          <a:noFill/>
          <a:ln w="9525">
            <a:noFill/>
            <a:miter lim="800000"/>
            <a:headEnd/>
            <a:tailEnd/>
          </a:ln>
        </xdr:spPr>
        <xdr:txBody>
          <a:bodyPr wrap="none" lIns="0" tIns="0" rIns="0" bIns="0" anchor="t" upright="1">
            <a:spAutoFit/>
          </a:bodyPr>
          <a:lstStyle/>
          <a:p>
            <a:pPr algn="ctr" rtl="0">
              <a:defRPr sz="1000"/>
            </a:pPr>
            <a:r>
              <a:rPr lang="en-GB" sz="1100" b="0" i="0" u="none" strike="noStrike" baseline="0">
                <a:solidFill>
                  <a:srgbClr val="000000"/>
                </a:solidFill>
                <a:latin typeface="Verdana"/>
                <a:ea typeface="Verdana"/>
                <a:cs typeface="Verdana"/>
              </a:rPr>
              <a:t>Combined </a:t>
            </a:r>
          </a:p>
          <a:p>
            <a:pPr algn="ctr" rtl="0">
              <a:defRPr sz="1000"/>
            </a:pPr>
            <a:r>
              <a:rPr lang="en-GB" sz="1100" b="0" i="0" u="none" strike="noStrike" baseline="0">
                <a:solidFill>
                  <a:srgbClr val="000000"/>
                </a:solidFill>
                <a:latin typeface="Verdana"/>
                <a:ea typeface="Verdana"/>
                <a:cs typeface="Verdana"/>
              </a:rPr>
              <a:t>Allowed Revenue </a:t>
            </a:r>
          </a:p>
        </xdr:txBody>
      </xdr:sp>
      <xdr:sp macro="" textlink="">
        <xdr:nvSpPr>
          <xdr:cNvPr id="9243" name="Rectangle 27">
            <a:extLst>
              <a:ext uri="{FF2B5EF4-FFF2-40B4-BE49-F238E27FC236}">
                <a16:creationId xmlns:a16="http://schemas.microsoft.com/office/drawing/2014/main" id="{00000000-0008-0000-0100-00001B240000}"/>
              </a:ext>
            </a:extLst>
          </xdr:cNvPr>
          <xdr:cNvSpPr>
            <a:spLocks noChangeArrowheads="1"/>
          </xdr:cNvSpPr>
        </xdr:nvSpPr>
        <xdr:spPr bwMode="auto">
          <a:xfrm>
            <a:off x="384" y="259"/>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45" name="Freeform 29">
            <a:extLst>
              <a:ext uri="{FF2B5EF4-FFF2-40B4-BE49-F238E27FC236}">
                <a16:creationId xmlns:a16="http://schemas.microsoft.com/office/drawing/2014/main" id="{00000000-0008-0000-0100-00001D240000}"/>
              </a:ext>
            </a:extLst>
          </xdr:cNvPr>
          <xdr:cNvSpPr>
            <a:spLocks noEditPoints="1"/>
          </xdr:cNvSpPr>
        </xdr:nvSpPr>
        <xdr:spPr bwMode="auto">
          <a:xfrm>
            <a:off x="575" y="168"/>
            <a:ext cx="198" cy="77"/>
          </a:xfrm>
          <a:custGeom>
            <a:avLst/>
            <a:gdLst/>
            <a:ahLst/>
            <a:cxnLst>
              <a:cxn ang="0">
                <a:pos x="0" y="8"/>
              </a:cxn>
              <a:cxn ang="0">
                <a:pos x="8" y="0"/>
              </a:cxn>
              <a:cxn ang="0">
                <a:pos x="3608" y="0"/>
              </a:cxn>
              <a:cxn ang="0">
                <a:pos x="3616" y="8"/>
              </a:cxn>
              <a:cxn ang="0">
                <a:pos x="3616" y="1400"/>
              </a:cxn>
              <a:cxn ang="0">
                <a:pos x="3608" y="1408"/>
              </a:cxn>
              <a:cxn ang="0">
                <a:pos x="8" y="1408"/>
              </a:cxn>
              <a:cxn ang="0">
                <a:pos x="0" y="1400"/>
              </a:cxn>
              <a:cxn ang="0">
                <a:pos x="0" y="8"/>
              </a:cxn>
              <a:cxn ang="0">
                <a:pos x="16" y="1400"/>
              </a:cxn>
              <a:cxn ang="0">
                <a:pos x="8" y="1392"/>
              </a:cxn>
              <a:cxn ang="0">
                <a:pos x="3608" y="1392"/>
              </a:cxn>
              <a:cxn ang="0">
                <a:pos x="3600" y="1400"/>
              </a:cxn>
              <a:cxn ang="0">
                <a:pos x="3600" y="8"/>
              </a:cxn>
              <a:cxn ang="0">
                <a:pos x="3608" y="16"/>
              </a:cxn>
              <a:cxn ang="0">
                <a:pos x="8" y="16"/>
              </a:cxn>
              <a:cxn ang="0">
                <a:pos x="16" y="8"/>
              </a:cxn>
              <a:cxn ang="0">
                <a:pos x="16" y="1400"/>
              </a:cxn>
            </a:cxnLst>
            <a:rect l="0" t="0" r="r" b="b"/>
            <a:pathLst>
              <a:path w="3616" h="1408">
                <a:moveTo>
                  <a:pt x="0" y="8"/>
                </a:moveTo>
                <a:cubicBezTo>
                  <a:pt x="0" y="4"/>
                  <a:pt x="4" y="0"/>
                  <a:pt x="8" y="0"/>
                </a:cubicBezTo>
                <a:lnTo>
                  <a:pt x="3608" y="0"/>
                </a:lnTo>
                <a:cubicBezTo>
                  <a:pt x="3613" y="0"/>
                  <a:pt x="3616" y="4"/>
                  <a:pt x="3616" y="8"/>
                </a:cubicBezTo>
                <a:lnTo>
                  <a:pt x="3616" y="1400"/>
                </a:lnTo>
                <a:cubicBezTo>
                  <a:pt x="3616" y="1405"/>
                  <a:pt x="3613" y="1408"/>
                  <a:pt x="3608" y="1408"/>
                </a:cubicBezTo>
                <a:lnTo>
                  <a:pt x="8" y="1408"/>
                </a:lnTo>
                <a:cubicBezTo>
                  <a:pt x="4" y="1408"/>
                  <a:pt x="0" y="1405"/>
                  <a:pt x="0" y="1400"/>
                </a:cubicBezTo>
                <a:lnTo>
                  <a:pt x="0" y="8"/>
                </a:lnTo>
                <a:close/>
                <a:moveTo>
                  <a:pt x="16" y="1400"/>
                </a:moveTo>
                <a:lnTo>
                  <a:pt x="8" y="1392"/>
                </a:lnTo>
                <a:lnTo>
                  <a:pt x="3608" y="1392"/>
                </a:lnTo>
                <a:lnTo>
                  <a:pt x="3600" y="1400"/>
                </a:lnTo>
                <a:lnTo>
                  <a:pt x="3600" y="8"/>
                </a:lnTo>
                <a:lnTo>
                  <a:pt x="3608"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46" name="Rectangle 30">
            <a:extLst>
              <a:ext uri="{FF2B5EF4-FFF2-40B4-BE49-F238E27FC236}">
                <a16:creationId xmlns:a16="http://schemas.microsoft.com/office/drawing/2014/main" id="{00000000-0008-0000-0100-00001E240000}"/>
              </a:ext>
            </a:extLst>
          </xdr:cNvPr>
          <xdr:cNvSpPr>
            <a:spLocks noChangeArrowheads="1"/>
          </xdr:cNvSpPr>
        </xdr:nvSpPr>
        <xdr:spPr bwMode="auto">
          <a:xfrm>
            <a:off x="584" y="174"/>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47" name="Rectangle 31">
            <a:extLst>
              <a:ext uri="{FF2B5EF4-FFF2-40B4-BE49-F238E27FC236}">
                <a16:creationId xmlns:a16="http://schemas.microsoft.com/office/drawing/2014/main" id="{00000000-0008-0000-0100-00001F240000}"/>
              </a:ext>
            </a:extLst>
          </xdr:cNvPr>
          <xdr:cNvSpPr>
            <a:spLocks noChangeArrowheads="1"/>
          </xdr:cNvSpPr>
        </xdr:nvSpPr>
        <xdr:spPr bwMode="auto">
          <a:xfrm>
            <a:off x="589" y="173"/>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48" name="Rectangle 32">
            <a:extLst>
              <a:ext uri="{FF2B5EF4-FFF2-40B4-BE49-F238E27FC236}">
                <a16:creationId xmlns:a16="http://schemas.microsoft.com/office/drawing/2014/main" id="{00000000-0008-0000-0100-000020240000}"/>
              </a:ext>
            </a:extLst>
          </xdr:cNvPr>
          <xdr:cNvSpPr>
            <a:spLocks noChangeArrowheads="1"/>
          </xdr:cNvSpPr>
        </xdr:nvSpPr>
        <xdr:spPr bwMode="auto">
          <a:xfrm>
            <a:off x="584" y="179"/>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49" name="Rectangle 33">
            <a:extLst>
              <a:ext uri="{FF2B5EF4-FFF2-40B4-BE49-F238E27FC236}">
                <a16:creationId xmlns:a16="http://schemas.microsoft.com/office/drawing/2014/main" id="{00000000-0008-0000-0100-000021240000}"/>
              </a:ext>
            </a:extLst>
          </xdr:cNvPr>
          <xdr:cNvSpPr>
            <a:spLocks noChangeArrowheads="1"/>
          </xdr:cNvSpPr>
        </xdr:nvSpPr>
        <xdr:spPr bwMode="auto">
          <a:xfrm>
            <a:off x="589" y="179"/>
            <a:ext cx="134"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Excluded Services</a:t>
            </a:r>
          </a:p>
        </xdr:txBody>
      </xdr:sp>
      <xdr:sp macro="" textlink="">
        <xdr:nvSpPr>
          <xdr:cNvPr id="9250" name="Rectangle 34">
            <a:extLst>
              <a:ext uri="{FF2B5EF4-FFF2-40B4-BE49-F238E27FC236}">
                <a16:creationId xmlns:a16="http://schemas.microsoft.com/office/drawing/2014/main" id="{00000000-0008-0000-0100-000022240000}"/>
              </a:ext>
            </a:extLst>
          </xdr:cNvPr>
          <xdr:cNvSpPr>
            <a:spLocks noChangeArrowheads="1"/>
          </xdr:cNvSpPr>
        </xdr:nvSpPr>
        <xdr:spPr bwMode="auto">
          <a:xfrm>
            <a:off x="584" y="207"/>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51" name="Rectangle 35">
            <a:extLst>
              <a:ext uri="{FF2B5EF4-FFF2-40B4-BE49-F238E27FC236}">
                <a16:creationId xmlns:a16="http://schemas.microsoft.com/office/drawing/2014/main" id="{00000000-0008-0000-0100-000023240000}"/>
              </a:ext>
            </a:extLst>
          </xdr:cNvPr>
          <xdr:cNvSpPr>
            <a:spLocks noChangeArrowheads="1"/>
          </xdr:cNvSpPr>
        </xdr:nvSpPr>
        <xdr:spPr bwMode="auto">
          <a:xfrm>
            <a:off x="589" y="206"/>
            <a:ext cx="16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Outside Price Control </a:t>
            </a:r>
          </a:p>
        </xdr:txBody>
      </xdr:sp>
      <xdr:sp macro="" textlink="">
        <xdr:nvSpPr>
          <xdr:cNvPr id="9252" name="Rectangle 36">
            <a:extLst>
              <a:ext uri="{FF2B5EF4-FFF2-40B4-BE49-F238E27FC236}">
                <a16:creationId xmlns:a16="http://schemas.microsoft.com/office/drawing/2014/main" id="{00000000-0008-0000-0100-000024240000}"/>
              </a:ext>
            </a:extLst>
          </xdr:cNvPr>
          <xdr:cNvSpPr>
            <a:spLocks noChangeArrowheads="1"/>
          </xdr:cNvSpPr>
        </xdr:nvSpPr>
        <xdr:spPr bwMode="auto">
          <a:xfrm>
            <a:off x="584" y="223"/>
            <a:ext cx="5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and De </a:t>
            </a:r>
          </a:p>
        </xdr:txBody>
      </xdr:sp>
      <xdr:sp macro="" textlink="">
        <xdr:nvSpPr>
          <xdr:cNvPr id="9253" name="Rectangle 37">
            <a:extLst>
              <a:ext uri="{FF2B5EF4-FFF2-40B4-BE49-F238E27FC236}">
                <a16:creationId xmlns:a16="http://schemas.microsoft.com/office/drawing/2014/main" id="{00000000-0008-0000-0100-000025240000}"/>
              </a:ext>
            </a:extLst>
          </xdr:cNvPr>
          <xdr:cNvSpPr>
            <a:spLocks noChangeArrowheads="1"/>
          </xdr:cNvSpPr>
        </xdr:nvSpPr>
        <xdr:spPr bwMode="auto">
          <a:xfrm>
            <a:off x="638" y="223"/>
            <a:ext cx="56"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Minimis</a:t>
            </a:r>
          </a:p>
        </xdr:txBody>
      </xdr:sp>
      <xdr:sp macro="" textlink="">
        <xdr:nvSpPr>
          <xdr:cNvPr id="9254" name="Freeform 38">
            <a:extLst>
              <a:ext uri="{FF2B5EF4-FFF2-40B4-BE49-F238E27FC236}">
                <a16:creationId xmlns:a16="http://schemas.microsoft.com/office/drawing/2014/main" id="{00000000-0008-0000-0100-000026240000}"/>
              </a:ext>
            </a:extLst>
          </xdr:cNvPr>
          <xdr:cNvSpPr>
            <a:spLocks noEditPoints="1"/>
          </xdr:cNvSpPr>
        </xdr:nvSpPr>
        <xdr:spPr bwMode="auto">
          <a:xfrm>
            <a:off x="239" y="343"/>
            <a:ext cx="160" cy="77"/>
          </a:xfrm>
          <a:custGeom>
            <a:avLst/>
            <a:gdLst/>
            <a:ahLst/>
            <a:cxnLst>
              <a:cxn ang="0">
                <a:pos x="0" y="8"/>
              </a:cxn>
              <a:cxn ang="0">
                <a:pos x="8" y="0"/>
              </a:cxn>
              <a:cxn ang="0">
                <a:pos x="2904" y="0"/>
              </a:cxn>
              <a:cxn ang="0">
                <a:pos x="2912" y="8"/>
              </a:cxn>
              <a:cxn ang="0">
                <a:pos x="2912" y="1400"/>
              </a:cxn>
              <a:cxn ang="0">
                <a:pos x="2904" y="1408"/>
              </a:cxn>
              <a:cxn ang="0">
                <a:pos x="8" y="1408"/>
              </a:cxn>
              <a:cxn ang="0">
                <a:pos x="0" y="1400"/>
              </a:cxn>
              <a:cxn ang="0">
                <a:pos x="0" y="8"/>
              </a:cxn>
              <a:cxn ang="0">
                <a:pos x="16" y="1400"/>
              </a:cxn>
              <a:cxn ang="0">
                <a:pos x="8" y="1392"/>
              </a:cxn>
              <a:cxn ang="0">
                <a:pos x="2904" y="1392"/>
              </a:cxn>
              <a:cxn ang="0">
                <a:pos x="2896" y="1400"/>
              </a:cxn>
              <a:cxn ang="0">
                <a:pos x="2896" y="8"/>
              </a:cxn>
              <a:cxn ang="0">
                <a:pos x="2904" y="16"/>
              </a:cxn>
              <a:cxn ang="0">
                <a:pos x="8" y="16"/>
              </a:cxn>
              <a:cxn ang="0">
                <a:pos x="16" y="8"/>
              </a:cxn>
              <a:cxn ang="0">
                <a:pos x="16" y="1400"/>
              </a:cxn>
            </a:cxnLst>
            <a:rect l="0" t="0" r="r" b="b"/>
            <a:pathLst>
              <a:path w="2912" h="1408">
                <a:moveTo>
                  <a:pt x="0" y="8"/>
                </a:moveTo>
                <a:cubicBezTo>
                  <a:pt x="0" y="4"/>
                  <a:pt x="4" y="0"/>
                  <a:pt x="8" y="0"/>
                </a:cubicBezTo>
                <a:lnTo>
                  <a:pt x="2904" y="0"/>
                </a:lnTo>
                <a:cubicBezTo>
                  <a:pt x="2909" y="0"/>
                  <a:pt x="2912" y="4"/>
                  <a:pt x="2912" y="8"/>
                </a:cubicBezTo>
                <a:lnTo>
                  <a:pt x="2912" y="1400"/>
                </a:lnTo>
                <a:cubicBezTo>
                  <a:pt x="2912" y="1405"/>
                  <a:pt x="2909" y="1408"/>
                  <a:pt x="2904" y="1408"/>
                </a:cubicBezTo>
                <a:lnTo>
                  <a:pt x="8" y="1408"/>
                </a:lnTo>
                <a:cubicBezTo>
                  <a:pt x="4" y="1408"/>
                  <a:pt x="0" y="1405"/>
                  <a:pt x="0" y="1400"/>
                </a:cubicBezTo>
                <a:lnTo>
                  <a:pt x="0" y="8"/>
                </a:lnTo>
                <a:close/>
                <a:moveTo>
                  <a:pt x="16" y="1400"/>
                </a:moveTo>
                <a:lnTo>
                  <a:pt x="8" y="1392"/>
                </a:lnTo>
                <a:lnTo>
                  <a:pt x="2904" y="1392"/>
                </a:lnTo>
                <a:lnTo>
                  <a:pt x="2896" y="1400"/>
                </a:lnTo>
                <a:lnTo>
                  <a:pt x="2896" y="8"/>
                </a:lnTo>
                <a:lnTo>
                  <a:pt x="2904"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56" name="Rectangle 40">
            <a:extLst>
              <a:ext uri="{FF2B5EF4-FFF2-40B4-BE49-F238E27FC236}">
                <a16:creationId xmlns:a16="http://schemas.microsoft.com/office/drawing/2014/main" id="{00000000-0008-0000-0100-000028240000}"/>
              </a:ext>
            </a:extLst>
          </xdr:cNvPr>
          <xdr:cNvSpPr>
            <a:spLocks noChangeArrowheads="1"/>
          </xdr:cNvSpPr>
        </xdr:nvSpPr>
        <xdr:spPr bwMode="auto">
          <a:xfrm>
            <a:off x="256" y="364"/>
            <a:ext cx="140" cy="36"/>
          </a:xfrm>
          <a:prstGeom prst="rect">
            <a:avLst/>
          </a:prstGeom>
          <a:noFill/>
          <a:ln w="9525">
            <a:noFill/>
            <a:miter lim="800000"/>
            <a:headEnd/>
            <a:tailEnd/>
          </a:ln>
        </xdr:spPr>
        <xdr:txBody>
          <a:bodyPr wrap="none" lIns="0" tIns="0" rIns="0" bIns="0" anchor="t" upright="1">
            <a:spAutoFit/>
          </a:bodyPr>
          <a:lstStyle/>
          <a:p>
            <a:pPr algn="ctr" rtl="0">
              <a:defRPr sz="1000"/>
            </a:pPr>
            <a:r>
              <a:rPr lang="en-GB" sz="1100" b="0" i="0" u="none" strike="noStrike" baseline="0">
                <a:solidFill>
                  <a:srgbClr val="000000"/>
                </a:solidFill>
                <a:latin typeface="Verdana"/>
                <a:ea typeface="Verdana"/>
                <a:cs typeface="Verdana"/>
              </a:rPr>
              <a:t>Regulated </a:t>
            </a:r>
          </a:p>
          <a:p>
            <a:pPr algn="ctr" rtl="0">
              <a:defRPr sz="1000"/>
            </a:pPr>
            <a:r>
              <a:rPr lang="en-GB" sz="1100" b="0" i="0" u="none" strike="noStrike" baseline="0">
                <a:solidFill>
                  <a:srgbClr val="000000"/>
                </a:solidFill>
                <a:latin typeface="Verdana"/>
                <a:ea typeface="Verdana"/>
                <a:cs typeface="Verdana"/>
              </a:rPr>
              <a:t>Combined Revenue </a:t>
            </a:r>
          </a:p>
        </xdr:txBody>
      </xdr:sp>
      <xdr:sp macro="" textlink="">
        <xdr:nvSpPr>
          <xdr:cNvPr id="9257" name="Rectangle 41">
            <a:extLst>
              <a:ext uri="{FF2B5EF4-FFF2-40B4-BE49-F238E27FC236}">
                <a16:creationId xmlns:a16="http://schemas.microsoft.com/office/drawing/2014/main" id="{00000000-0008-0000-0100-000029240000}"/>
              </a:ext>
            </a:extLst>
          </xdr:cNvPr>
          <xdr:cNvSpPr>
            <a:spLocks noChangeArrowheads="1"/>
          </xdr:cNvSpPr>
        </xdr:nvSpPr>
        <xdr:spPr bwMode="auto">
          <a:xfrm>
            <a:off x="279" y="381"/>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59" name="Freeform 43">
            <a:extLst>
              <a:ext uri="{FF2B5EF4-FFF2-40B4-BE49-F238E27FC236}">
                <a16:creationId xmlns:a16="http://schemas.microsoft.com/office/drawing/2014/main" id="{00000000-0008-0000-0100-00002B240000}"/>
              </a:ext>
            </a:extLst>
          </xdr:cNvPr>
          <xdr:cNvSpPr>
            <a:spLocks noEditPoints="1"/>
          </xdr:cNvSpPr>
        </xdr:nvSpPr>
        <xdr:spPr bwMode="auto">
          <a:xfrm>
            <a:off x="425" y="193"/>
            <a:ext cx="52" cy="45"/>
          </a:xfrm>
          <a:custGeom>
            <a:avLst/>
            <a:gdLst/>
            <a:ahLst/>
            <a:cxnLst>
              <a:cxn ang="0">
                <a:pos x="966" y="13"/>
              </a:cxn>
              <a:cxn ang="0">
                <a:pos x="18" y="828"/>
              </a:cxn>
              <a:cxn ang="0">
                <a:pos x="7" y="816"/>
              </a:cxn>
              <a:cxn ang="0">
                <a:pos x="955" y="0"/>
              </a:cxn>
              <a:cxn ang="0">
                <a:pos x="966" y="13"/>
              </a:cxn>
              <a:cxn ang="0">
                <a:pos x="160" y="803"/>
              </a:cxn>
              <a:cxn ang="0">
                <a:pos x="0" y="832"/>
              </a:cxn>
              <a:cxn ang="0">
                <a:pos x="53" y="679"/>
              </a:cxn>
              <a:cxn ang="0">
                <a:pos x="63" y="674"/>
              </a:cxn>
              <a:cxn ang="0">
                <a:pos x="68" y="684"/>
              </a:cxn>
              <a:cxn ang="0">
                <a:pos x="20" y="824"/>
              </a:cxn>
              <a:cxn ang="0">
                <a:pos x="11" y="814"/>
              </a:cxn>
              <a:cxn ang="0">
                <a:pos x="157" y="787"/>
              </a:cxn>
              <a:cxn ang="0">
                <a:pos x="166" y="793"/>
              </a:cxn>
              <a:cxn ang="0">
                <a:pos x="160" y="803"/>
              </a:cxn>
            </a:cxnLst>
            <a:rect l="0" t="0" r="r" b="b"/>
            <a:pathLst>
              <a:path w="966" h="832">
                <a:moveTo>
                  <a:pt x="966" y="13"/>
                </a:moveTo>
                <a:lnTo>
                  <a:pt x="18" y="828"/>
                </a:lnTo>
                <a:lnTo>
                  <a:pt x="7" y="816"/>
                </a:lnTo>
                <a:lnTo>
                  <a:pt x="955" y="0"/>
                </a:lnTo>
                <a:lnTo>
                  <a:pt x="966" y="13"/>
                </a:lnTo>
                <a:close/>
                <a:moveTo>
                  <a:pt x="160" y="803"/>
                </a:moveTo>
                <a:lnTo>
                  <a:pt x="0" y="832"/>
                </a:lnTo>
                <a:lnTo>
                  <a:pt x="53" y="679"/>
                </a:lnTo>
                <a:cubicBezTo>
                  <a:pt x="55" y="675"/>
                  <a:pt x="59" y="673"/>
                  <a:pt x="63" y="674"/>
                </a:cubicBezTo>
                <a:cubicBezTo>
                  <a:pt x="68" y="675"/>
                  <a:pt x="70" y="680"/>
                  <a:pt x="68" y="684"/>
                </a:cubicBezTo>
                <a:lnTo>
                  <a:pt x="20" y="824"/>
                </a:lnTo>
                <a:lnTo>
                  <a:pt x="11" y="814"/>
                </a:lnTo>
                <a:lnTo>
                  <a:pt x="157" y="787"/>
                </a:lnTo>
                <a:cubicBezTo>
                  <a:pt x="161" y="786"/>
                  <a:pt x="165" y="789"/>
                  <a:pt x="166" y="793"/>
                </a:cubicBezTo>
                <a:cubicBezTo>
                  <a:pt x="167" y="798"/>
                  <a:pt x="164" y="802"/>
                  <a:pt x="160" y="803"/>
                </a:cubicBezTo>
                <a:close/>
              </a:path>
            </a:pathLst>
          </a:custGeom>
          <a:solidFill>
            <a:srgbClr val="4A7EBB"/>
          </a:solidFill>
          <a:ln w="0" cap="flat">
            <a:solidFill>
              <a:srgbClr val="4A7EBB"/>
            </a:solidFill>
            <a:prstDash val="solid"/>
            <a:round/>
            <a:headEnd/>
            <a:tailEnd/>
          </a:ln>
        </xdr:spPr>
      </xdr:sp>
      <xdr:sp macro="" textlink="">
        <xdr:nvSpPr>
          <xdr:cNvPr id="9260" name="Freeform 44">
            <a:extLst>
              <a:ext uri="{FF2B5EF4-FFF2-40B4-BE49-F238E27FC236}">
                <a16:creationId xmlns:a16="http://schemas.microsoft.com/office/drawing/2014/main" id="{00000000-0008-0000-0100-00002C240000}"/>
              </a:ext>
            </a:extLst>
          </xdr:cNvPr>
          <xdr:cNvSpPr>
            <a:spLocks noEditPoints="1"/>
          </xdr:cNvSpPr>
        </xdr:nvSpPr>
        <xdr:spPr bwMode="auto">
          <a:xfrm>
            <a:off x="273" y="113"/>
            <a:ext cx="151" cy="125"/>
          </a:xfrm>
          <a:custGeom>
            <a:avLst/>
            <a:gdLst/>
            <a:ahLst/>
            <a:cxnLst>
              <a:cxn ang="0">
                <a:pos x="11" y="0"/>
              </a:cxn>
              <a:cxn ang="0">
                <a:pos x="2758" y="2265"/>
              </a:cxn>
              <a:cxn ang="0">
                <a:pos x="2748" y="2277"/>
              </a:cxn>
              <a:cxn ang="0">
                <a:pos x="0" y="13"/>
              </a:cxn>
              <a:cxn ang="0">
                <a:pos x="11" y="0"/>
              </a:cxn>
              <a:cxn ang="0">
                <a:pos x="2709" y="2129"/>
              </a:cxn>
              <a:cxn ang="0">
                <a:pos x="2766" y="2281"/>
              </a:cxn>
              <a:cxn ang="0">
                <a:pos x="2606" y="2255"/>
              </a:cxn>
              <a:cxn ang="0">
                <a:pos x="2599" y="2246"/>
              </a:cxn>
              <a:cxn ang="0">
                <a:pos x="2608" y="2239"/>
              </a:cxn>
              <a:cxn ang="0">
                <a:pos x="2755" y="2263"/>
              </a:cxn>
              <a:cxn ang="0">
                <a:pos x="2746" y="2273"/>
              </a:cxn>
              <a:cxn ang="0">
                <a:pos x="2694" y="2134"/>
              </a:cxn>
              <a:cxn ang="0">
                <a:pos x="2699" y="2124"/>
              </a:cxn>
              <a:cxn ang="0">
                <a:pos x="2709" y="2129"/>
              </a:cxn>
            </a:cxnLst>
            <a:rect l="0" t="0" r="r" b="b"/>
            <a:pathLst>
              <a:path w="2766" h="2281">
                <a:moveTo>
                  <a:pt x="11" y="0"/>
                </a:moveTo>
                <a:lnTo>
                  <a:pt x="2758" y="2265"/>
                </a:lnTo>
                <a:lnTo>
                  <a:pt x="2748" y="2277"/>
                </a:lnTo>
                <a:lnTo>
                  <a:pt x="0" y="13"/>
                </a:lnTo>
                <a:lnTo>
                  <a:pt x="11" y="0"/>
                </a:lnTo>
                <a:close/>
                <a:moveTo>
                  <a:pt x="2709" y="2129"/>
                </a:moveTo>
                <a:lnTo>
                  <a:pt x="2766" y="2281"/>
                </a:lnTo>
                <a:lnTo>
                  <a:pt x="2606" y="2255"/>
                </a:lnTo>
                <a:cubicBezTo>
                  <a:pt x="2601" y="2254"/>
                  <a:pt x="2598" y="2250"/>
                  <a:pt x="2599" y="2246"/>
                </a:cubicBezTo>
                <a:cubicBezTo>
                  <a:pt x="2600" y="2241"/>
                  <a:pt x="2604" y="2238"/>
                  <a:pt x="2608" y="2239"/>
                </a:cubicBezTo>
                <a:lnTo>
                  <a:pt x="2755" y="2263"/>
                </a:lnTo>
                <a:lnTo>
                  <a:pt x="2746" y="2273"/>
                </a:lnTo>
                <a:lnTo>
                  <a:pt x="2694" y="2134"/>
                </a:lnTo>
                <a:cubicBezTo>
                  <a:pt x="2693" y="2130"/>
                  <a:pt x="2695" y="2126"/>
                  <a:pt x="2699" y="2124"/>
                </a:cubicBezTo>
                <a:cubicBezTo>
                  <a:pt x="2703" y="2123"/>
                  <a:pt x="2708" y="2125"/>
                  <a:pt x="2709" y="2129"/>
                </a:cubicBezTo>
                <a:close/>
              </a:path>
            </a:pathLst>
          </a:custGeom>
          <a:solidFill>
            <a:srgbClr val="4A7EBB"/>
          </a:solidFill>
          <a:ln w="0" cap="flat">
            <a:solidFill>
              <a:srgbClr val="4A7EBB"/>
            </a:solidFill>
            <a:prstDash val="solid"/>
            <a:round/>
            <a:headEnd/>
            <a:tailEnd/>
          </a:ln>
        </xdr:spPr>
      </xdr:sp>
      <xdr:sp macro="" textlink="">
        <xdr:nvSpPr>
          <xdr:cNvPr id="9261" name="Freeform 45">
            <a:extLst>
              <a:ext uri="{FF2B5EF4-FFF2-40B4-BE49-F238E27FC236}">
                <a16:creationId xmlns:a16="http://schemas.microsoft.com/office/drawing/2014/main" id="{00000000-0008-0000-0100-00002D240000}"/>
              </a:ext>
            </a:extLst>
          </xdr:cNvPr>
          <xdr:cNvSpPr>
            <a:spLocks noEditPoints="1"/>
          </xdr:cNvSpPr>
        </xdr:nvSpPr>
        <xdr:spPr bwMode="auto">
          <a:xfrm>
            <a:off x="135" y="185"/>
            <a:ext cx="289" cy="56"/>
          </a:xfrm>
          <a:custGeom>
            <a:avLst/>
            <a:gdLst/>
            <a:ahLst/>
            <a:cxnLst>
              <a:cxn ang="0">
                <a:pos x="3" y="0"/>
              </a:cxn>
              <a:cxn ang="0">
                <a:pos x="5268" y="951"/>
              </a:cxn>
              <a:cxn ang="0">
                <a:pos x="5265" y="967"/>
              </a:cxn>
              <a:cxn ang="0">
                <a:pos x="0" y="15"/>
              </a:cxn>
              <a:cxn ang="0">
                <a:pos x="3" y="0"/>
              </a:cxn>
              <a:cxn ang="0">
                <a:pos x="5158" y="857"/>
              </a:cxn>
              <a:cxn ang="0">
                <a:pos x="5282" y="962"/>
              </a:cxn>
              <a:cxn ang="0">
                <a:pos x="5129" y="1017"/>
              </a:cxn>
              <a:cxn ang="0">
                <a:pos x="5119" y="1012"/>
              </a:cxn>
              <a:cxn ang="0">
                <a:pos x="5124" y="1002"/>
              </a:cxn>
              <a:cxn ang="0">
                <a:pos x="5263" y="951"/>
              </a:cxn>
              <a:cxn ang="0">
                <a:pos x="5261" y="965"/>
              </a:cxn>
              <a:cxn ang="0">
                <a:pos x="5148" y="869"/>
              </a:cxn>
              <a:cxn ang="0">
                <a:pos x="5147" y="857"/>
              </a:cxn>
              <a:cxn ang="0">
                <a:pos x="5158" y="857"/>
              </a:cxn>
            </a:cxnLst>
            <a:rect l="0" t="0" r="r" b="b"/>
            <a:pathLst>
              <a:path w="5282" h="1019">
                <a:moveTo>
                  <a:pt x="3" y="0"/>
                </a:moveTo>
                <a:lnTo>
                  <a:pt x="5268" y="951"/>
                </a:lnTo>
                <a:lnTo>
                  <a:pt x="5265" y="967"/>
                </a:lnTo>
                <a:lnTo>
                  <a:pt x="0" y="15"/>
                </a:lnTo>
                <a:lnTo>
                  <a:pt x="3" y="0"/>
                </a:lnTo>
                <a:close/>
                <a:moveTo>
                  <a:pt x="5158" y="857"/>
                </a:moveTo>
                <a:lnTo>
                  <a:pt x="5282" y="962"/>
                </a:lnTo>
                <a:lnTo>
                  <a:pt x="5129" y="1017"/>
                </a:lnTo>
                <a:cubicBezTo>
                  <a:pt x="5125" y="1019"/>
                  <a:pt x="5121" y="1017"/>
                  <a:pt x="5119" y="1012"/>
                </a:cubicBezTo>
                <a:cubicBezTo>
                  <a:pt x="5117" y="1008"/>
                  <a:pt x="5120" y="1004"/>
                  <a:pt x="5124" y="1002"/>
                </a:cubicBezTo>
                <a:lnTo>
                  <a:pt x="5263" y="951"/>
                </a:lnTo>
                <a:lnTo>
                  <a:pt x="5261" y="965"/>
                </a:lnTo>
                <a:lnTo>
                  <a:pt x="5148" y="869"/>
                </a:lnTo>
                <a:cubicBezTo>
                  <a:pt x="5145" y="866"/>
                  <a:pt x="5144" y="861"/>
                  <a:pt x="5147" y="857"/>
                </a:cubicBezTo>
                <a:cubicBezTo>
                  <a:pt x="5150" y="854"/>
                  <a:pt x="5155" y="854"/>
                  <a:pt x="5158" y="857"/>
                </a:cubicBezTo>
                <a:close/>
              </a:path>
            </a:pathLst>
          </a:custGeom>
          <a:solidFill>
            <a:srgbClr val="4A7EBB"/>
          </a:solidFill>
          <a:ln w="0" cap="flat">
            <a:solidFill>
              <a:srgbClr val="4A7EBB"/>
            </a:solidFill>
            <a:prstDash val="solid"/>
            <a:round/>
            <a:headEnd/>
            <a:tailEnd/>
          </a:ln>
        </xdr:spPr>
      </xdr:sp>
      <xdr:sp macro="" textlink="">
        <xdr:nvSpPr>
          <xdr:cNvPr id="9262" name="Freeform 46">
            <a:extLst>
              <a:ext uri="{FF2B5EF4-FFF2-40B4-BE49-F238E27FC236}">
                <a16:creationId xmlns:a16="http://schemas.microsoft.com/office/drawing/2014/main" id="{00000000-0008-0000-0100-00002E240000}"/>
              </a:ext>
            </a:extLst>
          </xdr:cNvPr>
          <xdr:cNvSpPr>
            <a:spLocks noEditPoints="1"/>
          </xdr:cNvSpPr>
        </xdr:nvSpPr>
        <xdr:spPr bwMode="auto">
          <a:xfrm>
            <a:off x="207" y="257"/>
            <a:ext cx="138" cy="15"/>
          </a:xfrm>
          <a:custGeom>
            <a:avLst/>
            <a:gdLst/>
            <a:ahLst/>
            <a:cxnLst>
              <a:cxn ang="0">
                <a:pos x="1" y="0"/>
              </a:cxn>
              <a:cxn ang="0">
                <a:pos x="2505" y="191"/>
              </a:cxn>
              <a:cxn ang="0">
                <a:pos x="2504" y="207"/>
              </a:cxn>
              <a:cxn ang="0">
                <a:pos x="0" y="16"/>
              </a:cxn>
              <a:cxn ang="0">
                <a:pos x="1" y="0"/>
              </a:cxn>
              <a:cxn ang="0">
                <a:pos x="2387" y="108"/>
              </a:cxn>
              <a:cxn ang="0">
                <a:pos x="2521" y="200"/>
              </a:cxn>
              <a:cxn ang="0">
                <a:pos x="2375" y="271"/>
              </a:cxn>
              <a:cxn ang="0">
                <a:pos x="2364" y="267"/>
              </a:cxn>
              <a:cxn ang="0">
                <a:pos x="2368" y="257"/>
              </a:cxn>
              <a:cxn ang="0">
                <a:pos x="2501" y="192"/>
              </a:cxn>
              <a:cxn ang="0">
                <a:pos x="2500" y="206"/>
              </a:cxn>
              <a:cxn ang="0">
                <a:pos x="2378" y="121"/>
              </a:cxn>
              <a:cxn ang="0">
                <a:pos x="2376" y="110"/>
              </a:cxn>
              <a:cxn ang="0">
                <a:pos x="2387" y="108"/>
              </a:cxn>
            </a:cxnLst>
            <a:rect l="0" t="0" r="r" b="b"/>
            <a:pathLst>
              <a:path w="2521" h="273">
                <a:moveTo>
                  <a:pt x="1" y="0"/>
                </a:moveTo>
                <a:lnTo>
                  <a:pt x="2505" y="191"/>
                </a:lnTo>
                <a:lnTo>
                  <a:pt x="2504" y="207"/>
                </a:lnTo>
                <a:lnTo>
                  <a:pt x="0" y="16"/>
                </a:lnTo>
                <a:lnTo>
                  <a:pt x="1" y="0"/>
                </a:lnTo>
                <a:close/>
                <a:moveTo>
                  <a:pt x="2387" y="108"/>
                </a:moveTo>
                <a:lnTo>
                  <a:pt x="2521" y="200"/>
                </a:lnTo>
                <a:lnTo>
                  <a:pt x="2375" y="271"/>
                </a:lnTo>
                <a:cubicBezTo>
                  <a:pt x="2371" y="273"/>
                  <a:pt x="2366" y="271"/>
                  <a:pt x="2364" y="267"/>
                </a:cubicBezTo>
                <a:cubicBezTo>
                  <a:pt x="2362" y="263"/>
                  <a:pt x="2364" y="259"/>
                  <a:pt x="2368" y="257"/>
                </a:cubicBezTo>
                <a:lnTo>
                  <a:pt x="2501" y="192"/>
                </a:lnTo>
                <a:lnTo>
                  <a:pt x="2500" y="206"/>
                </a:lnTo>
                <a:lnTo>
                  <a:pt x="2378" y="121"/>
                </a:lnTo>
                <a:cubicBezTo>
                  <a:pt x="2374" y="119"/>
                  <a:pt x="2373" y="114"/>
                  <a:pt x="2376" y="110"/>
                </a:cubicBezTo>
                <a:cubicBezTo>
                  <a:pt x="2379" y="107"/>
                  <a:pt x="2383" y="106"/>
                  <a:pt x="2387" y="108"/>
                </a:cubicBezTo>
                <a:close/>
              </a:path>
            </a:pathLst>
          </a:custGeom>
          <a:solidFill>
            <a:srgbClr val="4A7EBB"/>
          </a:solidFill>
          <a:ln w="0" cap="flat">
            <a:solidFill>
              <a:srgbClr val="4A7EBB"/>
            </a:solidFill>
            <a:prstDash val="solid"/>
            <a:round/>
            <a:headEnd/>
            <a:tailEnd/>
          </a:ln>
        </xdr:spPr>
      </xdr:sp>
      <xdr:sp macro="" textlink="">
        <xdr:nvSpPr>
          <xdr:cNvPr id="9263" name="Freeform 47">
            <a:extLst>
              <a:ext uri="{FF2B5EF4-FFF2-40B4-BE49-F238E27FC236}">
                <a16:creationId xmlns:a16="http://schemas.microsoft.com/office/drawing/2014/main" id="{00000000-0008-0000-0100-00002F240000}"/>
              </a:ext>
            </a:extLst>
          </xdr:cNvPr>
          <xdr:cNvSpPr>
            <a:spLocks noEditPoints="1"/>
          </xdr:cNvSpPr>
        </xdr:nvSpPr>
        <xdr:spPr bwMode="auto">
          <a:xfrm>
            <a:off x="425" y="244"/>
            <a:ext cx="249" cy="224"/>
          </a:xfrm>
          <a:custGeom>
            <a:avLst/>
            <a:gdLst/>
            <a:ahLst/>
            <a:cxnLst>
              <a:cxn ang="0">
                <a:pos x="4566" y="12"/>
              </a:cxn>
              <a:cxn ang="0">
                <a:pos x="18" y="4082"/>
              </a:cxn>
              <a:cxn ang="0">
                <a:pos x="7" y="4070"/>
              </a:cxn>
              <a:cxn ang="0">
                <a:pos x="4555" y="0"/>
              </a:cxn>
              <a:cxn ang="0">
                <a:pos x="4566" y="12"/>
              </a:cxn>
              <a:cxn ang="0">
                <a:pos x="159" y="4054"/>
              </a:cxn>
              <a:cxn ang="0">
                <a:pos x="0" y="4087"/>
              </a:cxn>
              <a:cxn ang="0">
                <a:pos x="50" y="3932"/>
              </a:cxn>
              <a:cxn ang="0">
                <a:pos x="60" y="3927"/>
              </a:cxn>
              <a:cxn ang="0">
                <a:pos x="66" y="3937"/>
              </a:cxn>
              <a:cxn ang="0">
                <a:pos x="20" y="4078"/>
              </a:cxn>
              <a:cxn ang="0">
                <a:pos x="11" y="4068"/>
              </a:cxn>
              <a:cxn ang="0">
                <a:pos x="156" y="4038"/>
              </a:cxn>
              <a:cxn ang="0">
                <a:pos x="165" y="4045"/>
              </a:cxn>
              <a:cxn ang="0">
                <a:pos x="159" y="4054"/>
              </a:cxn>
            </a:cxnLst>
            <a:rect l="0" t="0" r="r" b="b"/>
            <a:pathLst>
              <a:path w="4566" h="4087">
                <a:moveTo>
                  <a:pt x="4566" y="12"/>
                </a:moveTo>
                <a:lnTo>
                  <a:pt x="18" y="4082"/>
                </a:lnTo>
                <a:lnTo>
                  <a:pt x="7" y="4070"/>
                </a:lnTo>
                <a:lnTo>
                  <a:pt x="4555" y="0"/>
                </a:lnTo>
                <a:lnTo>
                  <a:pt x="4566" y="12"/>
                </a:lnTo>
                <a:close/>
                <a:moveTo>
                  <a:pt x="159" y="4054"/>
                </a:moveTo>
                <a:lnTo>
                  <a:pt x="0" y="4087"/>
                </a:lnTo>
                <a:lnTo>
                  <a:pt x="50" y="3932"/>
                </a:lnTo>
                <a:cubicBezTo>
                  <a:pt x="52" y="3928"/>
                  <a:pt x="56" y="3926"/>
                  <a:pt x="60" y="3927"/>
                </a:cubicBezTo>
                <a:cubicBezTo>
                  <a:pt x="65" y="3929"/>
                  <a:pt x="67" y="3933"/>
                  <a:pt x="66" y="3937"/>
                </a:cubicBezTo>
                <a:lnTo>
                  <a:pt x="20" y="4078"/>
                </a:lnTo>
                <a:lnTo>
                  <a:pt x="11" y="4068"/>
                </a:lnTo>
                <a:lnTo>
                  <a:pt x="156" y="4038"/>
                </a:lnTo>
                <a:cubicBezTo>
                  <a:pt x="160" y="4037"/>
                  <a:pt x="165" y="4040"/>
                  <a:pt x="165" y="4045"/>
                </a:cubicBezTo>
                <a:cubicBezTo>
                  <a:pt x="166" y="4049"/>
                  <a:pt x="164" y="4053"/>
                  <a:pt x="159" y="4054"/>
                </a:cubicBezTo>
                <a:close/>
              </a:path>
            </a:pathLst>
          </a:custGeom>
          <a:solidFill>
            <a:srgbClr val="4A7EBB"/>
          </a:solidFill>
          <a:ln w="0" cap="flat">
            <a:solidFill>
              <a:srgbClr val="4A7EBB"/>
            </a:solidFill>
            <a:prstDash val="solid"/>
            <a:round/>
            <a:headEnd/>
            <a:tailEnd/>
          </a:ln>
        </xdr:spPr>
      </xdr:sp>
      <xdr:sp macro="" textlink="">
        <xdr:nvSpPr>
          <xdr:cNvPr id="9264" name="Freeform 48">
            <a:extLst>
              <a:ext uri="{FF2B5EF4-FFF2-40B4-BE49-F238E27FC236}">
                <a16:creationId xmlns:a16="http://schemas.microsoft.com/office/drawing/2014/main" id="{00000000-0008-0000-0100-000030240000}"/>
              </a:ext>
            </a:extLst>
          </xdr:cNvPr>
          <xdr:cNvSpPr>
            <a:spLocks noEditPoints="1"/>
          </xdr:cNvSpPr>
        </xdr:nvSpPr>
        <xdr:spPr bwMode="auto">
          <a:xfrm>
            <a:off x="419" y="298"/>
            <a:ext cx="9" cy="171"/>
          </a:xfrm>
          <a:custGeom>
            <a:avLst/>
            <a:gdLst/>
            <a:ahLst/>
            <a:cxnLst>
              <a:cxn ang="0">
                <a:pos x="94" y="0"/>
              </a:cxn>
              <a:cxn ang="0">
                <a:pos x="91" y="3105"/>
              </a:cxn>
              <a:cxn ang="0">
                <a:pos x="75" y="3105"/>
              </a:cxn>
              <a:cxn ang="0">
                <a:pos x="78" y="0"/>
              </a:cxn>
              <a:cxn ang="0">
                <a:pos x="94" y="0"/>
              </a:cxn>
              <a:cxn ang="0">
                <a:pos x="165" y="2981"/>
              </a:cxn>
              <a:cxn ang="0">
                <a:pos x="83" y="3121"/>
              </a:cxn>
              <a:cxn ang="0">
                <a:pos x="2" y="2980"/>
              </a:cxn>
              <a:cxn ang="0">
                <a:pos x="5" y="2970"/>
              </a:cxn>
              <a:cxn ang="0">
                <a:pos x="16" y="2972"/>
              </a:cxn>
              <a:cxn ang="0">
                <a:pos x="90" y="3101"/>
              </a:cxn>
              <a:cxn ang="0">
                <a:pos x="77" y="3101"/>
              </a:cxn>
              <a:cxn ang="0">
                <a:pos x="151" y="2973"/>
              </a:cxn>
              <a:cxn ang="0">
                <a:pos x="162" y="2970"/>
              </a:cxn>
              <a:cxn ang="0">
                <a:pos x="165" y="2981"/>
              </a:cxn>
            </a:cxnLst>
            <a:rect l="0" t="0" r="r" b="b"/>
            <a:pathLst>
              <a:path w="167" h="3121">
                <a:moveTo>
                  <a:pt x="94" y="0"/>
                </a:moveTo>
                <a:lnTo>
                  <a:pt x="91" y="3105"/>
                </a:lnTo>
                <a:lnTo>
                  <a:pt x="75" y="3105"/>
                </a:lnTo>
                <a:lnTo>
                  <a:pt x="78" y="0"/>
                </a:lnTo>
                <a:lnTo>
                  <a:pt x="94" y="0"/>
                </a:lnTo>
                <a:close/>
                <a:moveTo>
                  <a:pt x="165" y="2981"/>
                </a:moveTo>
                <a:lnTo>
                  <a:pt x="83" y="3121"/>
                </a:lnTo>
                <a:lnTo>
                  <a:pt x="2" y="2980"/>
                </a:lnTo>
                <a:cubicBezTo>
                  <a:pt x="0" y="2977"/>
                  <a:pt x="1" y="2972"/>
                  <a:pt x="5" y="2970"/>
                </a:cubicBezTo>
                <a:cubicBezTo>
                  <a:pt x="9" y="2967"/>
                  <a:pt x="14" y="2969"/>
                  <a:pt x="16" y="2972"/>
                </a:cubicBezTo>
                <a:lnTo>
                  <a:pt x="90" y="3101"/>
                </a:lnTo>
                <a:lnTo>
                  <a:pt x="77" y="3101"/>
                </a:lnTo>
                <a:lnTo>
                  <a:pt x="151" y="2973"/>
                </a:lnTo>
                <a:cubicBezTo>
                  <a:pt x="154" y="2969"/>
                  <a:pt x="159" y="2967"/>
                  <a:pt x="162" y="2970"/>
                </a:cubicBezTo>
                <a:cubicBezTo>
                  <a:pt x="166" y="2972"/>
                  <a:pt x="167" y="2977"/>
                  <a:pt x="165" y="2981"/>
                </a:cubicBezTo>
                <a:close/>
              </a:path>
            </a:pathLst>
          </a:custGeom>
          <a:solidFill>
            <a:srgbClr val="4A7EBB"/>
          </a:solidFill>
          <a:ln w="0" cap="flat">
            <a:solidFill>
              <a:srgbClr val="4A7EBB"/>
            </a:solidFill>
            <a:prstDash val="solid"/>
            <a:round/>
            <a:headEnd/>
            <a:tailEnd/>
          </a:ln>
        </xdr:spPr>
      </xdr:sp>
      <xdr:sp macro="" textlink="">
        <xdr:nvSpPr>
          <xdr:cNvPr id="9265" name="Freeform 49">
            <a:extLst>
              <a:ext uri="{FF2B5EF4-FFF2-40B4-BE49-F238E27FC236}">
                <a16:creationId xmlns:a16="http://schemas.microsoft.com/office/drawing/2014/main" id="{00000000-0008-0000-0100-000031240000}"/>
              </a:ext>
            </a:extLst>
          </xdr:cNvPr>
          <xdr:cNvSpPr>
            <a:spLocks noEditPoints="1"/>
          </xdr:cNvSpPr>
        </xdr:nvSpPr>
        <xdr:spPr bwMode="auto">
          <a:xfrm>
            <a:off x="318" y="419"/>
            <a:ext cx="106" cy="50"/>
          </a:xfrm>
          <a:custGeom>
            <a:avLst/>
            <a:gdLst/>
            <a:ahLst/>
            <a:cxnLst>
              <a:cxn ang="0">
                <a:pos x="7" y="0"/>
              </a:cxn>
              <a:cxn ang="0">
                <a:pos x="1912" y="878"/>
              </a:cxn>
              <a:cxn ang="0">
                <a:pos x="1906" y="892"/>
              </a:cxn>
              <a:cxn ang="0">
                <a:pos x="0" y="15"/>
              </a:cxn>
              <a:cxn ang="0">
                <a:pos x="7" y="0"/>
              </a:cxn>
              <a:cxn ang="0">
                <a:pos x="1831" y="759"/>
              </a:cxn>
              <a:cxn ang="0">
                <a:pos x="1924" y="892"/>
              </a:cxn>
              <a:cxn ang="0">
                <a:pos x="1762" y="907"/>
              </a:cxn>
              <a:cxn ang="0">
                <a:pos x="1753" y="900"/>
              </a:cxn>
              <a:cxn ang="0">
                <a:pos x="1761" y="891"/>
              </a:cxn>
              <a:cxn ang="0">
                <a:pos x="1908" y="877"/>
              </a:cxn>
              <a:cxn ang="0">
                <a:pos x="1903" y="890"/>
              </a:cxn>
              <a:cxn ang="0">
                <a:pos x="1817" y="768"/>
              </a:cxn>
              <a:cxn ang="0">
                <a:pos x="1819" y="757"/>
              </a:cxn>
              <a:cxn ang="0">
                <a:pos x="1831" y="759"/>
              </a:cxn>
            </a:cxnLst>
            <a:rect l="0" t="0" r="r" b="b"/>
            <a:pathLst>
              <a:path w="1924" h="908">
                <a:moveTo>
                  <a:pt x="7" y="0"/>
                </a:moveTo>
                <a:lnTo>
                  <a:pt x="1912" y="878"/>
                </a:lnTo>
                <a:lnTo>
                  <a:pt x="1906" y="892"/>
                </a:lnTo>
                <a:lnTo>
                  <a:pt x="0" y="15"/>
                </a:lnTo>
                <a:lnTo>
                  <a:pt x="7" y="0"/>
                </a:lnTo>
                <a:close/>
                <a:moveTo>
                  <a:pt x="1831" y="759"/>
                </a:moveTo>
                <a:lnTo>
                  <a:pt x="1924" y="892"/>
                </a:lnTo>
                <a:lnTo>
                  <a:pt x="1762" y="907"/>
                </a:lnTo>
                <a:cubicBezTo>
                  <a:pt x="1758" y="908"/>
                  <a:pt x="1754" y="904"/>
                  <a:pt x="1753" y="900"/>
                </a:cubicBezTo>
                <a:cubicBezTo>
                  <a:pt x="1753" y="896"/>
                  <a:pt x="1756" y="892"/>
                  <a:pt x="1761" y="891"/>
                </a:cubicBezTo>
                <a:lnTo>
                  <a:pt x="1908" y="877"/>
                </a:lnTo>
                <a:lnTo>
                  <a:pt x="1903" y="890"/>
                </a:lnTo>
                <a:lnTo>
                  <a:pt x="1817" y="768"/>
                </a:lnTo>
                <a:cubicBezTo>
                  <a:pt x="1815" y="764"/>
                  <a:pt x="1816" y="759"/>
                  <a:pt x="1819" y="757"/>
                </a:cubicBezTo>
                <a:cubicBezTo>
                  <a:pt x="1823" y="754"/>
                  <a:pt x="1828" y="755"/>
                  <a:pt x="1831" y="759"/>
                </a:cubicBezTo>
                <a:close/>
              </a:path>
            </a:pathLst>
          </a:custGeom>
          <a:solidFill>
            <a:srgbClr val="4A7EBB"/>
          </a:solidFill>
          <a:ln w="0" cap="flat">
            <a:solidFill>
              <a:srgbClr val="4A7EBB"/>
            </a:solid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33</xdr:row>
      <xdr:rowOff>66675</xdr:rowOff>
    </xdr:from>
    <xdr:to>
      <xdr:col>11</xdr:col>
      <xdr:colOff>485775</xdr:colOff>
      <xdr:row>35</xdr:row>
      <xdr:rowOff>123825</xdr:rowOff>
    </xdr:to>
    <xdr:pic>
      <xdr:nvPicPr>
        <xdr:cNvPr id="3092" name="Picture 20">
          <a:extLst>
            <a:ext uri="{FF2B5EF4-FFF2-40B4-BE49-F238E27FC236}">
              <a16:creationId xmlns:a16="http://schemas.microsoft.com/office/drawing/2014/main" id="{00000000-0008-0000-0500-0000140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825" y="6096000"/>
          <a:ext cx="3762375" cy="381000"/>
        </a:xfrm>
        <a:prstGeom prst="rect">
          <a:avLst/>
        </a:prstGeom>
        <a:noFill/>
        <a:ln w="9525">
          <a:noFill/>
          <a:miter lim="800000"/>
          <a:headEnd/>
          <a:tailEnd/>
        </a:ln>
      </xdr:spPr>
    </xdr:pic>
    <xdr:clientData/>
  </xdr:twoCellAnchor>
  <xdr:twoCellAnchor>
    <xdr:from>
      <xdr:col>5</xdr:col>
      <xdr:colOff>380999</xdr:colOff>
      <xdr:row>45</xdr:row>
      <xdr:rowOff>47627</xdr:rowOff>
    </xdr:from>
    <xdr:to>
      <xdr:col>12</xdr:col>
      <xdr:colOff>638175</xdr:colOff>
      <xdr:row>48</xdr:row>
      <xdr:rowOff>114116</xdr:rowOff>
    </xdr:to>
    <xdr:pic>
      <xdr:nvPicPr>
        <xdr:cNvPr id="7171" name="Picture 3">
          <a:extLst>
            <a:ext uri="{FF2B5EF4-FFF2-40B4-BE49-F238E27FC236}">
              <a16:creationId xmlns:a16="http://schemas.microsoft.com/office/drawing/2014/main" id="{00000000-0008-0000-0500-0000031C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705474" y="7572377"/>
          <a:ext cx="5619751" cy="552264"/>
        </a:xfrm>
        <a:prstGeom prst="rect">
          <a:avLst/>
        </a:prstGeom>
        <a:noFill/>
      </xdr:spPr>
    </xdr:pic>
    <xdr:clientData/>
  </xdr:twoCellAnchor>
  <xdr:twoCellAnchor editAs="oneCell">
    <xdr:from>
      <xdr:col>5</xdr:col>
      <xdr:colOff>680357</xdr:colOff>
      <xdr:row>62</xdr:row>
      <xdr:rowOff>0</xdr:rowOff>
    </xdr:from>
    <xdr:to>
      <xdr:col>11</xdr:col>
      <xdr:colOff>318407</xdr:colOff>
      <xdr:row>66</xdr:row>
      <xdr:rowOff>19405</xdr:rowOff>
    </xdr:to>
    <xdr:pic>
      <xdr:nvPicPr>
        <xdr:cNvPr id="10244" name="Picture 4">
          <a:extLst>
            <a:ext uri="{FF2B5EF4-FFF2-40B4-BE49-F238E27FC236}">
              <a16:creationId xmlns:a16="http://schemas.microsoft.com/office/drawing/2014/main" id="{00000000-0008-0000-0500-0000042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987143" y="10668000"/>
          <a:ext cx="4482193" cy="67254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12</xdr:row>
      <xdr:rowOff>1</xdr:rowOff>
    </xdr:from>
    <xdr:to>
      <xdr:col>10</xdr:col>
      <xdr:colOff>247650</xdr:colOff>
      <xdr:row>13</xdr:row>
      <xdr:rowOff>200025</xdr:rowOff>
    </xdr:to>
    <xdr:pic>
      <xdr:nvPicPr>
        <xdr:cNvPr id="4115" name="Picture 19">
          <a:extLst>
            <a:ext uri="{FF2B5EF4-FFF2-40B4-BE49-F238E27FC236}">
              <a16:creationId xmlns:a16="http://schemas.microsoft.com/office/drawing/2014/main" id="{00000000-0008-0000-0600-000013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76900" y="3438526"/>
          <a:ext cx="3676650" cy="380999"/>
        </a:xfrm>
        <a:prstGeom prst="rect">
          <a:avLst/>
        </a:prstGeom>
        <a:noFill/>
        <a:ln w="9525">
          <a:noFill/>
          <a:miter lim="800000"/>
          <a:headEnd/>
          <a:tailEnd/>
        </a:ln>
      </xdr:spPr>
    </xdr:pic>
    <xdr:clientData/>
  </xdr:twoCellAnchor>
  <xdr:twoCellAnchor>
    <xdr:from>
      <xdr:col>5</xdr:col>
      <xdr:colOff>0</xdr:colOff>
      <xdr:row>32</xdr:row>
      <xdr:rowOff>0</xdr:rowOff>
    </xdr:from>
    <xdr:to>
      <xdr:col>9</xdr:col>
      <xdr:colOff>371475</xdr:colOff>
      <xdr:row>33</xdr:row>
      <xdr:rowOff>95250</xdr:rowOff>
    </xdr:to>
    <xdr:pic>
      <xdr:nvPicPr>
        <xdr:cNvPr id="2" name="Picture 2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524500" y="4486275"/>
          <a:ext cx="3152775" cy="295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466725</xdr:colOff>
      <xdr:row>135</xdr:row>
      <xdr:rowOff>104775</xdr:rowOff>
    </xdr:from>
    <xdr:to>
      <xdr:col>8</xdr:col>
      <xdr:colOff>542925</xdr:colOff>
      <xdr:row>137</xdr:row>
      <xdr:rowOff>95250</xdr:rowOff>
    </xdr:to>
    <xdr:pic>
      <xdr:nvPicPr>
        <xdr:cNvPr id="4" name="Picture 4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324225" y="20069175"/>
          <a:ext cx="4800600" cy="314325"/>
        </a:xfrm>
        <a:prstGeom prst="rect">
          <a:avLst/>
        </a:prstGeom>
        <a:noFill/>
      </xdr:spPr>
    </xdr:pic>
    <xdr:clientData/>
  </xdr:twoCellAnchor>
  <xdr:twoCellAnchor>
    <xdr:from>
      <xdr:col>6</xdr:col>
      <xdr:colOff>0</xdr:colOff>
      <xdr:row>53</xdr:row>
      <xdr:rowOff>0</xdr:rowOff>
    </xdr:from>
    <xdr:to>
      <xdr:col>10</xdr:col>
      <xdr:colOff>371475</xdr:colOff>
      <xdr:row>54</xdr:row>
      <xdr:rowOff>219075</xdr:rowOff>
    </xdr:to>
    <xdr:pic>
      <xdr:nvPicPr>
        <xdr:cNvPr id="5" name="Picture 47">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353175" y="9391650"/>
          <a:ext cx="3343275" cy="381000"/>
        </a:xfrm>
        <a:prstGeom prst="rect">
          <a:avLst/>
        </a:prstGeom>
        <a:noFill/>
      </xdr:spPr>
    </xdr:pic>
    <xdr:clientData/>
  </xdr:twoCellAnchor>
  <xdr:twoCellAnchor>
    <xdr:from>
      <xdr:col>8</xdr:col>
      <xdr:colOff>219075</xdr:colOff>
      <xdr:row>15</xdr:row>
      <xdr:rowOff>19050</xdr:rowOff>
    </xdr:from>
    <xdr:to>
      <xdr:col>18</xdr:col>
      <xdr:colOff>381000</xdr:colOff>
      <xdr:row>17</xdr:row>
      <xdr:rowOff>142874</xdr:rowOff>
    </xdr:to>
    <xdr:pic>
      <xdr:nvPicPr>
        <xdr:cNvPr id="5166" name="Picture 46">
          <a:extLst>
            <a:ext uri="{FF2B5EF4-FFF2-40B4-BE49-F238E27FC236}">
              <a16:creationId xmlns:a16="http://schemas.microsoft.com/office/drawing/2014/main" id="{00000000-0008-0000-0700-00002E14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058150" y="2714625"/>
          <a:ext cx="5934075" cy="647699"/>
        </a:xfrm>
        <a:prstGeom prst="rect">
          <a:avLst/>
        </a:prstGeom>
        <a:noFill/>
        <a:ln w="9525">
          <a:noFill/>
          <a:miter lim="800000"/>
          <a:headEnd/>
          <a:tailEnd/>
        </a:ln>
      </xdr:spPr>
    </xdr:pic>
    <xdr:clientData/>
  </xdr:twoCellAnchor>
  <xdr:twoCellAnchor editAs="oneCell">
    <xdr:from>
      <xdr:col>5</xdr:col>
      <xdr:colOff>704850</xdr:colOff>
      <xdr:row>4</xdr:row>
      <xdr:rowOff>152400</xdr:rowOff>
    </xdr:from>
    <xdr:to>
      <xdr:col>8</xdr:col>
      <xdr:colOff>117475</xdr:colOff>
      <xdr:row>5</xdr:row>
      <xdr:rowOff>19050</xdr:rowOff>
    </xdr:to>
    <xdr:pic>
      <xdr:nvPicPr>
        <xdr:cNvPr id="5167" name="Picture 47">
          <a:extLst>
            <a:ext uri="{FF2B5EF4-FFF2-40B4-BE49-F238E27FC236}">
              <a16:creationId xmlns:a16="http://schemas.microsoft.com/office/drawing/2014/main" id="{00000000-0008-0000-0700-00002F1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67450" y="857250"/>
          <a:ext cx="2762250" cy="171450"/>
        </a:xfrm>
        <a:prstGeom prst="rect">
          <a:avLst/>
        </a:prstGeom>
        <a:noFill/>
      </xdr:spPr>
    </xdr:pic>
    <xdr:clientData/>
  </xdr:twoCellAnchor>
  <xdr:twoCellAnchor editAs="oneCell">
    <xdr:from>
      <xdr:col>5</xdr:col>
      <xdr:colOff>101600</xdr:colOff>
      <xdr:row>162</xdr:row>
      <xdr:rowOff>25400</xdr:rowOff>
    </xdr:from>
    <xdr:to>
      <xdr:col>7</xdr:col>
      <xdr:colOff>825500</xdr:colOff>
      <xdr:row>163</xdr:row>
      <xdr:rowOff>98425</xdr:rowOff>
    </xdr:to>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94400" y="26530300"/>
          <a:ext cx="31369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172</xdr:row>
      <xdr:rowOff>25400</xdr:rowOff>
    </xdr:from>
    <xdr:to>
      <xdr:col>7</xdr:col>
      <xdr:colOff>720725</xdr:colOff>
      <xdr:row>173</xdr:row>
      <xdr:rowOff>98424</xdr:rowOff>
    </xdr:to>
    <xdr:pic>
      <xdr:nvPicPr>
        <xdr:cNvPr id="7" name="Picture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30900" y="28587700"/>
          <a:ext cx="30956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183</xdr:row>
      <xdr:rowOff>0</xdr:rowOff>
    </xdr:from>
    <xdr:to>
      <xdr:col>6</xdr:col>
      <xdr:colOff>508000</xdr:colOff>
      <xdr:row>184</xdr:row>
      <xdr:rowOff>63500</xdr:rowOff>
    </xdr:to>
    <xdr:pic>
      <xdr:nvPicPr>
        <xdr:cNvPr id="8" name="Picture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30900" y="30784800"/>
          <a:ext cx="2133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192</xdr:row>
      <xdr:rowOff>50800</xdr:rowOff>
    </xdr:from>
    <xdr:to>
      <xdr:col>6</xdr:col>
      <xdr:colOff>298450</xdr:colOff>
      <xdr:row>193</xdr:row>
      <xdr:rowOff>95251</xdr:rowOff>
    </xdr:to>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92800" y="32346900"/>
          <a:ext cx="19621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12700</xdr:colOff>
      <xdr:row>201</xdr:row>
      <xdr:rowOff>38100</xdr:rowOff>
    </xdr:from>
    <xdr:to>
      <xdr:col>7</xdr:col>
      <xdr:colOff>428625</xdr:colOff>
      <xdr:row>202</xdr:row>
      <xdr:rowOff>53974</xdr:rowOff>
    </xdr:to>
    <xdr:pic>
      <xdr:nvPicPr>
        <xdr:cNvPr id="10" name="Picture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05500" y="33985200"/>
          <a:ext cx="28289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30</xdr:row>
      <xdr:rowOff>130920</xdr:rowOff>
    </xdr:from>
    <xdr:to>
      <xdr:col>6</xdr:col>
      <xdr:colOff>752475</xdr:colOff>
      <xdr:row>31</xdr:row>
      <xdr:rowOff>219075</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057650" y="5369670"/>
          <a:ext cx="1581150" cy="250080"/>
        </a:xfrm>
        <a:prstGeom prst="rect">
          <a:avLst/>
        </a:prstGeom>
        <a:noFill/>
      </xdr:spPr>
    </xdr:pic>
    <xdr:clientData/>
  </xdr:twoCellAnchor>
  <xdr:twoCellAnchor editAs="oneCell">
    <xdr:from>
      <xdr:col>4</xdr:col>
      <xdr:colOff>171450</xdr:colOff>
      <xdr:row>39</xdr:row>
      <xdr:rowOff>66675</xdr:rowOff>
    </xdr:from>
    <xdr:to>
      <xdr:col>8</xdr:col>
      <xdr:colOff>371475</xdr:colOff>
      <xdr:row>43</xdr:row>
      <xdr:rowOff>152400</xdr:rowOff>
    </xdr:to>
    <xdr:pic>
      <xdr:nvPicPr>
        <xdr:cNvPr id="5" name="Picture 6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76675" y="6591300"/>
          <a:ext cx="3190875" cy="7334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314325</xdr:colOff>
      <xdr:row>22</xdr:row>
      <xdr:rowOff>38100</xdr:rowOff>
    </xdr:from>
    <xdr:to>
      <xdr:col>12</xdr:col>
      <xdr:colOff>95250</xdr:colOff>
      <xdr:row>24</xdr:row>
      <xdr:rowOff>57150</xdr:rowOff>
    </xdr:to>
    <xdr:pic>
      <xdr:nvPicPr>
        <xdr:cNvPr id="7178" name="Picture 10">
          <a:extLst>
            <a:ext uri="{FF2B5EF4-FFF2-40B4-BE49-F238E27FC236}">
              <a16:creationId xmlns:a16="http://schemas.microsoft.com/office/drawing/2014/main" id="{00000000-0008-0000-0900-00000A1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81575" y="4276725"/>
          <a:ext cx="3895725" cy="342900"/>
        </a:xfrm>
        <a:prstGeom prst="rect">
          <a:avLst/>
        </a:prstGeom>
        <a:noFill/>
        <a:ln w="9525">
          <a:noFill/>
          <a:miter lim="800000"/>
          <a:headEnd/>
          <a:tailEnd/>
        </a:ln>
      </xdr:spPr>
    </xdr:pic>
    <xdr:clientData/>
  </xdr:twoCellAnchor>
  <xdr:twoCellAnchor>
    <xdr:from>
      <xdr:col>6</xdr:col>
      <xdr:colOff>314325</xdr:colOff>
      <xdr:row>19</xdr:row>
      <xdr:rowOff>76201</xdr:rowOff>
    </xdr:from>
    <xdr:to>
      <xdr:col>10</xdr:col>
      <xdr:colOff>466725</xdr:colOff>
      <xdr:row>21</xdr:row>
      <xdr:rowOff>85725</xdr:rowOff>
    </xdr:to>
    <xdr:pic>
      <xdr:nvPicPr>
        <xdr:cNvPr id="7179" name="Picture 11">
          <a:extLst>
            <a:ext uri="{FF2B5EF4-FFF2-40B4-BE49-F238E27FC236}">
              <a16:creationId xmlns:a16="http://schemas.microsoft.com/office/drawing/2014/main" id="{00000000-0008-0000-0900-00000B1C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676775" y="3562351"/>
          <a:ext cx="2895600" cy="33337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590550</xdr:colOff>
      <xdr:row>6</xdr:row>
      <xdr:rowOff>0</xdr:rowOff>
    </xdr:from>
    <xdr:to>
      <xdr:col>11</xdr:col>
      <xdr:colOff>409575</xdr:colOff>
      <xdr:row>7</xdr:row>
      <xdr:rowOff>0</xdr:rowOff>
    </xdr:to>
    <xdr:pic>
      <xdr:nvPicPr>
        <xdr:cNvPr id="18433" name="Picture 1">
          <a:extLst>
            <a:ext uri="{FF2B5EF4-FFF2-40B4-BE49-F238E27FC236}">
              <a16:creationId xmlns:a16="http://schemas.microsoft.com/office/drawing/2014/main" id="{00000000-0008-0000-0A00-0000014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0" y="1066800"/>
          <a:ext cx="3933825" cy="190500"/>
        </a:xfrm>
        <a:prstGeom prst="rect">
          <a:avLst/>
        </a:prstGeom>
        <a:noFill/>
        <a:ln w="9525">
          <a:noFill/>
          <a:miter lim="800000"/>
          <a:headEnd/>
          <a:tailEnd/>
        </a:ln>
      </xdr:spPr>
    </xdr:pic>
    <xdr:clientData/>
  </xdr:twoCellAnchor>
  <xdr:twoCellAnchor>
    <xdr:from>
      <xdr:col>5</xdr:col>
      <xdr:colOff>638175</xdr:colOff>
      <xdr:row>19</xdr:row>
      <xdr:rowOff>38100</xdr:rowOff>
    </xdr:from>
    <xdr:to>
      <xdr:col>8</xdr:col>
      <xdr:colOff>400050</xdr:colOff>
      <xdr:row>20</xdr:row>
      <xdr:rowOff>38100</xdr:rowOff>
    </xdr:to>
    <xdr:pic>
      <xdr:nvPicPr>
        <xdr:cNvPr id="18434" name="Picture 2">
          <a:extLst>
            <a:ext uri="{FF2B5EF4-FFF2-40B4-BE49-F238E27FC236}">
              <a16:creationId xmlns:a16="http://schemas.microsoft.com/office/drawing/2014/main" id="{00000000-0008-0000-0A00-00000248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286375" y="2933700"/>
          <a:ext cx="1819275" cy="190500"/>
        </a:xfrm>
        <a:prstGeom prst="rect">
          <a:avLst/>
        </a:prstGeom>
        <a:noFill/>
        <a:ln w="9525">
          <a:noFill/>
          <a:miter lim="800000"/>
          <a:headEnd/>
          <a:tailEnd/>
        </a:ln>
      </xdr:spPr>
    </xdr:pic>
    <xdr:clientData/>
  </xdr:twoCellAnchor>
  <xdr:twoCellAnchor>
    <xdr:from>
      <xdr:col>4</xdr:col>
      <xdr:colOff>200025</xdr:colOff>
      <xdr:row>26</xdr:row>
      <xdr:rowOff>95250</xdr:rowOff>
    </xdr:from>
    <xdr:to>
      <xdr:col>12</xdr:col>
      <xdr:colOff>447675</xdr:colOff>
      <xdr:row>28</xdr:row>
      <xdr:rowOff>95250</xdr:rowOff>
    </xdr:to>
    <xdr:pic>
      <xdr:nvPicPr>
        <xdr:cNvPr id="18435" name="Picture 3">
          <a:extLst>
            <a:ext uri="{FF2B5EF4-FFF2-40B4-BE49-F238E27FC236}">
              <a16:creationId xmlns:a16="http://schemas.microsoft.com/office/drawing/2014/main" id="{00000000-0008-0000-0A00-00000348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38675"/>
          <a:ext cx="5305425" cy="371475"/>
        </a:xfrm>
        <a:prstGeom prst="rect">
          <a:avLst/>
        </a:prstGeom>
        <a:noFill/>
        <a:ln w="9525">
          <a:noFill/>
          <a:miter lim="800000"/>
          <a:headEnd/>
          <a:tailEnd/>
        </a:ln>
      </xdr:spPr>
    </xdr:pic>
    <xdr:clientData/>
  </xdr:twoCellAnchor>
  <xdr:twoCellAnchor>
    <xdr:from>
      <xdr:col>5</xdr:col>
      <xdr:colOff>228600</xdr:colOff>
      <xdr:row>58</xdr:row>
      <xdr:rowOff>66675</xdr:rowOff>
    </xdr:from>
    <xdr:to>
      <xdr:col>7</xdr:col>
      <xdr:colOff>542925</xdr:colOff>
      <xdr:row>61</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419725" y="9867900"/>
          <a:ext cx="1685925" cy="479060"/>
        </a:xfrm>
        <a:prstGeom prst="rect">
          <a:avLst/>
        </a:prstGeom>
        <a:noFill/>
        <a:ln w="9525">
          <a:noFill/>
          <a:miter lim="800000"/>
          <a:headEnd/>
          <a:tailEnd/>
        </a:ln>
      </xdr:spPr>
    </xdr:pic>
    <xdr:clientData/>
  </xdr:twoCellAnchor>
  <xdr:twoCellAnchor>
    <xdr:from>
      <xdr:col>6</xdr:col>
      <xdr:colOff>0</xdr:colOff>
      <xdr:row>76</xdr:row>
      <xdr:rowOff>171451</xdr:rowOff>
    </xdr:from>
    <xdr:to>
      <xdr:col>8</xdr:col>
      <xdr:colOff>342900</xdr:colOff>
      <xdr:row>77</xdr:row>
      <xdr:rowOff>257176</xdr:rowOff>
    </xdr:to>
    <xdr:pic>
      <xdr:nvPicPr>
        <xdr:cNvPr id="7" name="Picture 2">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734050" y="13182601"/>
          <a:ext cx="1600200" cy="266700"/>
        </a:xfrm>
        <a:prstGeom prst="rect">
          <a:avLst/>
        </a:prstGeom>
        <a:noFill/>
        <a:ln w="9525">
          <a:noFill/>
          <a:miter lim="800000"/>
          <a:headEnd/>
          <a:tailEnd/>
        </a:ln>
      </xdr:spPr>
    </xdr:pic>
    <xdr:clientData/>
  </xdr:twoCellAnchor>
  <xdr:twoCellAnchor>
    <xdr:from>
      <xdr:col>4</xdr:col>
      <xdr:colOff>200025</xdr:colOff>
      <xdr:row>84</xdr:row>
      <xdr:rowOff>95250</xdr:rowOff>
    </xdr:from>
    <xdr:to>
      <xdr:col>12</xdr:col>
      <xdr:colOff>447675</xdr:colOff>
      <xdr:row>86</xdr:row>
      <xdr:rowOff>133350</xdr:rowOff>
    </xdr:to>
    <xdr:pic>
      <xdr:nvPicPr>
        <xdr:cNvPr id="8" name="Picture 3">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48200"/>
          <a:ext cx="5305425" cy="409575"/>
        </a:xfrm>
        <a:prstGeom prst="rect">
          <a:avLst/>
        </a:prstGeom>
        <a:noFill/>
        <a:ln w="9525">
          <a:noFill/>
          <a:miter lim="800000"/>
          <a:headEnd/>
          <a:tailEnd/>
        </a:ln>
      </xdr:spPr>
    </xdr:pic>
    <xdr:clientData/>
  </xdr:twoCellAnchor>
  <xdr:twoCellAnchor>
    <xdr:from>
      <xdr:col>5</xdr:col>
      <xdr:colOff>228600</xdr:colOff>
      <xdr:row>116</xdr:row>
      <xdr:rowOff>66675</xdr:rowOff>
    </xdr:from>
    <xdr:to>
      <xdr:col>7</xdr:col>
      <xdr:colOff>542925</xdr:colOff>
      <xdr:row>119</xdr:row>
      <xdr:rowOff>0</xdr:rowOff>
    </xdr:to>
    <xdr:pic>
      <xdr:nvPicPr>
        <xdr:cNvPr id="10" name="Picture 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353050" y="10239375"/>
          <a:ext cx="1552575" cy="457200"/>
        </a:xfrm>
        <a:prstGeom prst="rect">
          <a:avLst/>
        </a:prstGeom>
        <a:noFill/>
        <a:ln w="9525">
          <a:noFill/>
          <a:miter lim="800000"/>
          <a:headEnd/>
          <a:tailEnd/>
        </a:ln>
      </xdr:spPr>
    </xdr:pic>
    <xdr:clientData/>
  </xdr:twoCellAnchor>
  <xdr:twoCellAnchor>
    <xdr:from>
      <xdr:col>4</xdr:col>
      <xdr:colOff>0</xdr:colOff>
      <xdr:row>45</xdr:row>
      <xdr:rowOff>0</xdr:rowOff>
    </xdr:from>
    <xdr:to>
      <xdr:col>11</xdr:col>
      <xdr:colOff>619125</xdr:colOff>
      <xdr:row>47</xdr:row>
      <xdr:rowOff>152400</xdr:rowOff>
    </xdr:to>
    <xdr:grpSp>
      <xdr:nvGrpSpPr>
        <xdr:cNvPr id="23" name="Group 1">
          <a:extLst>
            <a:ext uri="{FF2B5EF4-FFF2-40B4-BE49-F238E27FC236}">
              <a16:creationId xmlns:a16="http://schemas.microsoft.com/office/drawing/2014/main" id="{00000000-0008-0000-0A00-000017000000}"/>
            </a:ext>
          </a:extLst>
        </xdr:cNvPr>
        <xdr:cNvGrpSpPr>
          <a:grpSpLocks noChangeAspect="1"/>
        </xdr:cNvGrpSpPr>
      </xdr:nvGrpSpPr>
      <xdr:grpSpPr bwMode="auto">
        <a:xfrm>
          <a:off x="4986618" y="7765676"/>
          <a:ext cx="5356038" cy="499783"/>
          <a:chOff x="0" y="-122"/>
          <a:chExt cx="7375" cy="815"/>
        </a:xfrm>
      </xdr:grpSpPr>
      <xdr:sp macro="" textlink="">
        <xdr:nvSpPr>
          <xdr:cNvPr id="24" name="AutoShape 33">
            <a:extLst>
              <a:ext uri="{FF2B5EF4-FFF2-40B4-BE49-F238E27FC236}">
                <a16:creationId xmlns:a16="http://schemas.microsoft.com/office/drawing/2014/main" id="{00000000-0008-0000-0A00-000018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25" name="Rectangle 32">
            <a:extLst>
              <a:ext uri="{FF2B5EF4-FFF2-40B4-BE49-F238E27FC236}">
                <a16:creationId xmlns:a16="http://schemas.microsoft.com/office/drawing/2014/main" id="{00000000-0008-0000-0A00-000019000000}"/>
              </a:ext>
            </a:extLst>
          </xdr:cNvPr>
          <xdr:cNvSpPr>
            <a:spLocks noChangeArrowheads="1"/>
          </xdr:cNvSpPr>
        </xdr:nvSpPr>
        <xdr:spPr bwMode="auto">
          <a:xfrm>
            <a:off x="1830"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6" name="Rectangle 31">
            <a:extLst>
              <a:ext uri="{FF2B5EF4-FFF2-40B4-BE49-F238E27FC236}">
                <a16:creationId xmlns:a16="http://schemas.microsoft.com/office/drawing/2014/main" id="{00000000-0008-0000-0A00-00001A000000}"/>
              </a:ext>
            </a:extLst>
          </xdr:cNvPr>
          <xdr:cNvSpPr>
            <a:spLocks noChangeArrowheads="1"/>
          </xdr:cNvSpPr>
        </xdr:nvSpPr>
        <xdr:spPr bwMode="auto">
          <a:xfrm>
            <a:off x="3778"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7" name="Rectangle 30">
            <a:extLst>
              <a:ext uri="{FF2B5EF4-FFF2-40B4-BE49-F238E27FC236}">
                <a16:creationId xmlns:a16="http://schemas.microsoft.com/office/drawing/2014/main" id="{00000000-0008-0000-0A00-00001B000000}"/>
              </a:ext>
            </a:extLst>
          </xdr:cNvPr>
          <xdr:cNvSpPr>
            <a:spLocks noChangeArrowheads="1"/>
          </xdr:cNvSpPr>
        </xdr:nvSpPr>
        <xdr:spPr bwMode="auto">
          <a:xfrm>
            <a:off x="911"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8" name="Rectangle 29">
            <a:extLst>
              <a:ext uri="{FF2B5EF4-FFF2-40B4-BE49-F238E27FC236}">
                <a16:creationId xmlns:a16="http://schemas.microsoft.com/office/drawing/2014/main" id="{00000000-0008-0000-0A00-00001C000000}"/>
              </a:ext>
            </a:extLst>
          </xdr:cNvPr>
          <xdr:cNvSpPr>
            <a:spLocks noChangeArrowheads="1"/>
          </xdr:cNvSpPr>
        </xdr:nvSpPr>
        <xdr:spPr bwMode="auto">
          <a:xfrm>
            <a:off x="4558"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9" name="Rectangle 28">
            <a:extLst>
              <a:ext uri="{FF2B5EF4-FFF2-40B4-BE49-F238E27FC236}">
                <a16:creationId xmlns:a16="http://schemas.microsoft.com/office/drawing/2014/main" id="{00000000-0008-0000-0A00-00001D000000}"/>
              </a:ext>
            </a:extLst>
          </xdr:cNvPr>
          <xdr:cNvSpPr>
            <a:spLocks noChangeArrowheads="1"/>
          </xdr:cNvSpPr>
        </xdr:nvSpPr>
        <xdr:spPr bwMode="auto">
          <a:xfrm>
            <a:off x="4832"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30" name="Rectangle 27">
            <a:extLst>
              <a:ext uri="{FF2B5EF4-FFF2-40B4-BE49-F238E27FC236}">
                <a16:creationId xmlns:a16="http://schemas.microsoft.com/office/drawing/2014/main" id="{00000000-0008-0000-0A00-00001E000000}"/>
              </a:ext>
            </a:extLst>
          </xdr:cNvPr>
          <xdr:cNvSpPr>
            <a:spLocks noChangeArrowheads="1"/>
          </xdr:cNvSpPr>
        </xdr:nvSpPr>
        <xdr:spPr bwMode="auto">
          <a:xfrm>
            <a:off x="7192" y="-122"/>
            <a:ext cx="101" cy="451"/>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31" name="Rectangle 26">
            <a:extLst>
              <a:ext uri="{FF2B5EF4-FFF2-40B4-BE49-F238E27FC236}">
                <a16:creationId xmlns:a16="http://schemas.microsoft.com/office/drawing/2014/main" id="{00000000-0008-0000-0A00-00001F000000}"/>
              </a:ext>
            </a:extLst>
          </xdr:cNvPr>
          <xdr:cNvSpPr>
            <a:spLocks noChangeArrowheads="1"/>
          </xdr:cNvSpPr>
        </xdr:nvSpPr>
        <xdr:spPr bwMode="auto">
          <a:xfrm>
            <a:off x="7105" y="15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2" name="Rectangle 25">
            <a:extLst>
              <a:ext uri="{FF2B5EF4-FFF2-40B4-BE49-F238E27FC236}">
                <a16:creationId xmlns:a16="http://schemas.microsoft.com/office/drawing/2014/main" id="{00000000-0008-0000-0A00-000020000000}"/>
              </a:ext>
            </a:extLst>
          </xdr:cNvPr>
          <xdr:cNvSpPr>
            <a:spLocks noChangeArrowheads="1"/>
          </xdr:cNvSpPr>
        </xdr:nvSpPr>
        <xdr:spPr bwMode="auto">
          <a:xfrm>
            <a:off x="6404" y="2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3" name="Rectangle 24">
            <a:extLst>
              <a:ext uri="{FF2B5EF4-FFF2-40B4-BE49-F238E27FC236}">
                <a16:creationId xmlns:a16="http://schemas.microsoft.com/office/drawing/2014/main" id="{00000000-0008-0000-0A00-000021000000}"/>
              </a:ext>
            </a:extLst>
          </xdr:cNvPr>
          <xdr:cNvSpPr>
            <a:spLocks noChangeArrowheads="1"/>
          </xdr:cNvSpPr>
        </xdr:nvSpPr>
        <xdr:spPr bwMode="auto">
          <a:xfrm>
            <a:off x="5238" y="2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4" name="Rectangle 23">
            <a:extLst>
              <a:ext uri="{FF2B5EF4-FFF2-40B4-BE49-F238E27FC236}">
                <a16:creationId xmlns:a16="http://schemas.microsoft.com/office/drawing/2014/main" id="{00000000-0008-0000-0A00-000022000000}"/>
              </a:ext>
            </a:extLst>
          </xdr:cNvPr>
          <xdr:cNvSpPr>
            <a:spLocks noChangeArrowheads="1"/>
          </xdr:cNvSpPr>
        </xdr:nvSpPr>
        <xdr:spPr bwMode="auto">
          <a:xfrm>
            <a:off x="5226" y="15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5" name="Rectangle 22">
            <a:extLst>
              <a:ext uri="{FF2B5EF4-FFF2-40B4-BE49-F238E27FC236}">
                <a16:creationId xmlns:a16="http://schemas.microsoft.com/office/drawing/2014/main" id="{00000000-0008-0000-0A00-000023000000}"/>
              </a:ext>
            </a:extLst>
          </xdr:cNvPr>
          <xdr:cNvSpPr>
            <a:spLocks noChangeArrowheads="1"/>
          </xdr:cNvSpPr>
        </xdr:nvSpPr>
        <xdr:spPr bwMode="auto">
          <a:xfrm>
            <a:off x="4471" y="15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6" name="Rectangle 21">
            <a:extLst>
              <a:ext uri="{FF2B5EF4-FFF2-40B4-BE49-F238E27FC236}">
                <a16:creationId xmlns:a16="http://schemas.microsoft.com/office/drawing/2014/main" id="{00000000-0008-0000-0A00-000024000000}"/>
              </a:ext>
            </a:extLst>
          </xdr:cNvPr>
          <xdr:cNvSpPr>
            <a:spLocks noChangeArrowheads="1"/>
          </xdr:cNvSpPr>
        </xdr:nvSpPr>
        <xdr:spPr bwMode="auto">
          <a:xfrm>
            <a:off x="3663" y="2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7" name="Rectangle 20">
            <a:extLst>
              <a:ext uri="{FF2B5EF4-FFF2-40B4-BE49-F238E27FC236}">
                <a16:creationId xmlns:a16="http://schemas.microsoft.com/office/drawing/2014/main" id="{00000000-0008-0000-0A00-000025000000}"/>
              </a:ext>
            </a:extLst>
          </xdr:cNvPr>
          <xdr:cNvSpPr>
            <a:spLocks noChangeArrowheads="1"/>
          </xdr:cNvSpPr>
        </xdr:nvSpPr>
        <xdr:spPr bwMode="auto">
          <a:xfrm>
            <a:off x="2608" y="2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8" name="Rectangle 19">
            <a:extLst>
              <a:ext uri="{FF2B5EF4-FFF2-40B4-BE49-F238E27FC236}">
                <a16:creationId xmlns:a16="http://schemas.microsoft.com/office/drawing/2014/main" id="{00000000-0008-0000-0A00-000026000000}"/>
              </a:ext>
            </a:extLst>
          </xdr:cNvPr>
          <xdr:cNvSpPr>
            <a:spLocks noChangeArrowheads="1"/>
          </xdr:cNvSpPr>
        </xdr:nvSpPr>
        <xdr:spPr bwMode="auto">
          <a:xfrm>
            <a:off x="2591" y="15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9" name="Rectangle 18">
            <a:extLst>
              <a:ext uri="{FF2B5EF4-FFF2-40B4-BE49-F238E27FC236}">
                <a16:creationId xmlns:a16="http://schemas.microsoft.com/office/drawing/2014/main" id="{00000000-0008-0000-0A00-000027000000}"/>
              </a:ext>
            </a:extLst>
          </xdr:cNvPr>
          <xdr:cNvSpPr>
            <a:spLocks noChangeArrowheads="1"/>
          </xdr:cNvSpPr>
        </xdr:nvSpPr>
        <xdr:spPr bwMode="auto">
          <a:xfrm>
            <a:off x="630" y="2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40" name="Rectangle 17">
            <a:extLst>
              <a:ext uri="{FF2B5EF4-FFF2-40B4-BE49-F238E27FC236}">
                <a16:creationId xmlns:a16="http://schemas.microsoft.com/office/drawing/2014/main" id="{00000000-0008-0000-0A00-000028000000}"/>
              </a:ext>
            </a:extLst>
          </xdr:cNvPr>
          <xdr:cNvSpPr>
            <a:spLocks noChangeArrowheads="1"/>
          </xdr:cNvSpPr>
        </xdr:nvSpPr>
        <xdr:spPr bwMode="auto">
          <a:xfrm>
            <a:off x="613" y="153"/>
            <a:ext cx="35" cy="174"/>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41" name="Rectangle 16">
            <a:extLst>
              <a:ext uri="{FF2B5EF4-FFF2-40B4-BE49-F238E27FC236}">
                <a16:creationId xmlns:a16="http://schemas.microsoft.com/office/drawing/2014/main" id="{00000000-0008-0000-0A00-000029000000}"/>
              </a:ext>
            </a:extLst>
          </xdr:cNvPr>
          <xdr:cNvSpPr>
            <a:spLocks noChangeArrowheads="1"/>
          </xdr:cNvSpPr>
        </xdr:nvSpPr>
        <xdr:spPr bwMode="auto">
          <a:xfrm>
            <a:off x="6654" y="57"/>
            <a:ext cx="349"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42" name="Rectangle 15">
            <a:extLst>
              <a:ext uri="{FF2B5EF4-FFF2-40B4-BE49-F238E27FC236}">
                <a16:creationId xmlns:a16="http://schemas.microsoft.com/office/drawing/2014/main" id="{00000000-0008-0000-0A00-00002A000000}"/>
              </a:ext>
            </a:extLst>
          </xdr:cNvPr>
          <xdr:cNvSpPr>
            <a:spLocks noChangeArrowheads="1"/>
          </xdr:cNvSpPr>
        </xdr:nvSpPr>
        <xdr:spPr bwMode="auto">
          <a:xfrm>
            <a:off x="5475" y="57"/>
            <a:ext cx="734"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43" name="Rectangle 14">
            <a:extLst>
              <a:ext uri="{FF2B5EF4-FFF2-40B4-BE49-F238E27FC236}">
                <a16:creationId xmlns:a16="http://schemas.microsoft.com/office/drawing/2014/main" id="{00000000-0008-0000-0A00-00002B000000}"/>
              </a:ext>
            </a:extLst>
          </xdr:cNvPr>
          <xdr:cNvSpPr>
            <a:spLocks noChangeArrowheads="1"/>
          </xdr:cNvSpPr>
        </xdr:nvSpPr>
        <xdr:spPr bwMode="auto">
          <a:xfrm>
            <a:off x="4886" y="57"/>
            <a:ext cx="268"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44" name="Rectangle 13">
            <a:extLst>
              <a:ext uri="{FF2B5EF4-FFF2-40B4-BE49-F238E27FC236}">
                <a16:creationId xmlns:a16="http://schemas.microsoft.com/office/drawing/2014/main" id="{00000000-0008-0000-0A00-00002C000000}"/>
              </a:ext>
            </a:extLst>
          </xdr:cNvPr>
          <xdr:cNvSpPr>
            <a:spLocks noChangeArrowheads="1"/>
          </xdr:cNvSpPr>
        </xdr:nvSpPr>
        <xdr:spPr bwMode="auto">
          <a:xfrm>
            <a:off x="4076" y="57"/>
            <a:ext cx="349"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45" name="Rectangle 12">
            <a:extLst>
              <a:ext uri="{FF2B5EF4-FFF2-40B4-BE49-F238E27FC236}">
                <a16:creationId xmlns:a16="http://schemas.microsoft.com/office/drawing/2014/main" id="{00000000-0008-0000-0A00-00002D000000}"/>
              </a:ext>
            </a:extLst>
          </xdr:cNvPr>
          <xdr:cNvSpPr>
            <a:spLocks noChangeArrowheads="1"/>
          </xdr:cNvSpPr>
        </xdr:nvSpPr>
        <xdr:spPr bwMode="auto">
          <a:xfrm>
            <a:off x="2846" y="57"/>
            <a:ext cx="734"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46" name="Rectangle 11">
            <a:extLst>
              <a:ext uri="{FF2B5EF4-FFF2-40B4-BE49-F238E27FC236}">
                <a16:creationId xmlns:a16="http://schemas.microsoft.com/office/drawing/2014/main" id="{00000000-0008-0000-0A00-00002E000000}"/>
              </a:ext>
            </a:extLst>
          </xdr:cNvPr>
          <xdr:cNvSpPr>
            <a:spLocks noChangeArrowheads="1"/>
          </xdr:cNvSpPr>
        </xdr:nvSpPr>
        <xdr:spPr bwMode="auto">
          <a:xfrm>
            <a:off x="1884" y="57"/>
            <a:ext cx="564"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47" name="Rectangle 10">
            <a:extLst>
              <a:ext uri="{FF2B5EF4-FFF2-40B4-BE49-F238E27FC236}">
                <a16:creationId xmlns:a16="http://schemas.microsoft.com/office/drawing/2014/main" id="{00000000-0008-0000-0A00-00002F000000}"/>
              </a:ext>
            </a:extLst>
          </xdr:cNvPr>
          <xdr:cNvSpPr>
            <a:spLocks noChangeArrowheads="1"/>
          </xdr:cNvSpPr>
        </xdr:nvSpPr>
        <xdr:spPr bwMode="auto">
          <a:xfrm>
            <a:off x="953" y="57"/>
            <a:ext cx="573"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48" name="Rectangle 9">
            <a:extLst>
              <a:ext uri="{FF2B5EF4-FFF2-40B4-BE49-F238E27FC236}">
                <a16:creationId xmlns:a16="http://schemas.microsoft.com/office/drawing/2014/main" id="{00000000-0008-0000-0A00-000030000000}"/>
              </a:ext>
            </a:extLst>
          </xdr:cNvPr>
          <xdr:cNvSpPr>
            <a:spLocks noChangeArrowheads="1"/>
          </xdr:cNvSpPr>
        </xdr:nvSpPr>
        <xdr:spPr bwMode="auto">
          <a:xfrm>
            <a:off x="43" y="57"/>
            <a:ext cx="456" cy="224"/>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49" name="Rectangle 8">
            <a:extLst>
              <a:ext uri="{FF2B5EF4-FFF2-40B4-BE49-F238E27FC236}">
                <a16:creationId xmlns:a16="http://schemas.microsoft.com/office/drawing/2014/main" id="{00000000-0008-0000-0A00-000031000000}"/>
              </a:ext>
            </a:extLst>
          </xdr:cNvPr>
          <xdr:cNvSpPr>
            <a:spLocks noChangeArrowheads="1"/>
          </xdr:cNvSpPr>
        </xdr:nvSpPr>
        <xdr:spPr bwMode="auto">
          <a:xfrm>
            <a:off x="6500"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0" name="Rectangle 7">
            <a:extLst>
              <a:ext uri="{FF2B5EF4-FFF2-40B4-BE49-F238E27FC236}">
                <a16:creationId xmlns:a16="http://schemas.microsoft.com/office/drawing/2014/main" id="{00000000-0008-0000-0A00-000032000000}"/>
              </a:ext>
            </a:extLst>
          </xdr:cNvPr>
          <xdr:cNvSpPr>
            <a:spLocks noChangeArrowheads="1"/>
          </xdr:cNvSpPr>
        </xdr:nvSpPr>
        <xdr:spPr bwMode="auto">
          <a:xfrm>
            <a:off x="5334"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1" name="Rectangle 6">
            <a:extLst>
              <a:ext uri="{FF2B5EF4-FFF2-40B4-BE49-F238E27FC236}">
                <a16:creationId xmlns:a16="http://schemas.microsoft.com/office/drawing/2014/main" id="{00000000-0008-0000-0A00-000033000000}"/>
              </a:ext>
            </a:extLst>
          </xdr:cNvPr>
          <xdr:cNvSpPr>
            <a:spLocks noChangeArrowheads="1"/>
          </xdr:cNvSpPr>
        </xdr:nvSpPr>
        <xdr:spPr bwMode="auto">
          <a:xfrm>
            <a:off x="4728"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2" name="Rectangle 5">
            <a:extLst>
              <a:ext uri="{FF2B5EF4-FFF2-40B4-BE49-F238E27FC236}">
                <a16:creationId xmlns:a16="http://schemas.microsoft.com/office/drawing/2014/main" id="{00000000-0008-0000-0A00-000034000000}"/>
              </a:ext>
            </a:extLst>
          </xdr:cNvPr>
          <xdr:cNvSpPr>
            <a:spLocks noChangeArrowheads="1"/>
          </xdr:cNvSpPr>
        </xdr:nvSpPr>
        <xdr:spPr bwMode="auto">
          <a:xfrm>
            <a:off x="3922"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3" name="Rectangle 4">
            <a:extLst>
              <a:ext uri="{FF2B5EF4-FFF2-40B4-BE49-F238E27FC236}">
                <a16:creationId xmlns:a16="http://schemas.microsoft.com/office/drawing/2014/main" id="{00000000-0008-0000-0A00-000035000000}"/>
              </a:ext>
            </a:extLst>
          </xdr:cNvPr>
          <xdr:cNvSpPr>
            <a:spLocks noChangeArrowheads="1"/>
          </xdr:cNvSpPr>
        </xdr:nvSpPr>
        <xdr:spPr bwMode="auto">
          <a:xfrm>
            <a:off x="2705"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4" name="Rectangle 3">
            <a:extLst>
              <a:ext uri="{FF2B5EF4-FFF2-40B4-BE49-F238E27FC236}">
                <a16:creationId xmlns:a16="http://schemas.microsoft.com/office/drawing/2014/main" id="{00000000-0008-0000-0A00-000036000000}"/>
              </a:ext>
            </a:extLst>
          </xdr:cNvPr>
          <xdr:cNvSpPr>
            <a:spLocks noChangeArrowheads="1"/>
          </xdr:cNvSpPr>
        </xdr:nvSpPr>
        <xdr:spPr bwMode="auto">
          <a:xfrm>
            <a:off x="1693"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5" name="Rectangle 2">
            <a:extLst>
              <a:ext uri="{FF2B5EF4-FFF2-40B4-BE49-F238E27FC236}">
                <a16:creationId xmlns:a16="http://schemas.microsoft.com/office/drawing/2014/main" id="{00000000-0008-0000-0A00-000037000000}"/>
              </a:ext>
            </a:extLst>
          </xdr:cNvPr>
          <xdr:cNvSpPr>
            <a:spLocks noChangeArrowheads="1"/>
          </xdr:cNvSpPr>
        </xdr:nvSpPr>
        <xdr:spPr bwMode="auto">
          <a:xfrm>
            <a:off x="754" y="36"/>
            <a:ext cx="88" cy="239"/>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twoCellAnchor>
    <xdr:from>
      <xdr:col>5</xdr:col>
      <xdr:colOff>38100</xdr:colOff>
      <xdr:row>101</xdr:row>
      <xdr:rowOff>171450</xdr:rowOff>
    </xdr:from>
    <xdr:to>
      <xdr:col>12</xdr:col>
      <xdr:colOff>619125</xdr:colOff>
      <xdr:row>104</xdr:row>
      <xdr:rowOff>133350</xdr:rowOff>
    </xdr:to>
    <xdr:grpSp>
      <xdr:nvGrpSpPr>
        <xdr:cNvPr id="56" name="Group 1">
          <a:extLst>
            <a:ext uri="{FF2B5EF4-FFF2-40B4-BE49-F238E27FC236}">
              <a16:creationId xmlns:a16="http://schemas.microsoft.com/office/drawing/2014/main" id="{00000000-0008-0000-0A00-000038000000}"/>
            </a:ext>
          </a:extLst>
        </xdr:cNvPr>
        <xdr:cNvGrpSpPr>
          <a:grpSpLocks noChangeAspect="1"/>
        </xdr:cNvGrpSpPr>
      </xdr:nvGrpSpPr>
      <xdr:grpSpPr bwMode="auto">
        <a:xfrm>
          <a:off x="5697071" y="17652626"/>
          <a:ext cx="5362761" cy="488577"/>
          <a:chOff x="0" y="-122"/>
          <a:chExt cx="7375" cy="815"/>
        </a:xfrm>
      </xdr:grpSpPr>
      <xdr:sp macro="" textlink="">
        <xdr:nvSpPr>
          <xdr:cNvPr id="57" name="AutoShape 33">
            <a:extLst>
              <a:ext uri="{FF2B5EF4-FFF2-40B4-BE49-F238E27FC236}">
                <a16:creationId xmlns:a16="http://schemas.microsoft.com/office/drawing/2014/main" id="{00000000-0008-0000-0A00-000039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58" name="Rectangle 32">
            <a:extLst>
              <a:ext uri="{FF2B5EF4-FFF2-40B4-BE49-F238E27FC236}">
                <a16:creationId xmlns:a16="http://schemas.microsoft.com/office/drawing/2014/main" id="{00000000-0008-0000-0A00-00003A000000}"/>
              </a:ext>
            </a:extLst>
          </xdr:cNvPr>
          <xdr:cNvSpPr>
            <a:spLocks noChangeArrowheads="1"/>
          </xdr:cNvSpPr>
        </xdr:nvSpPr>
        <xdr:spPr bwMode="auto">
          <a:xfrm>
            <a:off x="1830"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59" name="Rectangle 31">
            <a:extLst>
              <a:ext uri="{FF2B5EF4-FFF2-40B4-BE49-F238E27FC236}">
                <a16:creationId xmlns:a16="http://schemas.microsoft.com/office/drawing/2014/main" id="{00000000-0008-0000-0A00-00003B000000}"/>
              </a:ext>
            </a:extLst>
          </xdr:cNvPr>
          <xdr:cNvSpPr>
            <a:spLocks noChangeArrowheads="1"/>
          </xdr:cNvSpPr>
        </xdr:nvSpPr>
        <xdr:spPr bwMode="auto">
          <a:xfrm>
            <a:off x="3778"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60" name="Rectangle 30">
            <a:extLst>
              <a:ext uri="{FF2B5EF4-FFF2-40B4-BE49-F238E27FC236}">
                <a16:creationId xmlns:a16="http://schemas.microsoft.com/office/drawing/2014/main" id="{00000000-0008-0000-0A00-00003C000000}"/>
              </a:ext>
            </a:extLst>
          </xdr:cNvPr>
          <xdr:cNvSpPr>
            <a:spLocks noChangeArrowheads="1"/>
          </xdr:cNvSpPr>
        </xdr:nvSpPr>
        <xdr:spPr bwMode="auto">
          <a:xfrm>
            <a:off x="911"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61" name="Rectangle 29">
            <a:extLst>
              <a:ext uri="{FF2B5EF4-FFF2-40B4-BE49-F238E27FC236}">
                <a16:creationId xmlns:a16="http://schemas.microsoft.com/office/drawing/2014/main" id="{00000000-0008-0000-0A00-00003D000000}"/>
              </a:ext>
            </a:extLst>
          </xdr:cNvPr>
          <xdr:cNvSpPr>
            <a:spLocks noChangeArrowheads="1"/>
          </xdr:cNvSpPr>
        </xdr:nvSpPr>
        <xdr:spPr bwMode="auto">
          <a:xfrm>
            <a:off x="4558"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62" name="Rectangle 61">
            <a:extLst>
              <a:ext uri="{FF2B5EF4-FFF2-40B4-BE49-F238E27FC236}">
                <a16:creationId xmlns:a16="http://schemas.microsoft.com/office/drawing/2014/main" id="{00000000-0008-0000-0A00-00003E000000}"/>
              </a:ext>
            </a:extLst>
          </xdr:cNvPr>
          <xdr:cNvSpPr>
            <a:spLocks noChangeArrowheads="1"/>
          </xdr:cNvSpPr>
        </xdr:nvSpPr>
        <xdr:spPr bwMode="auto">
          <a:xfrm>
            <a:off x="4832"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63" name="Rectangle 27">
            <a:extLst>
              <a:ext uri="{FF2B5EF4-FFF2-40B4-BE49-F238E27FC236}">
                <a16:creationId xmlns:a16="http://schemas.microsoft.com/office/drawing/2014/main" id="{00000000-0008-0000-0A00-00003F000000}"/>
              </a:ext>
            </a:extLst>
          </xdr:cNvPr>
          <xdr:cNvSpPr>
            <a:spLocks noChangeArrowheads="1"/>
          </xdr:cNvSpPr>
        </xdr:nvSpPr>
        <xdr:spPr bwMode="auto">
          <a:xfrm>
            <a:off x="7192" y="-122"/>
            <a:ext cx="101"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64" name="Rectangle 26">
            <a:extLst>
              <a:ext uri="{FF2B5EF4-FFF2-40B4-BE49-F238E27FC236}">
                <a16:creationId xmlns:a16="http://schemas.microsoft.com/office/drawing/2014/main" id="{00000000-0008-0000-0A00-00004000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65" name="Rectangle 25">
            <a:extLst>
              <a:ext uri="{FF2B5EF4-FFF2-40B4-BE49-F238E27FC236}">
                <a16:creationId xmlns:a16="http://schemas.microsoft.com/office/drawing/2014/main" id="{00000000-0008-0000-0A00-00004100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66" name="Rectangle 24">
            <a:extLst>
              <a:ext uri="{FF2B5EF4-FFF2-40B4-BE49-F238E27FC236}">
                <a16:creationId xmlns:a16="http://schemas.microsoft.com/office/drawing/2014/main" id="{00000000-0008-0000-0A00-00004200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67" name="Rectangle 23">
            <a:extLst>
              <a:ext uri="{FF2B5EF4-FFF2-40B4-BE49-F238E27FC236}">
                <a16:creationId xmlns:a16="http://schemas.microsoft.com/office/drawing/2014/main" id="{00000000-0008-0000-0A00-00004300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68" name="Rectangle 22">
            <a:extLst>
              <a:ext uri="{FF2B5EF4-FFF2-40B4-BE49-F238E27FC236}">
                <a16:creationId xmlns:a16="http://schemas.microsoft.com/office/drawing/2014/main" id="{00000000-0008-0000-0A00-00004400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69" name="Rectangle 21">
            <a:extLst>
              <a:ext uri="{FF2B5EF4-FFF2-40B4-BE49-F238E27FC236}">
                <a16:creationId xmlns:a16="http://schemas.microsoft.com/office/drawing/2014/main" id="{00000000-0008-0000-0A00-00004500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70" name="Rectangle 20">
            <a:extLst>
              <a:ext uri="{FF2B5EF4-FFF2-40B4-BE49-F238E27FC236}">
                <a16:creationId xmlns:a16="http://schemas.microsoft.com/office/drawing/2014/main" id="{00000000-0008-0000-0A00-00004600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71" name="Rectangle 19">
            <a:extLst>
              <a:ext uri="{FF2B5EF4-FFF2-40B4-BE49-F238E27FC236}">
                <a16:creationId xmlns:a16="http://schemas.microsoft.com/office/drawing/2014/main" id="{00000000-0008-0000-0A00-00004700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72" name="Rectangle 18">
            <a:extLst>
              <a:ext uri="{FF2B5EF4-FFF2-40B4-BE49-F238E27FC236}">
                <a16:creationId xmlns:a16="http://schemas.microsoft.com/office/drawing/2014/main" id="{00000000-0008-0000-0A00-00004800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73" name="Rectangle 17">
            <a:extLst>
              <a:ext uri="{FF2B5EF4-FFF2-40B4-BE49-F238E27FC236}">
                <a16:creationId xmlns:a16="http://schemas.microsoft.com/office/drawing/2014/main" id="{00000000-0008-0000-0A00-00004900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74" name="Rectangle 16">
            <a:extLst>
              <a:ext uri="{FF2B5EF4-FFF2-40B4-BE49-F238E27FC236}">
                <a16:creationId xmlns:a16="http://schemas.microsoft.com/office/drawing/2014/main" id="{00000000-0008-0000-0A00-00004A000000}"/>
              </a:ext>
            </a:extLst>
          </xdr:cNvPr>
          <xdr:cNvSpPr>
            <a:spLocks noChangeArrowheads="1"/>
          </xdr:cNvSpPr>
        </xdr:nvSpPr>
        <xdr:spPr bwMode="auto">
          <a:xfrm>
            <a:off x="6654" y="57"/>
            <a:ext cx="34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75" name="Rectangle 15">
            <a:extLst>
              <a:ext uri="{FF2B5EF4-FFF2-40B4-BE49-F238E27FC236}">
                <a16:creationId xmlns:a16="http://schemas.microsoft.com/office/drawing/2014/main" id="{00000000-0008-0000-0A00-00004B000000}"/>
              </a:ext>
            </a:extLst>
          </xdr:cNvPr>
          <xdr:cNvSpPr>
            <a:spLocks noChangeArrowheads="1"/>
          </xdr:cNvSpPr>
        </xdr:nvSpPr>
        <xdr:spPr bwMode="auto">
          <a:xfrm>
            <a:off x="5475" y="57"/>
            <a:ext cx="73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76" name="Rectangle 14">
            <a:extLst>
              <a:ext uri="{FF2B5EF4-FFF2-40B4-BE49-F238E27FC236}">
                <a16:creationId xmlns:a16="http://schemas.microsoft.com/office/drawing/2014/main" id="{00000000-0008-0000-0A00-00004C000000}"/>
              </a:ext>
            </a:extLst>
          </xdr:cNvPr>
          <xdr:cNvSpPr>
            <a:spLocks noChangeArrowheads="1"/>
          </xdr:cNvSpPr>
        </xdr:nvSpPr>
        <xdr:spPr bwMode="auto">
          <a:xfrm>
            <a:off x="4886" y="57"/>
            <a:ext cx="2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77" name="Rectangle 13">
            <a:extLst>
              <a:ext uri="{FF2B5EF4-FFF2-40B4-BE49-F238E27FC236}">
                <a16:creationId xmlns:a16="http://schemas.microsoft.com/office/drawing/2014/main" id="{00000000-0008-0000-0A00-00004D000000}"/>
              </a:ext>
            </a:extLst>
          </xdr:cNvPr>
          <xdr:cNvSpPr>
            <a:spLocks noChangeArrowheads="1"/>
          </xdr:cNvSpPr>
        </xdr:nvSpPr>
        <xdr:spPr bwMode="auto">
          <a:xfrm>
            <a:off x="4076" y="57"/>
            <a:ext cx="34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78" name="Rectangle 12">
            <a:extLst>
              <a:ext uri="{FF2B5EF4-FFF2-40B4-BE49-F238E27FC236}">
                <a16:creationId xmlns:a16="http://schemas.microsoft.com/office/drawing/2014/main" id="{00000000-0008-0000-0A00-00004E000000}"/>
              </a:ext>
            </a:extLst>
          </xdr:cNvPr>
          <xdr:cNvSpPr>
            <a:spLocks noChangeArrowheads="1"/>
          </xdr:cNvSpPr>
        </xdr:nvSpPr>
        <xdr:spPr bwMode="auto">
          <a:xfrm>
            <a:off x="2846" y="57"/>
            <a:ext cx="73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79" name="Rectangle 11">
            <a:extLst>
              <a:ext uri="{FF2B5EF4-FFF2-40B4-BE49-F238E27FC236}">
                <a16:creationId xmlns:a16="http://schemas.microsoft.com/office/drawing/2014/main" id="{00000000-0008-0000-0A00-00004F000000}"/>
              </a:ext>
            </a:extLst>
          </xdr:cNvPr>
          <xdr:cNvSpPr>
            <a:spLocks noChangeArrowheads="1"/>
          </xdr:cNvSpPr>
        </xdr:nvSpPr>
        <xdr:spPr bwMode="auto">
          <a:xfrm>
            <a:off x="1884" y="57"/>
            <a:ext cx="56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80" name="Rectangle 10">
            <a:extLst>
              <a:ext uri="{FF2B5EF4-FFF2-40B4-BE49-F238E27FC236}">
                <a16:creationId xmlns:a16="http://schemas.microsoft.com/office/drawing/2014/main" id="{00000000-0008-0000-0A00-000050000000}"/>
              </a:ext>
            </a:extLst>
          </xdr:cNvPr>
          <xdr:cNvSpPr>
            <a:spLocks noChangeArrowheads="1"/>
          </xdr:cNvSpPr>
        </xdr:nvSpPr>
        <xdr:spPr bwMode="auto">
          <a:xfrm>
            <a:off x="953" y="57"/>
            <a:ext cx="572"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81" name="Rectangle 9">
            <a:extLst>
              <a:ext uri="{FF2B5EF4-FFF2-40B4-BE49-F238E27FC236}">
                <a16:creationId xmlns:a16="http://schemas.microsoft.com/office/drawing/2014/main" id="{00000000-0008-0000-0A00-000051000000}"/>
              </a:ext>
            </a:extLst>
          </xdr:cNvPr>
          <xdr:cNvSpPr>
            <a:spLocks noChangeArrowheads="1"/>
          </xdr:cNvSpPr>
        </xdr:nvSpPr>
        <xdr:spPr bwMode="auto">
          <a:xfrm>
            <a:off x="43" y="57"/>
            <a:ext cx="45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82" name="Rectangle 8">
            <a:extLst>
              <a:ext uri="{FF2B5EF4-FFF2-40B4-BE49-F238E27FC236}">
                <a16:creationId xmlns:a16="http://schemas.microsoft.com/office/drawing/2014/main" id="{00000000-0008-0000-0A00-00005200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3" name="Rectangle 7">
            <a:extLst>
              <a:ext uri="{FF2B5EF4-FFF2-40B4-BE49-F238E27FC236}">
                <a16:creationId xmlns:a16="http://schemas.microsoft.com/office/drawing/2014/main" id="{00000000-0008-0000-0A00-00005300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4" name="Rectangle 6">
            <a:extLst>
              <a:ext uri="{FF2B5EF4-FFF2-40B4-BE49-F238E27FC236}">
                <a16:creationId xmlns:a16="http://schemas.microsoft.com/office/drawing/2014/main" id="{00000000-0008-0000-0A00-00005400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5" name="Rectangle 5">
            <a:extLst>
              <a:ext uri="{FF2B5EF4-FFF2-40B4-BE49-F238E27FC236}">
                <a16:creationId xmlns:a16="http://schemas.microsoft.com/office/drawing/2014/main" id="{00000000-0008-0000-0A00-00005500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6" name="Rectangle 4">
            <a:extLst>
              <a:ext uri="{FF2B5EF4-FFF2-40B4-BE49-F238E27FC236}">
                <a16:creationId xmlns:a16="http://schemas.microsoft.com/office/drawing/2014/main" id="{00000000-0008-0000-0A00-00005600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7" name="Rectangle 3">
            <a:extLst>
              <a:ext uri="{FF2B5EF4-FFF2-40B4-BE49-F238E27FC236}">
                <a16:creationId xmlns:a16="http://schemas.microsoft.com/office/drawing/2014/main" id="{00000000-0008-0000-0A00-00005700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88" name="Rectangle 2">
            <a:extLst>
              <a:ext uri="{FF2B5EF4-FFF2-40B4-BE49-F238E27FC236}">
                <a16:creationId xmlns:a16="http://schemas.microsoft.com/office/drawing/2014/main" id="{00000000-0008-0000-0A00-00005800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76762</xdr:colOff>
      <xdr:row>17</xdr:row>
      <xdr:rowOff>31377</xdr:rowOff>
    </xdr:from>
    <xdr:to>
      <xdr:col>14</xdr:col>
      <xdr:colOff>24655</xdr:colOff>
      <xdr:row>25</xdr:row>
      <xdr:rowOff>31377</xdr:rowOff>
    </xdr:to>
    <xdr:sp macro="" textlink="">
      <xdr:nvSpPr>
        <xdr:cNvPr id="3" name="Up Arrow Callout 2">
          <a:extLst>
            <a:ext uri="{FF2B5EF4-FFF2-40B4-BE49-F238E27FC236}">
              <a16:creationId xmlns:a16="http://schemas.microsoft.com/office/drawing/2014/main" id="{00000000-0008-0000-0B00-000003000000}"/>
            </a:ext>
          </a:extLst>
        </xdr:cNvPr>
        <xdr:cNvSpPr/>
      </xdr:nvSpPr>
      <xdr:spPr>
        <a:xfrm>
          <a:off x="11730880" y="3028951"/>
          <a:ext cx="990040" cy="1271867"/>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2021/22</a:t>
          </a:r>
          <a:r>
            <a:rPr lang="en-GB" sz="1100" baseline="0"/>
            <a:t> </a:t>
          </a:r>
          <a:r>
            <a:rPr lang="en-GB" sz="1100"/>
            <a:t>is the first year of 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SPT/SPTL_Revenue_Return_Model-(Lega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RIIO-T1%20NGET%20Revenue%20Reporting%20Template%2013-14%20(as%20per%20NG%20Comments)%20-%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NG/2019-20%20NGET%20Revenue%20RRP%20Legac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Cadent/East%20Revenue%20RRP%20Update%20for%20LARt_submis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ofgem.gov.uk/Amrita/Revenue%20Returns/2012-13%20returns/2013_NGET_RRP_B16_Revenue_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2014_15_SHE_Revenue_Return_Model%20-%20TEMPLATE%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harepoint2010/sgg/CO/Cost_and_Outputs_Lib/Transmission/RIIO_Reporting/RIGs_Development/RIGs_2016_17/2_Notice/2015-16_NGET_Revenue_Return_Model%20_Updated_Oct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Legacy for Ofgem"/>
    </sheetNames>
    <sheetDataSet>
      <sheetData sheetId="0"/>
      <sheetData sheetId="1"/>
      <sheetData sheetId="2"/>
      <sheetData sheetId="3"/>
      <sheetData sheetId="4">
        <row r="9">
          <cell r="F9">
            <v>225.12200000000001</v>
          </cell>
          <cell r="G9">
            <v>236.95</v>
          </cell>
          <cell r="H9">
            <v>258.63299999999998</v>
          </cell>
          <cell r="I9">
            <v>244.655</v>
          </cell>
          <cell r="J9">
            <v>249.43899999999999</v>
          </cell>
          <cell r="K9">
            <v>253.065</v>
          </cell>
          <cell r="L9">
            <v>256.44499999999999</v>
          </cell>
          <cell r="M9">
            <v>254.238</v>
          </cell>
        </row>
        <row r="12">
          <cell r="F12">
            <v>24.1</v>
          </cell>
          <cell r="G12">
            <v>24.1</v>
          </cell>
          <cell r="H12">
            <v>24.1</v>
          </cell>
          <cell r="I12">
            <v>24.1</v>
          </cell>
          <cell r="J12">
            <v>24.1</v>
          </cell>
          <cell r="K12">
            <v>24.1</v>
          </cell>
          <cell r="L12">
            <v>24.1</v>
          </cell>
          <cell r="M12">
            <v>24.1</v>
          </cell>
        </row>
        <row r="22">
          <cell r="F22">
            <v>1.6E-2</v>
          </cell>
          <cell r="G22">
            <v>1.6E-2</v>
          </cell>
          <cell r="H22">
            <v>1.6E-2</v>
          </cell>
          <cell r="I22">
            <v>1.6E-2</v>
          </cell>
          <cell r="J22">
            <v>1.6E-2</v>
          </cell>
          <cell r="K22">
            <v>1.6E-2</v>
          </cell>
          <cell r="L22">
            <v>1.6E-2</v>
          </cell>
          <cell r="M22">
            <v>1.6E-2</v>
          </cell>
          <cell r="N22" t="str">
            <v>VOLL</v>
          </cell>
        </row>
        <row r="23">
          <cell r="F23">
            <v>225</v>
          </cell>
          <cell r="G23">
            <v>225</v>
          </cell>
          <cell r="H23">
            <v>225</v>
          </cell>
          <cell r="I23">
            <v>225</v>
          </cell>
          <cell r="J23">
            <v>225</v>
          </cell>
          <cell r="K23">
            <v>225</v>
          </cell>
          <cell r="L23">
            <v>225</v>
          </cell>
          <cell r="M23">
            <v>225</v>
          </cell>
        </row>
        <row r="24">
          <cell r="F24">
            <v>0.03</v>
          </cell>
          <cell r="G24">
            <v>0.03</v>
          </cell>
          <cell r="H24">
            <v>0.03</v>
          </cell>
          <cell r="I24">
            <v>0.03</v>
          </cell>
          <cell r="J24">
            <v>0.03</v>
          </cell>
          <cell r="K24">
            <v>0.03</v>
          </cell>
          <cell r="L24">
            <v>0.03</v>
          </cell>
          <cell r="M24">
            <v>0.03</v>
          </cell>
        </row>
        <row r="40">
          <cell r="F40">
            <v>0.5</v>
          </cell>
          <cell r="G40">
            <v>0.5</v>
          </cell>
          <cell r="H40">
            <v>0.5</v>
          </cell>
          <cell r="I40">
            <v>0.5</v>
          </cell>
          <cell r="J40">
            <v>0.5</v>
          </cell>
          <cell r="K40">
            <v>0.5</v>
          </cell>
          <cell r="L40">
            <v>0.5</v>
          </cell>
          <cell r="M40">
            <v>0.5</v>
          </cell>
        </row>
        <row r="42">
          <cell r="F42">
            <v>5.0000000000000001E-3</v>
          </cell>
          <cell r="G42">
            <v>5.0000000000000001E-3</v>
          </cell>
          <cell r="H42">
            <v>5.0000000000000001E-3</v>
          </cell>
          <cell r="I42">
            <v>5.0000000000000001E-3</v>
          </cell>
          <cell r="J42">
            <v>5.0000000000000001E-3</v>
          </cell>
          <cell r="K42">
            <v>5.0000000000000001E-3</v>
          </cell>
          <cell r="L42">
            <v>5.0000000000000001E-3</v>
          </cell>
          <cell r="M42">
            <v>5.0000000000000001E-3</v>
          </cell>
        </row>
        <row r="45">
          <cell r="F45">
            <v>23.9</v>
          </cell>
          <cell r="G45">
            <v>23.9</v>
          </cell>
          <cell r="H45">
            <v>23.9</v>
          </cell>
          <cell r="I45">
            <v>23.9</v>
          </cell>
          <cell r="J45">
            <v>23.9</v>
          </cell>
          <cell r="K45">
            <v>23.9</v>
          </cell>
          <cell r="L45">
            <v>23.9</v>
          </cell>
          <cell r="M45">
            <v>23.9</v>
          </cell>
        </row>
        <row r="49">
          <cell r="F49">
            <v>0</v>
          </cell>
          <cell r="G49">
            <v>0</v>
          </cell>
          <cell r="H49">
            <v>0</v>
          </cell>
          <cell r="I49">
            <v>7.4</v>
          </cell>
          <cell r="J49">
            <v>7.4</v>
          </cell>
          <cell r="K49">
            <v>7.4</v>
          </cell>
          <cell r="L49">
            <v>7.4</v>
          </cell>
          <cell r="M49">
            <v>7.4</v>
          </cell>
        </row>
        <row r="50">
          <cell r="F50">
            <v>0</v>
          </cell>
          <cell r="G50">
            <v>0</v>
          </cell>
          <cell r="H50">
            <v>0</v>
          </cell>
          <cell r="I50">
            <v>9</v>
          </cell>
          <cell r="J50">
            <v>9</v>
          </cell>
          <cell r="K50">
            <v>9</v>
          </cell>
          <cell r="L50">
            <v>9</v>
          </cell>
          <cell r="M50">
            <v>9</v>
          </cell>
        </row>
        <row r="51">
          <cell r="F51">
            <v>0</v>
          </cell>
          <cell r="G51">
            <v>0</v>
          </cell>
          <cell r="H51">
            <v>0</v>
          </cell>
          <cell r="I51">
            <v>5.8</v>
          </cell>
          <cell r="J51">
            <v>5.8</v>
          </cell>
          <cell r="K51">
            <v>5.8</v>
          </cell>
          <cell r="L51">
            <v>5.8</v>
          </cell>
          <cell r="M51">
            <v>5.8</v>
          </cell>
        </row>
        <row r="52">
          <cell r="F52">
            <v>1</v>
          </cell>
          <cell r="G52">
            <v>1</v>
          </cell>
          <cell r="H52">
            <v>1</v>
          </cell>
          <cell r="I52">
            <v>1</v>
          </cell>
          <cell r="J52">
            <v>1</v>
          </cell>
          <cell r="K52">
            <v>1</v>
          </cell>
          <cell r="L52">
            <v>1</v>
          </cell>
          <cell r="M52">
            <v>1</v>
          </cell>
        </row>
        <row r="53">
          <cell r="F53">
            <v>-1</v>
          </cell>
          <cell r="G53">
            <v>-1</v>
          </cell>
          <cell r="H53">
            <v>-1</v>
          </cell>
          <cell r="I53">
            <v>-1</v>
          </cell>
          <cell r="J53">
            <v>-1</v>
          </cell>
          <cell r="K53">
            <v>-1</v>
          </cell>
          <cell r="L53">
            <v>-1</v>
          </cell>
          <cell r="M53">
            <v>-1</v>
          </cell>
        </row>
        <row r="54">
          <cell r="F54">
            <v>5.0000000000000001E-3</v>
          </cell>
          <cell r="G54">
            <v>5.0000000000000001E-3</v>
          </cell>
          <cell r="H54">
            <v>5.0000000000000001E-3</v>
          </cell>
          <cell r="I54">
            <v>5.0000000000000001E-3</v>
          </cell>
          <cell r="J54">
            <v>5.0000000000000001E-3</v>
          </cell>
          <cell r="K54">
            <v>5.0000000000000001E-3</v>
          </cell>
          <cell r="L54">
            <v>5.0000000000000001E-3</v>
          </cell>
          <cell r="M54">
            <v>5.0000000000000001E-3</v>
          </cell>
        </row>
        <row r="55">
          <cell r="F55">
            <v>0</v>
          </cell>
          <cell r="G55">
            <v>0</v>
          </cell>
          <cell r="H55">
            <v>0</v>
          </cell>
          <cell r="I55">
            <v>0.6</v>
          </cell>
          <cell r="J55">
            <v>0.6</v>
          </cell>
          <cell r="K55">
            <v>0.6</v>
          </cell>
          <cell r="L55">
            <v>0.6</v>
          </cell>
          <cell r="M55">
            <v>0.6</v>
          </cell>
        </row>
        <row r="58">
          <cell r="F58">
            <v>0</v>
          </cell>
          <cell r="G58">
            <v>0</v>
          </cell>
          <cell r="H58">
            <v>0</v>
          </cell>
          <cell r="I58">
            <v>69</v>
          </cell>
          <cell r="J58">
            <v>69</v>
          </cell>
          <cell r="K58">
            <v>69</v>
          </cell>
          <cell r="L58">
            <v>69</v>
          </cell>
          <cell r="M58">
            <v>69</v>
          </cell>
        </row>
        <row r="59">
          <cell r="F59">
            <v>0</v>
          </cell>
          <cell r="G59">
            <v>0</v>
          </cell>
          <cell r="H59">
            <v>0</v>
          </cell>
          <cell r="I59">
            <v>85</v>
          </cell>
          <cell r="J59">
            <v>85</v>
          </cell>
          <cell r="K59">
            <v>85</v>
          </cell>
          <cell r="L59">
            <v>85</v>
          </cell>
          <cell r="M59">
            <v>85</v>
          </cell>
        </row>
        <row r="60">
          <cell r="F60">
            <v>1</v>
          </cell>
          <cell r="G60">
            <v>1</v>
          </cell>
          <cell r="H60">
            <v>1</v>
          </cell>
          <cell r="I60">
            <v>1</v>
          </cell>
          <cell r="J60">
            <v>1</v>
          </cell>
          <cell r="K60">
            <v>1</v>
          </cell>
          <cell r="L60">
            <v>1</v>
          </cell>
          <cell r="M60">
            <v>1</v>
          </cell>
        </row>
        <row r="61">
          <cell r="F61">
            <v>0</v>
          </cell>
          <cell r="G61">
            <v>0</v>
          </cell>
          <cell r="H61">
            <v>0</v>
          </cell>
          <cell r="I61">
            <v>53</v>
          </cell>
          <cell r="J61">
            <v>53</v>
          </cell>
          <cell r="K61">
            <v>53</v>
          </cell>
          <cell r="L61">
            <v>53</v>
          </cell>
          <cell r="M61">
            <v>53</v>
          </cell>
        </row>
        <row r="62">
          <cell r="F62">
            <v>-1</v>
          </cell>
          <cell r="G62">
            <v>-1</v>
          </cell>
          <cell r="H62">
            <v>-1</v>
          </cell>
          <cell r="I62">
            <v>-1</v>
          </cell>
          <cell r="J62">
            <v>-1</v>
          </cell>
          <cell r="K62">
            <v>-1</v>
          </cell>
          <cell r="L62">
            <v>-1</v>
          </cell>
          <cell r="M62">
            <v>-1</v>
          </cell>
        </row>
        <row r="63">
          <cell r="F63">
            <v>0</v>
          </cell>
          <cell r="G63">
            <v>0</v>
          </cell>
          <cell r="H63">
            <v>0</v>
          </cell>
          <cell r="I63">
            <v>0.3</v>
          </cell>
          <cell r="J63">
            <v>0.3</v>
          </cell>
          <cell r="K63">
            <v>0.3</v>
          </cell>
          <cell r="L63">
            <v>0.3</v>
          </cell>
          <cell r="M63">
            <v>0.3</v>
          </cell>
        </row>
        <row r="65">
          <cell r="F65">
            <v>0.1</v>
          </cell>
          <cell r="G65">
            <v>0.1</v>
          </cell>
          <cell r="H65">
            <v>0.1</v>
          </cell>
          <cell r="I65">
            <v>0.1</v>
          </cell>
          <cell r="J65">
            <v>0.1</v>
          </cell>
          <cell r="K65">
            <v>0.1</v>
          </cell>
          <cell r="L65">
            <v>0.1</v>
          </cell>
          <cell r="M65">
            <v>0.1</v>
          </cell>
        </row>
        <row r="70">
          <cell r="F70">
            <v>0.9</v>
          </cell>
          <cell r="G70">
            <v>0.9</v>
          </cell>
          <cell r="H70">
            <v>0.9</v>
          </cell>
          <cell r="I70">
            <v>0.9</v>
          </cell>
          <cell r="J70">
            <v>0.9</v>
          </cell>
          <cell r="K70">
            <v>0.9</v>
          </cell>
          <cell r="L70">
            <v>0.9</v>
          </cell>
          <cell r="M70">
            <v>0.9</v>
          </cell>
        </row>
        <row r="75">
          <cell r="F75">
            <v>0</v>
          </cell>
          <cell r="G75">
            <v>0</v>
          </cell>
          <cell r="H75">
            <v>0</v>
          </cell>
          <cell r="I75">
            <v>0</v>
          </cell>
          <cell r="J75">
            <v>0</v>
          </cell>
          <cell r="K75">
            <v>0</v>
          </cell>
          <cell r="L75">
            <v>0</v>
          </cell>
          <cell r="M75">
            <v>0</v>
          </cell>
        </row>
        <row r="76">
          <cell r="F76">
            <v>53.652000000000001</v>
          </cell>
          <cell r="G76">
            <v>0</v>
          </cell>
          <cell r="H76">
            <v>0</v>
          </cell>
          <cell r="I76">
            <v>0</v>
          </cell>
          <cell r="J76">
            <v>0</v>
          </cell>
          <cell r="K76">
            <v>0</v>
          </cell>
          <cell r="L76">
            <v>0</v>
          </cell>
          <cell r="M76">
            <v>0</v>
          </cell>
        </row>
        <row r="77">
          <cell r="F77">
            <v>2.855</v>
          </cell>
          <cell r="G77">
            <v>0</v>
          </cell>
          <cell r="H77">
            <v>0</v>
          </cell>
          <cell r="I77">
            <v>0</v>
          </cell>
          <cell r="J77">
            <v>0</v>
          </cell>
          <cell r="K77">
            <v>0</v>
          </cell>
          <cell r="L77">
            <v>0</v>
          </cell>
          <cell r="M77">
            <v>0</v>
          </cell>
        </row>
        <row r="78">
          <cell r="F78">
            <v>0</v>
          </cell>
          <cell r="G78">
            <v>0</v>
          </cell>
          <cell r="H78">
            <v>0</v>
          </cell>
          <cell r="I78">
            <v>0</v>
          </cell>
          <cell r="J78">
            <v>152.88</v>
          </cell>
          <cell r="K78">
            <v>0</v>
          </cell>
          <cell r="L78">
            <v>0</v>
          </cell>
          <cell r="M78">
            <v>0</v>
          </cell>
        </row>
        <row r="79">
          <cell r="F79">
            <v>0</v>
          </cell>
          <cell r="G79">
            <v>0</v>
          </cell>
          <cell r="H79">
            <v>0</v>
          </cell>
          <cell r="I79">
            <v>0</v>
          </cell>
          <cell r="J79">
            <v>7.6440000000000001</v>
          </cell>
          <cell r="K79">
            <v>7.6440000000000001</v>
          </cell>
          <cell r="L79">
            <v>7.6440000000000001</v>
          </cell>
          <cell r="M79">
            <v>7.6440000000000001</v>
          </cell>
        </row>
        <row r="80">
          <cell r="F80">
            <v>0</v>
          </cell>
          <cell r="G80">
            <v>0</v>
          </cell>
          <cell r="H80">
            <v>0</v>
          </cell>
          <cell r="I80">
            <v>0</v>
          </cell>
          <cell r="J80">
            <v>149.05799999999999</v>
          </cell>
          <cell r="K80">
            <v>141.41399999999999</v>
          </cell>
          <cell r="L80">
            <v>133.77000000000001</v>
          </cell>
          <cell r="M80">
            <v>126.126</v>
          </cell>
        </row>
        <row r="82">
          <cell r="F82">
            <v>8.7999999999999995E-2</v>
          </cell>
          <cell r="G82">
            <v>8.7999999999999995E-2</v>
          </cell>
          <cell r="H82">
            <v>8.7999999999999995E-2</v>
          </cell>
          <cell r="I82">
            <v>8.7999999999999995E-2</v>
          </cell>
          <cell r="J82">
            <v>8.7999999999999995E-2</v>
          </cell>
          <cell r="K82">
            <v>8.7999999999999995E-2</v>
          </cell>
          <cell r="L82">
            <v>8.7999999999999995E-2</v>
          </cell>
          <cell r="M82">
            <v>8.7999999999999995E-2</v>
          </cell>
        </row>
        <row r="86">
          <cell r="F86">
            <v>0</v>
          </cell>
          <cell r="G86">
            <v>0</v>
          </cell>
          <cell r="H86">
            <v>0</v>
          </cell>
          <cell r="I86">
            <v>0</v>
          </cell>
          <cell r="J86">
            <v>0</v>
          </cell>
          <cell r="K86">
            <v>0</v>
          </cell>
          <cell r="L86">
            <v>0</v>
          </cell>
          <cell r="M86">
            <v>0</v>
          </cell>
        </row>
        <row r="87">
          <cell r="F87">
            <v>0</v>
          </cell>
          <cell r="G87">
            <v>0</v>
          </cell>
          <cell r="H87">
            <v>0</v>
          </cell>
          <cell r="I87">
            <v>0</v>
          </cell>
          <cell r="J87">
            <v>0</v>
          </cell>
          <cell r="K87">
            <v>0</v>
          </cell>
          <cell r="L87">
            <v>0</v>
          </cell>
          <cell r="M87">
            <v>0</v>
          </cell>
        </row>
        <row r="88">
          <cell r="F88">
            <v>0</v>
          </cell>
          <cell r="G88">
            <v>0</v>
          </cell>
          <cell r="H88">
            <v>0</v>
          </cell>
          <cell r="I88">
            <v>0</v>
          </cell>
          <cell r="J88">
            <v>0</v>
          </cell>
          <cell r="K88">
            <v>0</v>
          </cell>
          <cell r="L88">
            <v>0</v>
          </cell>
          <cell r="M88">
            <v>0</v>
          </cell>
        </row>
        <row r="89">
          <cell r="F89">
            <v>0</v>
          </cell>
          <cell r="G89">
            <v>0</v>
          </cell>
          <cell r="H89">
            <v>0</v>
          </cell>
          <cell r="I89">
            <v>0</v>
          </cell>
          <cell r="J89">
            <v>0</v>
          </cell>
          <cell r="K89">
            <v>0</v>
          </cell>
          <cell r="L89">
            <v>0</v>
          </cell>
          <cell r="M89">
            <v>0</v>
          </cell>
        </row>
        <row r="91">
          <cell r="F91">
            <v>10.019</v>
          </cell>
          <cell r="G91">
            <v>9.4469999999999992</v>
          </cell>
          <cell r="H91">
            <v>8.8740000000000006</v>
          </cell>
          <cell r="I91">
            <v>0</v>
          </cell>
          <cell r="J91">
            <v>0</v>
          </cell>
          <cell r="K91">
            <v>0</v>
          </cell>
          <cell r="L91">
            <v>0</v>
          </cell>
          <cell r="M91">
            <v>0</v>
          </cell>
        </row>
        <row r="96">
          <cell r="F96">
            <v>0</v>
          </cell>
          <cell r="G96">
            <v>0</v>
          </cell>
          <cell r="H96">
            <v>0</v>
          </cell>
          <cell r="I96">
            <v>0</v>
          </cell>
          <cell r="J96">
            <v>0</v>
          </cell>
          <cell r="K96">
            <v>0</v>
          </cell>
          <cell r="L96">
            <v>0</v>
          </cell>
          <cell r="M96">
            <v>0</v>
          </cell>
        </row>
        <row r="97">
          <cell r="F97">
            <v>13.297000000000001</v>
          </cell>
          <cell r="G97">
            <v>33.79</v>
          </cell>
          <cell r="H97">
            <v>0</v>
          </cell>
          <cell r="I97">
            <v>0</v>
          </cell>
          <cell r="J97">
            <v>0</v>
          </cell>
          <cell r="K97">
            <v>0</v>
          </cell>
          <cell r="L97">
            <v>0</v>
          </cell>
          <cell r="M97">
            <v>0</v>
          </cell>
        </row>
        <row r="98">
          <cell r="F98">
            <v>1.0999999999999999E-2</v>
          </cell>
          <cell r="G98">
            <v>1.319</v>
          </cell>
          <cell r="H98">
            <v>0</v>
          </cell>
          <cell r="I98">
            <v>0</v>
          </cell>
          <cell r="J98">
            <v>0</v>
          </cell>
          <cell r="K98">
            <v>0</v>
          </cell>
          <cell r="L98">
            <v>0</v>
          </cell>
          <cell r="M98">
            <v>0</v>
          </cell>
        </row>
        <row r="99">
          <cell r="F99">
            <v>0</v>
          </cell>
          <cell r="G99">
            <v>0</v>
          </cell>
          <cell r="H99">
            <v>0</v>
          </cell>
          <cell r="I99">
            <v>0</v>
          </cell>
          <cell r="J99">
            <v>41.215000000000003</v>
          </cell>
          <cell r="K99">
            <v>0</v>
          </cell>
          <cell r="L99">
            <v>0</v>
          </cell>
          <cell r="M99">
            <v>0</v>
          </cell>
        </row>
        <row r="100">
          <cell r="F100">
            <v>0</v>
          </cell>
          <cell r="G100">
            <v>0</v>
          </cell>
          <cell r="H100">
            <v>0</v>
          </cell>
          <cell r="I100">
            <v>0</v>
          </cell>
          <cell r="J100">
            <v>2.0609999999999999</v>
          </cell>
          <cell r="K100">
            <v>2.0609999999999999</v>
          </cell>
          <cell r="L100">
            <v>2.0609999999999999</v>
          </cell>
          <cell r="M100">
            <v>2.0609999999999999</v>
          </cell>
        </row>
        <row r="101">
          <cell r="F101">
            <v>0</v>
          </cell>
          <cell r="G101">
            <v>0</v>
          </cell>
          <cell r="H101">
            <v>0</v>
          </cell>
          <cell r="I101">
            <v>0</v>
          </cell>
          <cell r="J101">
            <v>40.186</v>
          </cell>
          <cell r="K101">
            <v>38.125</v>
          </cell>
          <cell r="L101">
            <v>36.064</v>
          </cell>
          <cell r="M101">
            <v>34.003</v>
          </cell>
        </row>
        <row r="106">
          <cell r="F106">
            <v>0</v>
          </cell>
          <cell r="G106">
            <v>0</v>
          </cell>
          <cell r="H106">
            <v>0</v>
          </cell>
          <cell r="I106">
            <v>0</v>
          </cell>
          <cell r="J106">
            <v>0</v>
          </cell>
          <cell r="K106">
            <v>0</v>
          </cell>
          <cell r="L106">
            <v>0</v>
          </cell>
          <cell r="M106">
            <v>0</v>
          </cell>
        </row>
        <row r="107">
          <cell r="F107">
            <v>0</v>
          </cell>
          <cell r="G107">
            <v>0</v>
          </cell>
          <cell r="H107">
            <v>0</v>
          </cell>
          <cell r="I107">
            <v>0</v>
          </cell>
          <cell r="J107">
            <v>0</v>
          </cell>
          <cell r="K107">
            <v>0</v>
          </cell>
          <cell r="L107">
            <v>0</v>
          </cell>
          <cell r="M107">
            <v>0</v>
          </cell>
        </row>
        <row r="108">
          <cell r="F108">
            <v>0</v>
          </cell>
          <cell r="G108">
            <v>0</v>
          </cell>
          <cell r="H108">
            <v>0</v>
          </cell>
          <cell r="I108">
            <v>0</v>
          </cell>
          <cell r="J108">
            <v>0</v>
          </cell>
          <cell r="K108">
            <v>0</v>
          </cell>
          <cell r="L108">
            <v>0</v>
          </cell>
          <cell r="M108">
            <v>0</v>
          </cell>
        </row>
        <row r="109">
          <cell r="F109">
            <v>0</v>
          </cell>
          <cell r="G109">
            <v>0</v>
          </cell>
          <cell r="H109">
            <v>0</v>
          </cell>
          <cell r="I109">
            <v>0</v>
          </cell>
          <cell r="J109">
            <v>0</v>
          </cell>
          <cell r="K109">
            <v>0</v>
          </cell>
          <cell r="L109">
            <v>0</v>
          </cell>
          <cell r="M109">
            <v>0</v>
          </cell>
        </row>
        <row r="110">
          <cell r="F110">
            <v>3.919</v>
          </cell>
          <cell r="G110">
            <v>3.919</v>
          </cell>
          <cell r="H110">
            <v>3.919</v>
          </cell>
          <cell r="I110">
            <v>0</v>
          </cell>
          <cell r="J110">
            <v>0</v>
          </cell>
          <cell r="K110">
            <v>0</v>
          </cell>
          <cell r="L110">
            <v>0</v>
          </cell>
          <cell r="M110">
            <v>0</v>
          </cell>
        </row>
        <row r="111">
          <cell r="F111">
            <v>68.564999999999998</v>
          </cell>
          <cell r="G111">
            <v>64.646000000000001</v>
          </cell>
          <cell r="H111">
            <v>60.728999999999999</v>
          </cell>
          <cell r="I111">
            <v>0</v>
          </cell>
          <cell r="J111">
            <v>0</v>
          </cell>
          <cell r="K111">
            <v>0</v>
          </cell>
          <cell r="L111">
            <v>0</v>
          </cell>
          <cell r="M111">
            <v>0</v>
          </cell>
        </row>
        <row r="116">
          <cell r="F116">
            <v>0</v>
          </cell>
          <cell r="G116">
            <v>0</v>
          </cell>
          <cell r="H116">
            <v>0</v>
          </cell>
          <cell r="I116">
            <v>0</v>
          </cell>
          <cell r="J116">
            <v>0</v>
          </cell>
          <cell r="K116">
            <v>0</v>
          </cell>
          <cell r="L116">
            <v>0</v>
          </cell>
          <cell r="M116">
            <v>0</v>
          </cell>
        </row>
        <row r="117">
          <cell r="F117">
            <v>0</v>
          </cell>
          <cell r="G117">
            <v>0</v>
          </cell>
          <cell r="H117">
            <v>0</v>
          </cell>
          <cell r="I117">
            <v>0</v>
          </cell>
          <cell r="J117">
            <v>0</v>
          </cell>
          <cell r="K117">
            <v>0</v>
          </cell>
          <cell r="L117">
            <v>0</v>
          </cell>
          <cell r="M117">
            <v>0</v>
          </cell>
        </row>
        <row r="118">
          <cell r="F118">
            <v>0</v>
          </cell>
          <cell r="G118">
            <v>0</v>
          </cell>
          <cell r="H118">
            <v>0</v>
          </cell>
          <cell r="I118">
            <v>0</v>
          </cell>
          <cell r="J118">
            <v>0</v>
          </cell>
          <cell r="K118">
            <v>0</v>
          </cell>
          <cell r="L118">
            <v>0</v>
          </cell>
          <cell r="M118">
            <v>0</v>
          </cell>
        </row>
        <row r="119">
          <cell r="F119">
            <v>0</v>
          </cell>
          <cell r="G119">
            <v>0</v>
          </cell>
          <cell r="H119">
            <v>0</v>
          </cell>
          <cell r="I119">
            <v>0</v>
          </cell>
          <cell r="J119">
            <v>0</v>
          </cell>
          <cell r="K119">
            <v>0</v>
          </cell>
          <cell r="L119">
            <v>0</v>
          </cell>
          <cell r="M119">
            <v>0</v>
          </cell>
        </row>
        <row r="120">
          <cell r="F120">
            <v>0.96827999999999981</v>
          </cell>
          <cell r="G120">
            <v>0.96827999999999981</v>
          </cell>
          <cell r="H120">
            <v>0</v>
          </cell>
          <cell r="I120">
            <v>0</v>
          </cell>
          <cell r="J120">
            <v>0</v>
          </cell>
          <cell r="K120">
            <v>0</v>
          </cell>
          <cell r="L120">
            <v>0</v>
          </cell>
          <cell r="M120">
            <v>0</v>
          </cell>
        </row>
        <row r="121">
          <cell r="F121">
            <v>15.977</v>
          </cell>
          <cell r="G121">
            <v>15.007999999999999</v>
          </cell>
          <cell r="H121">
            <v>0</v>
          </cell>
          <cell r="I121">
            <v>0</v>
          </cell>
          <cell r="J121">
            <v>0</v>
          </cell>
          <cell r="K121">
            <v>0</v>
          </cell>
          <cell r="L121">
            <v>0</v>
          </cell>
          <cell r="M121">
            <v>0</v>
          </cell>
        </row>
      </sheetData>
      <sheetData sheetId="5">
        <row r="10">
          <cell r="D10">
            <v>1.1000000000000001</v>
          </cell>
          <cell r="E10">
            <v>1.1339999999999999</v>
          </cell>
          <cell r="F10">
            <v>1.167</v>
          </cell>
          <cell r="G10">
            <v>1.19</v>
          </cell>
          <cell r="H10">
            <v>1.202</v>
          </cell>
          <cell r="I10">
            <v>1.228</v>
          </cell>
          <cell r="J10">
            <v>1.274</v>
          </cell>
          <cell r="K10">
            <v>1.3129999999999999</v>
          </cell>
          <cell r="L10">
            <v>1.347</v>
          </cell>
          <cell r="M10">
            <v>1.3779999999999999</v>
          </cell>
        </row>
        <row r="27">
          <cell r="F27">
            <v>0</v>
          </cell>
          <cell r="G27">
            <v>6.2</v>
          </cell>
          <cell r="H27">
            <v>-20.3</v>
          </cell>
          <cell r="I27">
            <v>-21.8</v>
          </cell>
          <cell r="J27">
            <v>-13.5</v>
          </cell>
          <cell r="K27">
            <v>-3.7</v>
          </cell>
          <cell r="L27">
            <v>-1.8</v>
          </cell>
          <cell r="M27">
            <v>-3</v>
          </cell>
          <cell r="N27">
            <v>1.5</v>
          </cell>
          <cell r="O27">
            <v>1.7</v>
          </cell>
        </row>
        <row r="35">
          <cell r="E35">
            <v>240.17</v>
          </cell>
          <cell r="F35">
            <v>279.33</v>
          </cell>
          <cell r="G35">
            <v>322.97000000000003</v>
          </cell>
          <cell r="H35">
            <v>306.41000000000003</v>
          </cell>
          <cell r="I35">
            <v>306.44</v>
          </cell>
          <cell r="J35">
            <v>333.74</v>
          </cell>
          <cell r="K35">
            <v>364.83</v>
          </cell>
          <cell r="L35">
            <v>392.2</v>
          </cell>
        </row>
        <row r="43">
          <cell r="E43">
            <v>4.7500000000000001E-2</v>
          </cell>
          <cell r="F43">
            <v>4.7600000000000003E-2</v>
          </cell>
          <cell r="G43">
            <v>4.65E-2</v>
          </cell>
          <cell r="H43">
            <v>4.5499999999999999E-2</v>
          </cell>
          <cell r="I43">
            <v>4.4600000000000001E-2</v>
          </cell>
          <cell r="J43">
            <v>4.3700000000000003E-2</v>
          </cell>
          <cell r="K43">
            <v>4.2000000000000003E-2</v>
          </cell>
          <cell r="L43">
            <v>4.02E-2</v>
          </cell>
          <cell r="M43">
            <v>3.7499999999999999E-2</v>
          </cell>
          <cell r="N43">
            <v>2.7539999999999999E-2</v>
          </cell>
          <cell r="O43">
            <v>2.7539999999999999E-2</v>
          </cell>
        </row>
        <row r="44">
          <cell r="E44">
            <v>1.0475000000000001</v>
          </cell>
          <cell r="F44">
            <v>1.0476000000000001</v>
          </cell>
          <cell r="G44">
            <v>1.0465</v>
          </cell>
          <cell r="H44">
            <v>1.0455000000000001</v>
          </cell>
          <cell r="I44">
            <v>1.0446</v>
          </cell>
          <cell r="J44">
            <v>1.0437000000000001</v>
          </cell>
          <cell r="K44">
            <v>1.042</v>
          </cell>
          <cell r="L44">
            <v>1.0402</v>
          </cell>
          <cell r="M44">
            <v>1.0375000000000001</v>
          </cell>
          <cell r="N44">
            <v>1.0275399999999999</v>
          </cell>
          <cell r="O44">
            <v>1.0275399999999999</v>
          </cell>
        </row>
        <row r="47">
          <cell r="E47">
            <v>0.5</v>
          </cell>
          <cell r="F47">
            <v>0.5</v>
          </cell>
          <cell r="G47">
            <v>0.5</v>
          </cell>
          <cell r="H47">
            <v>0.5</v>
          </cell>
          <cell r="I47">
            <v>0.34</v>
          </cell>
          <cell r="J47">
            <v>0.35</v>
          </cell>
          <cell r="K47">
            <v>0.67</v>
          </cell>
          <cell r="L47">
            <v>0.75</v>
          </cell>
          <cell r="M47">
            <v>1</v>
          </cell>
          <cell r="N47">
            <v>1.25</v>
          </cell>
          <cell r="O47">
            <v>1.5</v>
          </cell>
        </row>
        <row r="51">
          <cell r="F51">
            <v>10.55</v>
          </cell>
          <cell r="G51">
            <v>24.71</v>
          </cell>
          <cell r="H51">
            <v>24.896999999999998</v>
          </cell>
          <cell r="I51">
            <v>26.443999999999999</v>
          </cell>
          <cell r="J51">
            <v>34.44</v>
          </cell>
          <cell r="K51">
            <v>35.42</v>
          </cell>
          <cell r="L51">
            <v>36.119999999999997</v>
          </cell>
        </row>
        <row r="53">
          <cell r="F53">
            <v>0</v>
          </cell>
          <cell r="G53">
            <v>0</v>
          </cell>
          <cell r="H53">
            <v>0</v>
          </cell>
          <cell r="I53">
            <v>0</v>
          </cell>
          <cell r="J53">
            <v>0</v>
          </cell>
          <cell r="K53">
            <v>0</v>
          </cell>
          <cell r="L53">
            <v>0</v>
          </cell>
        </row>
        <row r="63">
          <cell r="F63">
            <v>42.13</v>
          </cell>
          <cell r="G63">
            <v>2.8</v>
          </cell>
          <cell r="H63">
            <v>13.879999999999999</v>
          </cell>
          <cell r="I63">
            <v>10.315693333333332</v>
          </cell>
          <cell r="J63">
            <v>3.04</v>
          </cell>
          <cell r="K63">
            <v>39.440291669011657</v>
          </cell>
          <cell r="L63">
            <v>2</v>
          </cell>
        </row>
        <row r="66">
          <cell r="F66">
            <v>7.4</v>
          </cell>
          <cell r="G66">
            <v>7.1</v>
          </cell>
          <cell r="H66">
            <v>6.9</v>
          </cell>
          <cell r="I66">
            <v>7.9</v>
          </cell>
          <cell r="J66">
            <v>8.3000000000000007</v>
          </cell>
          <cell r="K66">
            <v>8.5</v>
          </cell>
          <cell r="L66">
            <v>8.4</v>
          </cell>
        </row>
        <row r="67">
          <cell r="F67">
            <v>0.26</v>
          </cell>
          <cell r="G67">
            <v>0.48299999999999998</v>
          </cell>
          <cell r="H67">
            <v>0.75</v>
          </cell>
          <cell r="I67">
            <v>0.67900000000000005</v>
          </cell>
          <cell r="J67">
            <v>0.78128500000000001</v>
          </cell>
          <cell r="K67">
            <v>0.33730199999999999</v>
          </cell>
        </row>
        <row r="68">
          <cell r="F68">
            <v>68</v>
          </cell>
          <cell r="G68">
            <v>69.16</v>
          </cell>
          <cell r="H68">
            <v>73.099999999999994</v>
          </cell>
          <cell r="I68">
            <v>77</v>
          </cell>
          <cell r="J68">
            <v>77.95</v>
          </cell>
          <cell r="K68">
            <v>70.67</v>
          </cell>
          <cell r="L68">
            <v>77.040000000000006</v>
          </cell>
        </row>
        <row r="69">
          <cell r="F69">
            <v>0.5</v>
          </cell>
          <cell r="G69">
            <v>0.5</v>
          </cell>
          <cell r="H69">
            <v>0.5</v>
          </cell>
          <cell r="I69">
            <v>1</v>
          </cell>
          <cell r="J69">
            <v>1</v>
          </cell>
          <cell r="K69">
            <v>1</v>
          </cell>
          <cell r="L69">
            <v>1</v>
          </cell>
        </row>
        <row r="72">
          <cell r="D72">
            <v>0.26</v>
          </cell>
          <cell r="E72">
            <v>0.24</v>
          </cell>
          <cell r="F72">
            <v>0.23</v>
          </cell>
          <cell r="G72">
            <v>0.21</v>
          </cell>
          <cell r="H72">
            <v>0.2</v>
          </cell>
          <cell r="I72">
            <v>0.2</v>
          </cell>
          <cell r="J72">
            <v>0.19</v>
          </cell>
          <cell r="K72">
            <v>0.19</v>
          </cell>
          <cell r="L72">
            <v>0.19</v>
          </cell>
          <cell r="M72">
            <v>0.19</v>
          </cell>
        </row>
        <row r="77">
          <cell r="E77">
            <v>570.04012000000023</v>
          </cell>
        </row>
        <row r="78">
          <cell r="F78">
            <v>20.146000000000004</v>
          </cell>
          <cell r="G78">
            <v>19.225499999999997</v>
          </cell>
          <cell r="H78">
            <v>42.866500000000002</v>
          </cell>
          <cell r="I78">
            <v>51.559595000000002</v>
          </cell>
          <cell r="J78">
            <v>5.3808000000000007</v>
          </cell>
          <cell r="K78">
            <v>39.634</v>
          </cell>
          <cell r="L78">
            <v>36.466000000000008</v>
          </cell>
        </row>
        <row r="79">
          <cell r="G79">
            <v>36.974000000000004</v>
          </cell>
          <cell r="H79">
            <v>26.379999999999995</v>
          </cell>
          <cell r="I79">
            <v>97.331999999999994</v>
          </cell>
          <cell r="J79">
            <v>126.75438000000003</v>
          </cell>
          <cell r="K79">
            <v>11.56345</v>
          </cell>
          <cell r="L79">
            <v>41.226499999999994</v>
          </cell>
        </row>
        <row r="80">
          <cell r="F80">
            <v>0</v>
          </cell>
          <cell r="G80">
            <v>21.520800000000001</v>
          </cell>
          <cell r="H80">
            <v>0.7320000000000001</v>
          </cell>
          <cell r="I80">
            <v>0</v>
          </cell>
          <cell r="J80">
            <v>0.18300000000000002</v>
          </cell>
          <cell r="K80">
            <v>12.090200000000003</v>
          </cell>
          <cell r="L80">
            <v>0.44530000000000003</v>
          </cell>
        </row>
        <row r="81">
          <cell r="G81">
            <v>0</v>
          </cell>
          <cell r="H81">
            <v>43.041600000000003</v>
          </cell>
          <cell r="I81">
            <v>0.97600000000000009</v>
          </cell>
          <cell r="J81">
            <v>0</v>
          </cell>
          <cell r="K81">
            <v>0.24400000000000002</v>
          </cell>
          <cell r="L81">
            <v>12.090200000000003</v>
          </cell>
        </row>
        <row r="82">
          <cell r="F82">
            <v>729.5</v>
          </cell>
          <cell r="G82">
            <v>640.01</v>
          </cell>
          <cell r="H82">
            <v>586.4</v>
          </cell>
          <cell r="I82">
            <v>533.52</v>
          </cell>
          <cell r="J82">
            <v>605.4</v>
          </cell>
          <cell r="K82">
            <v>841.15</v>
          </cell>
          <cell r="L82">
            <v>529.78</v>
          </cell>
        </row>
        <row r="83">
          <cell r="F83">
            <v>50</v>
          </cell>
          <cell r="G83">
            <v>51</v>
          </cell>
          <cell r="H83">
            <v>52</v>
          </cell>
          <cell r="I83">
            <v>53</v>
          </cell>
          <cell r="J83">
            <v>54</v>
          </cell>
          <cell r="K83">
            <v>55</v>
          </cell>
          <cell r="L83">
            <v>56</v>
          </cell>
          <cell r="M83">
            <v>57</v>
          </cell>
        </row>
        <row r="85">
          <cell r="F85">
            <v>0</v>
          </cell>
          <cell r="G85">
            <v>0</v>
          </cell>
          <cell r="H85">
            <v>4</v>
          </cell>
          <cell r="I85">
            <v>4</v>
          </cell>
          <cell r="J85">
            <v>0</v>
          </cell>
          <cell r="K85">
            <v>1</v>
          </cell>
        </row>
        <row r="89">
          <cell r="F89">
            <v>2</v>
          </cell>
          <cell r="G89">
            <v>2</v>
          </cell>
          <cell r="H89">
            <v>0</v>
          </cell>
          <cell r="I89">
            <v>0</v>
          </cell>
          <cell r="J89">
            <v>1</v>
          </cell>
          <cell r="K89">
            <v>0</v>
          </cell>
          <cell r="L89">
            <v>0</v>
          </cell>
        </row>
        <row r="90">
          <cell r="F90">
            <v>52</v>
          </cell>
          <cell r="G90">
            <v>88</v>
          </cell>
          <cell r="H90">
            <v>116</v>
          </cell>
          <cell r="I90">
            <v>63</v>
          </cell>
          <cell r="J90">
            <v>60</v>
          </cell>
          <cell r="K90">
            <v>104</v>
          </cell>
          <cell r="L90">
            <v>100</v>
          </cell>
        </row>
        <row r="94">
          <cell r="F94">
            <v>0.47751299999999997</v>
          </cell>
          <cell r="G94">
            <v>0.69962806587942483</v>
          </cell>
          <cell r="H94">
            <v>0.78148059176395268</v>
          </cell>
          <cell r="I94">
            <v>1.0181799681670682</v>
          </cell>
          <cell r="J94">
            <v>1.310215347499891</v>
          </cell>
          <cell r="K94">
            <v>1.2957664374627189</v>
          </cell>
          <cell r="L94">
            <v>1.6852410250086955</v>
          </cell>
        </row>
        <row r="95">
          <cell r="F95">
            <v>0.17499999999999999</v>
          </cell>
          <cell r="G95">
            <v>0</v>
          </cell>
          <cell r="H95">
            <v>0.10747354999999999</v>
          </cell>
          <cell r="I95">
            <v>0.17499999999999999</v>
          </cell>
          <cell r="J95">
            <v>0</v>
          </cell>
          <cell r="K95">
            <v>0</v>
          </cell>
          <cell r="L95">
            <v>0</v>
          </cell>
        </row>
        <row r="96">
          <cell r="F96">
            <v>0</v>
          </cell>
          <cell r="G96">
            <v>0</v>
          </cell>
          <cell r="H96">
            <v>0</v>
          </cell>
          <cell r="I96">
            <v>0</v>
          </cell>
          <cell r="J96">
            <v>0</v>
          </cell>
          <cell r="K96">
            <v>0</v>
          </cell>
          <cell r="L96">
            <v>0</v>
          </cell>
        </row>
        <row r="97">
          <cell r="F97">
            <v>0</v>
          </cell>
          <cell r="G97">
            <v>6.49</v>
          </cell>
          <cell r="H97">
            <v>8.3356092000000004</v>
          </cell>
          <cell r="I97">
            <v>15.55978279</v>
          </cell>
          <cell r="J97">
            <v>0</v>
          </cell>
          <cell r="K97">
            <v>0</v>
          </cell>
          <cell r="L97">
            <v>0</v>
          </cell>
        </row>
        <row r="98">
          <cell r="F98">
            <v>0.11</v>
          </cell>
          <cell r="G98">
            <v>0.15</v>
          </cell>
          <cell r="H98">
            <v>0.19700000000000001</v>
          </cell>
          <cell r="I98">
            <v>0.188</v>
          </cell>
          <cell r="J98">
            <v>4.1966206989473689E-2</v>
          </cell>
          <cell r="K98">
            <v>0.30411232800000004</v>
          </cell>
          <cell r="L98">
            <v>0.39643290000000009</v>
          </cell>
        </row>
        <row r="103">
          <cell r="F103">
            <v>-14.141</v>
          </cell>
          <cell r="G103">
            <v>72.007000000000005</v>
          </cell>
          <cell r="H103">
            <v>114.899</v>
          </cell>
          <cell r="I103">
            <v>146.15199999999999</v>
          </cell>
        </row>
        <row r="104">
          <cell r="F104">
            <v>-1.573</v>
          </cell>
          <cell r="G104">
            <v>2.7589999999999999</v>
          </cell>
          <cell r="H104">
            <v>4.734</v>
          </cell>
          <cell r="I104">
            <v>7.423</v>
          </cell>
        </row>
        <row r="105">
          <cell r="F105">
            <v>0</v>
          </cell>
          <cell r="G105">
            <v>0</v>
          </cell>
          <cell r="H105">
            <v>0</v>
          </cell>
          <cell r="I105">
            <v>0</v>
          </cell>
        </row>
        <row r="106">
          <cell r="F106">
            <v>0</v>
          </cell>
          <cell r="G106">
            <v>0</v>
          </cell>
          <cell r="H106">
            <v>0</v>
          </cell>
          <cell r="I106">
            <v>0</v>
          </cell>
        </row>
        <row r="107">
          <cell r="F107">
            <v>0</v>
          </cell>
          <cell r="G107">
            <v>0</v>
          </cell>
          <cell r="H107">
            <v>0</v>
          </cell>
          <cell r="I107">
            <v>0</v>
          </cell>
        </row>
      </sheetData>
      <sheetData sheetId="6">
        <row r="12">
          <cell r="O12">
            <v>-0.43311718968500318</v>
          </cell>
        </row>
        <row r="14">
          <cell r="F14">
            <v>261.81688600000001</v>
          </cell>
          <cell r="G14">
            <v>292.91396867050065</v>
          </cell>
          <cell r="H14">
            <v>293.56548160019321</v>
          </cell>
          <cell r="I14">
            <v>270.19283203620506</v>
          </cell>
          <cell r="J14">
            <v>292.65591934504403</v>
          </cell>
          <cell r="K14">
            <v>326.27617665473349</v>
          </cell>
          <cell r="L14">
            <v>346.69563579952631</v>
          </cell>
          <cell r="M14">
            <v>346.39683311443741</v>
          </cell>
        </row>
        <row r="32">
          <cell r="E32">
            <v>1.1344000000000001</v>
          </cell>
          <cell r="F32">
            <v>1.163</v>
          </cell>
          <cell r="G32">
            <v>1.2050000000000001</v>
          </cell>
          <cell r="H32">
            <v>1.2270000000000001</v>
          </cell>
          <cell r="I32">
            <v>1.2330000000000001</v>
          </cell>
          <cell r="J32">
            <v>1.2709999999999999</v>
          </cell>
          <cell r="K32">
            <v>1.3140000000000001</v>
          </cell>
          <cell r="L32">
            <v>1.3580000000000001</v>
          </cell>
          <cell r="M32">
            <v>1.38</v>
          </cell>
          <cell r="N32">
            <v>1.4039999999999999</v>
          </cell>
          <cell r="O32">
            <v>1.4570000000000001</v>
          </cell>
        </row>
        <row r="80">
          <cell r="E80">
            <v>175.33582510578276</v>
          </cell>
          <cell r="F80">
            <v>245.27437280825455</v>
          </cell>
          <cell r="G80">
            <v>269.77043567676401</v>
          </cell>
          <cell r="H80">
            <v>250.17009074112843</v>
          </cell>
          <cell r="I80">
            <v>238.20178392794242</v>
          </cell>
          <cell r="J80">
            <v>255.2606334557793</v>
          </cell>
          <cell r="K80">
            <v>273.53198490396875</v>
          </cell>
          <cell r="L80">
            <v>285.70766053063636</v>
          </cell>
          <cell r="M80">
            <v>279.9224946824379</v>
          </cell>
        </row>
      </sheetData>
      <sheetData sheetId="7">
        <row r="10">
          <cell r="F10">
            <v>0</v>
          </cell>
          <cell r="G10">
            <v>0</v>
          </cell>
          <cell r="H10">
            <v>-20.257989862187202</v>
          </cell>
          <cell r="I10">
            <v>-4.4994609182250009</v>
          </cell>
          <cell r="J10">
            <v>-4.7015123299745119</v>
          </cell>
          <cell r="K10">
            <v>-3.6757294694233145</v>
          </cell>
          <cell r="L10">
            <v>4.3316200355723016</v>
          </cell>
          <cell r="M10">
            <v>4.3024062619850731</v>
          </cell>
        </row>
        <row r="11">
          <cell r="F11">
            <v>0</v>
          </cell>
          <cell r="G11">
            <v>0</v>
          </cell>
          <cell r="H11">
            <v>0</v>
          </cell>
          <cell r="I11">
            <v>0</v>
          </cell>
          <cell r="J11">
            <v>0</v>
          </cell>
          <cell r="K11">
            <v>0</v>
          </cell>
          <cell r="L11">
            <v>0</v>
          </cell>
          <cell r="M11">
            <v>0</v>
          </cell>
          <cell r="N11">
            <v>0</v>
          </cell>
          <cell r="O11">
            <v>0</v>
          </cell>
        </row>
        <row r="12">
          <cell r="F12">
            <v>0</v>
          </cell>
          <cell r="G12">
            <v>0</v>
          </cell>
          <cell r="H12">
            <v>-20.257989862187202</v>
          </cell>
          <cell r="I12">
            <v>-4.4994609182250009</v>
          </cell>
          <cell r="J12">
            <v>-4.7015123299745119</v>
          </cell>
          <cell r="K12">
            <v>-3.6757294694233145</v>
          </cell>
          <cell r="L12">
            <v>4.3316200355723016</v>
          </cell>
          <cell r="M12">
            <v>4.3024062619850731</v>
          </cell>
          <cell r="N12">
            <v>4.1140072516770578</v>
          </cell>
          <cell r="O12">
            <v>-37.433758721675005</v>
          </cell>
        </row>
      </sheetData>
      <sheetData sheetId="8">
        <row r="9">
          <cell r="N9">
            <v>3.3371973786666671</v>
          </cell>
        </row>
        <row r="14">
          <cell r="F14">
            <v>0.50197499999999995</v>
          </cell>
          <cell r="G14">
            <v>0</v>
          </cell>
          <cell r="H14">
            <v>2.7614475372308771</v>
          </cell>
          <cell r="I14">
            <v>3.6134905686450391</v>
          </cell>
          <cell r="J14">
            <v>7.9339910650030827</v>
          </cell>
          <cell r="K14">
            <v>9.3195401052582092</v>
          </cell>
          <cell r="L14">
            <v>6.2447858088857036</v>
          </cell>
          <cell r="M14">
            <v>6.0956556897740777</v>
          </cell>
          <cell r="N14">
            <v>6.2087819003277627</v>
          </cell>
          <cell r="O14">
            <v>1.0767368844498366</v>
          </cell>
        </row>
        <row r="32">
          <cell r="F32">
            <v>0.50197499999999995</v>
          </cell>
          <cell r="H32">
            <v>2.5557655501191276</v>
          </cell>
          <cell r="I32">
            <v>3.0355213845918985</v>
          </cell>
          <cell r="J32">
            <v>2.9305489936413602</v>
          </cell>
          <cell r="K32">
            <v>3.0755399240786461</v>
          </cell>
          <cell r="L32">
            <v>3.2375975044688601</v>
          </cell>
          <cell r="M32">
            <v>2.7412730983400637</v>
          </cell>
          <cell r="N32">
            <v>3.3371973786666671</v>
          </cell>
          <cell r="O32">
            <v>3.4517066594444445</v>
          </cell>
        </row>
        <row r="64">
          <cell r="H64">
            <v>0.40640988029238712</v>
          </cell>
          <cell r="I64">
            <v>0.65200819278738997</v>
          </cell>
          <cell r="J64">
            <v>0.92008286977714449</v>
          </cell>
          <cell r="K64">
            <v>1.9841351747534413</v>
          </cell>
          <cell r="L64">
            <v>2.7837286454243646</v>
          </cell>
          <cell r="M64">
            <v>2.3265679144323079</v>
          </cell>
          <cell r="N64">
            <v>2.4207287124273749</v>
          </cell>
          <cell r="O64">
            <v>-3.4903440794157436</v>
          </cell>
        </row>
        <row r="83">
          <cell r="F83">
            <v>0.14237606028800001</v>
          </cell>
          <cell r="G83">
            <v>0.16253668749525033</v>
          </cell>
          <cell r="H83">
            <v>0.1624031722760966</v>
          </cell>
          <cell r="I83">
            <v>1.2915151709433972</v>
          </cell>
          <cell r="J83">
            <v>1.9742723427090458</v>
          </cell>
          <cell r="K83">
            <v>1.9565775572713022</v>
          </cell>
          <cell r="L83">
            <v>2.3789192073580567</v>
          </cell>
          <cell r="M83">
            <v>-3.4131221898699367</v>
          </cell>
        </row>
        <row r="107">
          <cell r="I107">
            <v>0.5</v>
          </cell>
          <cell r="J107">
            <v>0.55937500000000018</v>
          </cell>
          <cell r="K107">
            <v>0.10437500000000011</v>
          </cell>
          <cell r="L107">
            <v>0.50250000000000039</v>
          </cell>
          <cell r="M107">
            <v>-1</v>
          </cell>
        </row>
        <row r="121">
          <cell r="H121">
            <v>-0.14541890076048847</v>
          </cell>
          <cell r="I121">
            <v>-3.6728527418933295E-2</v>
          </cell>
          <cell r="J121">
            <v>4.969120158457864E-2</v>
          </cell>
          <cell r="K121">
            <v>0.23221740642612149</v>
          </cell>
          <cell r="L121">
            <v>0.25091732503675435</v>
          </cell>
          <cell r="M121">
            <v>1.3564427001706861E-2</v>
          </cell>
          <cell r="N121">
            <v>0.45085580923372048</v>
          </cell>
          <cell r="O121">
            <v>1.1153743044211357</v>
          </cell>
        </row>
        <row r="130">
          <cell r="F130">
            <v>0.64935064935064934</v>
          </cell>
          <cell r="G130">
            <v>0.63291139240506322</v>
          </cell>
          <cell r="H130">
            <v>0.625</v>
          </cell>
          <cell r="I130">
            <v>0.625</v>
          </cell>
          <cell r="J130">
            <v>0.61728395061728392</v>
          </cell>
          <cell r="K130">
            <v>0.61728395061728392</v>
          </cell>
          <cell r="L130">
            <v>0.61728395061728392</v>
          </cell>
          <cell r="M130">
            <v>0.61728395061728392</v>
          </cell>
        </row>
        <row r="137">
          <cell r="H137">
            <v>0</v>
          </cell>
          <cell r="I137">
            <v>0</v>
          </cell>
          <cell r="J137">
            <v>4.0336679999999996</v>
          </cell>
          <cell r="K137">
            <v>4.0276476000000008</v>
          </cell>
          <cell r="L137">
            <v>0</v>
          </cell>
          <cell r="M137">
            <v>1.0142502499999999</v>
          </cell>
          <cell r="N137">
            <v>0</v>
          </cell>
          <cell r="O137">
            <v>0</v>
          </cell>
        </row>
        <row r="151">
          <cell r="H151">
            <v>5.5308992420148931E-2</v>
          </cell>
          <cell r="I151">
            <v>3.7310481315315953E-2</v>
          </cell>
          <cell r="J151">
            <v>0</v>
          </cell>
          <cell r="K151">
            <v>0</v>
          </cell>
          <cell r="L151">
            <v>2.7457666044276213E-2</v>
          </cell>
          <cell r="M151">
            <v>0</v>
          </cell>
          <cell r="N151">
            <v>0</v>
          </cell>
          <cell r="O151">
            <v>0</v>
          </cell>
        </row>
      </sheetData>
      <sheetData sheetId="9">
        <row r="17">
          <cell r="F17">
            <v>0.58726169999999989</v>
          </cell>
          <cell r="G17">
            <v>0.62966525929148232</v>
          </cell>
          <cell r="H17">
            <v>0.80005872758755747</v>
          </cell>
          <cell r="I17">
            <v>1.0738619713503614</v>
          </cell>
          <cell r="J17">
            <v>1.179193812749902</v>
          </cell>
          <cell r="K17">
            <v>1.1661897937164472</v>
          </cell>
          <cell r="L17">
            <v>1.5167169225078261</v>
          </cell>
          <cell r="M17">
            <v>0</v>
          </cell>
        </row>
        <row r="27">
          <cell r="F27">
            <v>0.58726169999999989</v>
          </cell>
          <cell r="G27">
            <v>0.62966525929148232</v>
          </cell>
          <cell r="H27">
            <v>0.80005872758755747</v>
          </cell>
          <cell r="I27">
            <v>1.0738619713503614</v>
          </cell>
          <cell r="J27">
            <v>1.179193812749902</v>
          </cell>
          <cell r="K27">
            <v>1.1661897937164472</v>
          </cell>
          <cell r="L27">
            <v>1.5167169225078261</v>
          </cell>
          <cell r="M27">
            <v>0</v>
          </cell>
        </row>
      </sheetData>
      <sheetData sheetId="10">
        <row r="18">
          <cell r="F18">
            <v>11.181499999999987</v>
          </cell>
          <cell r="H18">
            <v>4.9065686994023965</v>
          </cell>
          <cell r="I18">
            <v>-2.8714004124378367</v>
          </cell>
          <cell r="J18">
            <v>3.3637883234461654</v>
          </cell>
          <cell r="K18">
            <v>8.5652495571219962</v>
          </cell>
          <cell r="L18">
            <v>6.8667144815500354</v>
          </cell>
          <cell r="M18">
            <v>7.1695956568429153</v>
          </cell>
          <cell r="N18">
            <v>7.19949243180639</v>
          </cell>
          <cell r="O18">
            <v>-398.84329732523122</v>
          </cell>
        </row>
      </sheetData>
      <sheetData sheetId="11">
        <row r="12">
          <cell r="F12">
            <v>22.935234575999999</v>
          </cell>
          <cell r="G12">
            <v>32.159406320000002</v>
          </cell>
          <cell r="H12">
            <v>31.240862952000001</v>
          </cell>
          <cell r="I12">
            <v>25.010635608000001</v>
          </cell>
          <cell r="J12">
            <v>33.501617912</v>
          </cell>
          <cell r="K12">
            <v>33.512823648000001</v>
          </cell>
          <cell r="L12">
            <v>33.475232336000005</v>
          </cell>
          <cell r="M12">
            <v>32.838965759999994</v>
          </cell>
        </row>
        <row r="16">
          <cell r="F16">
            <v>22.935234575999999</v>
          </cell>
          <cell r="G16">
            <v>32.159406320000002</v>
          </cell>
          <cell r="H16">
            <v>31.240862952000001</v>
          </cell>
          <cell r="I16">
            <v>25.010635608000001</v>
          </cell>
          <cell r="J16">
            <v>33.501617912</v>
          </cell>
          <cell r="K16">
            <v>33.512823648000001</v>
          </cell>
          <cell r="L16">
            <v>33.475232336000005</v>
          </cell>
          <cell r="M16">
            <v>32.838965759999994</v>
          </cell>
        </row>
      </sheetData>
      <sheetData sheetId="12">
        <row r="16">
          <cell r="F16">
            <v>274.65985727600008</v>
          </cell>
          <cell r="G16">
            <v>325.70304024979214</v>
          </cell>
          <cell r="H16">
            <v>303.20329225542201</v>
          </cell>
          <cell r="I16">
            <v>298.26275967841326</v>
          </cell>
          <cell r="J16">
            <v>327.20542148137639</v>
          </cell>
          <cell r="K16">
            <v>358.03375117516288</v>
          </cell>
          <cell r="L16">
            <v>385.39727642094215</v>
          </cell>
          <cell r="M16">
            <v>382.46426516935367</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Draft Changes"/>
      <sheetName val="R14 Rec to Stat Ac"/>
      <sheetName val="R15 SO Internal"/>
      <sheetName val="R16 SO External Rev"/>
      <sheetName val="R17 SO Bal Services"/>
    </sheetNames>
    <sheetDataSet>
      <sheetData sheetId="0"/>
      <sheetData sheetId="1"/>
      <sheetData sheetId="2"/>
      <sheetData sheetId="3"/>
      <sheetData sheetId="4">
        <row r="10">
          <cell r="F10">
            <v>113.976</v>
          </cell>
          <cell r="G10">
            <v>113.533</v>
          </cell>
          <cell r="H10">
            <v>114.357</v>
          </cell>
          <cell r="I10">
            <v>116.705</v>
          </cell>
          <cell r="J10">
            <v>122.833</v>
          </cell>
          <cell r="K10">
            <v>117.524</v>
          </cell>
          <cell r="L10">
            <v>124.73099999999999</v>
          </cell>
          <cell r="M10">
            <v>126.191</v>
          </cell>
        </row>
        <row r="13">
          <cell r="F13">
            <v>12.794</v>
          </cell>
          <cell r="G13">
            <v>12.794</v>
          </cell>
          <cell r="H13">
            <v>12.794</v>
          </cell>
          <cell r="I13">
            <v>12.794</v>
          </cell>
          <cell r="J13">
            <v>12.794</v>
          </cell>
          <cell r="K13">
            <v>12.794</v>
          </cell>
          <cell r="L13">
            <v>12.794</v>
          </cell>
          <cell r="M13">
            <v>12.794</v>
          </cell>
        </row>
        <row r="14">
          <cell r="F14">
            <v>8</v>
          </cell>
          <cell r="G14">
            <v>8</v>
          </cell>
          <cell r="H14">
            <v>8</v>
          </cell>
          <cell r="I14">
            <v>8</v>
          </cell>
          <cell r="J14">
            <v>8</v>
          </cell>
          <cell r="K14">
            <v>8</v>
          </cell>
          <cell r="L14">
            <v>8</v>
          </cell>
          <cell r="M14">
            <v>8</v>
          </cell>
        </row>
        <row r="45">
          <cell r="F45">
            <v>0.7</v>
          </cell>
          <cell r="G45">
            <v>0.7</v>
          </cell>
          <cell r="H45">
            <v>0.7</v>
          </cell>
          <cell r="I45">
            <v>0.7</v>
          </cell>
          <cell r="J45">
            <v>0.7</v>
          </cell>
          <cell r="K45">
            <v>0.7</v>
          </cell>
          <cell r="L45">
            <v>0.7</v>
          </cell>
          <cell r="M45">
            <v>0.7</v>
          </cell>
        </row>
        <row r="47">
          <cell r="F47">
            <v>6.9</v>
          </cell>
          <cell r="G47">
            <v>6.9</v>
          </cell>
          <cell r="H47">
            <v>6.9</v>
          </cell>
          <cell r="I47">
            <v>6.9</v>
          </cell>
          <cell r="J47">
            <v>6.9</v>
          </cell>
          <cell r="K47">
            <v>6.9</v>
          </cell>
          <cell r="L47">
            <v>6.9</v>
          </cell>
          <cell r="M47">
            <v>6.9</v>
          </cell>
        </row>
        <row r="48">
          <cell r="F48">
            <v>8.5</v>
          </cell>
          <cell r="G48">
            <v>8.5</v>
          </cell>
          <cell r="H48">
            <v>8.5</v>
          </cell>
          <cell r="I48">
            <v>8.5</v>
          </cell>
          <cell r="J48">
            <v>8.5</v>
          </cell>
          <cell r="K48">
            <v>8.5</v>
          </cell>
          <cell r="L48">
            <v>8.5</v>
          </cell>
          <cell r="M48">
            <v>8.5</v>
          </cell>
        </row>
        <row r="49">
          <cell r="F49">
            <v>5.3</v>
          </cell>
          <cell r="G49">
            <v>5.3</v>
          </cell>
          <cell r="H49">
            <v>5.3</v>
          </cell>
          <cell r="I49">
            <v>5.3</v>
          </cell>
          <cell r="J49">
            <v>5.3</v>
          </cell>
          <cell r="K49">
            <v>5.3</v>
          </cell>
          <cell r="L49">
            <v>5.3</v>
          </cell>
          <cell r="M49">
            <v>5.3</v>
          </cell>
        </row>
        <row r="50">
          <cell r="F50">
            <v>0.01</v>
          </cell>
          <cell r="G50">
            <v>0.01</v>
          </cell>
          <cell r="H50">
            <v>0.01</v>
          </cell>
          <cell r="I50">
            <v>0.01</v>
          </cell>
          <cell r="J50">
            <v>0.01</v>
          </cell>
          <cell r="K50">
            <v>0.01</v>
          </cell>
          <cell r="L50">
            <v>0.01</v>
          </cell>
          <cell r="M50">
            <v>0.01</v>
          </cell>
        </row>
        <row r="51">
          <cell r="F51">
            <v>-0.01</v>
          </cell>
          <cell r="G51">
            <v>-0.01</v>
          </cell>
          <cell r="H51">
            <v>-0.01</v>
          </cell>
          <cell r="I51">
            <v>-0.01</v>
          </cell>
          <cell r="J51">
            <v>-0.01</v>
          </cell>
          <cell r="K51">
            <v>-0.01</v>
          </cell>
          <cell r="L51">
            <v>-0.01</v>
          </cell>
          <cell r="M51">
            <v>-0.01</v>
          </cell>
        </row>
        <row r="53">
          <cell r="F53">
            <v>0</v>
          </cell>
          <cell r="G53">
            <v>0</v>
          </cell>
          <cell r="H53">
            <v>0</v>
          </cell>
          <cell r="I53">
            <v>0.30000000000000004</v>
          </cell>
          <cell r="J53">
            <v>0.30000000000000004</v>
          </cell>
          <cell r="K53">
            <v>0.30000000000000004</v>
          </cell>
          <cell r="L53">
            <v>0.30000000000000004</v>
          </cell>
          <cell r="M53">
            <v>0.30000000000000004</v>
          </cell>
        </row>
        <row r="74">
          <cell r="E74">
            <v>0</v>
          </cell>
          <cell r="F74">
            <v>0</v>
          </cell>
          <cell r="G74">
            <v>0</v>
          </cell>
          <cell r="H74">
            <v>0</v>
          </cell>
          <cell r="I74">
            <v>0</v>
          </cell>
          <cell r="J74">
            <v>0</v>
          </cell>
          <cell r="K74">
            <v>0</v>
          </cell>
          <cell r="L74">
            <v>0</v>
          </cell>
          <cell r="M74">
            <v>0</v>
          </cell>
        </row>
        <row r="75">
          <cell r="E75">
            <v>0</v>
          </cell>
          <cell r="F75">
            <v>0</v>
          </cell>
          <cell r="G75">
            <v>0</v>
          </cell>
          <cell r="H75">
            <v>0</v>
          </cell>
          <cell r="I75">
            <v>0</v>
          </cell>
          <cell r="J75">
            <v>0</v>
          </cell>
          <cell r="K75">
            <v>0</v>
          </cell>
          <cell r="L75">
            <v>0</v>
          </cell>
          <cell r="M75">
            <v>0</v>
          </cell>
        </row>
        <row r="76">
          <cell r="E76">
            <v>0</v>
          </cell>
          <cell r="F76">
            <v>0</v>
          </cell>
          <cell r="G76">
            <v>0</v>
          </cell>
          <cell r="H76">
            <v>0</v>
          </cell>
          <cell r="I76">
            <v>0</v>
          </cell>
          <cell r="J76">
            <v>0</v>
          </cell>
          <cell r="K76">
            <v>0</v>
          </cell>
          <cell r="L76">
            <v>0</v>
          </cell>
          <cell r="M76">
            <v>0</v>
          </cell>
        </row>
        <row r="87">
          <cell r="E87">
            <v>0</v>
          </cell>
          <cell r="F87">
            <v>0</v>
          </cell>
          <cell r="G87">
            <v>14.7</v>
          </cell>
          <cell r="H87">
            <v>0</v>
          </cell>
          <cell r="I87">
            <v>0</v>
          </cell>
          <cell r="J87">
            <v>0</v>
          </cell>
          <cell r="K87">
            <v>0</v>
          </cell>
          <cell r="L87">
            <v>0</v>
          </cell>
          <cell r="M87">
            <v>0</v>
          </cell>
        </row>
      </sheetData>
      <sheetData sheetId="5">
        <row r="29">
          <cell r="F29">
            <v>0</v>
          </cell>
          <cell r="G29">
            <v>3.7</v>
          </cell>
          <cell r="H29">
            <v>6</v>
          </cell>
          <cell r="I29">
            <v>20.9</v>
          </cell>
          <cell r="J29">
            <v>9.1999999999999993</v>
          </cell>
          <cell r="K29">
            <v>30.1</v>
          </cell>
          <cell r="L29">
            <v>97</v>
          </cell>
        </row>
        <row r="67">
          <cell r="D67">
            <v>0</v>
          </cell>
          <cell r="E67">
            <v>0</v>
          </cell>
          <cell r="F67">
            <v>16.687000000000001</v>
          </cell>
          <cell r="G67">
            <v>17.610700000000001</v>
          </cell>
          <cell r="H67">
            <v>18.150700000000001</v>
          </cell>
          <cell r="I67">
            <v>15.386900000000001</v>
          </cell>
          <cell r="J67">
            <v>20.033000000000001</v>
          </cell>
          <cell r="K67">
            <v>20.948799999999999</v>
          </cell>
          <cell r="L67">
            <v>0</v>
          </cell>
        </row>
        <row r="69">
          <cell r="D69">
            <v>0</v>
          </cell>
          <cell r="E69">
            <v>0</v>
          </cell>
          <cell r="F69">
            <v>12.663</v>
          </cell>
          <cell r="G69">
            <v>11.88914035</v>
          </cell>
          <cell r="H69">
            <v>10.049648400000001</v>
          </cell>
          <cell r="I69">
            <v>10.981934020000001</v>
          </cell>
          <cell r="J69">
            <v>5.6481040199999999</v>
          </cell>
          <cell r="K69">
            <v>8.1413806799999993</v>
          </cell>
          <cell r="L69">
            <v>0</v>
          </cell>
        </row>
        <row r="70">
          <cell r="F70">
            <v>2.5659999999999998</v>
          </cell>
          <cell r="G70">
            <v>3.1656612800000001</v>
          </cell>
          <cell r="H70">
            <v>26.490020950000002</v>
          </cell>
          <cell r="I70">
            <v>13.08643953</v>
          </cell>
          <cell r="J70">
            <v>0.69965599999999994</v>
          </cell>
          <cell r="K70">
            <v>43.48776058</v>
          </cell>
        </row>
        <row r="71">
          <cell r="F71">
            <v>271.274</v>
          </cell>
          <cell r="G71">
            <v>312.17914780000001</v>
          </cell>
          <cell r="H71">
            <v>295.66455672000001</v>
          </cell>
          <cell r="I71">
            <v>294.62336268285998</v>
          </cell>
          <cell r="J71">
            <v>320.96520035999998</v>
          </cell>
          <cell r="K71">
            <v>349.96085314999999</v>
          </cell>
        </row>
        <row r="72">
          <cell r="F72">
            <v>172.46</v>
          </cell>
          <cell r="G72">
            <v>213.95951769999999</v>
          </cell>
          <cell r="H72">
            <v>338.20730220000002</v>
          </cell>
          <cell r="I72">
            <v>322.83631648970299</v>
          </cell>
          <cell r="J72">
            <v>301.36826292000001</v>
          </cell>
          <cell r="K72">
            <v>366.41088400000001</v>
          </cell>
        </row>
        <row r="73">
          <cell r="F73">
            <v>105.429</v>
          </cell>
          <cell r="G73">
            <v>166.85828409999999</v>
          </cell>
          <cell r="H73">
            <v>231.37380934000001</v>
          </cell>
          <cell r="I73">
            <v>253.11297273</v>
          </cell>
          <cell r="J73">
            <v>265.53230083</v>
          </cell>
          <cell r="K73">
            <v>306.47826020999997</v>
          </cell>
        </row>
        <row r="74">
          <cell r="F74">
            <v>0.58599999999999997</v>
          </cell>
          <cell r="G74">
            <v>0.63683741999999999</v>
          </cell>
          <cell r="H74">
            <v>0.6231344860000001</v>
          </cell>
          <cell r="I74">
            <v>0.49429468999999998</v>
          </cell>
          <cell r="J74">
            <v>0.52631649000000003</v>
          </cell>
          <cell r="K74">
            <v>0.58447148999999998</v>
          </cell>
        </row>
        <row r="91">
          <cell r="D91">
            <v>0</v>
          </cell>
          <cell r="E91">
            <v>0</v>
          </cell>
          <cell r="F91">
            <v>7.4089999999999998</v>
          </cell>
          <cell r="G91">
            <v>7.4009999999999998</v>
          </cell>
          <cell r="H91">
            <v>7.5380000000000003</v>
          </cell>
          <cell r="I91">
            <v>7.41</v>
          </cell>
          <cell r="J91">
            <v>7.7430000000000003</v>
          </cell>
          <cell r="K91">
            <v>7.9240000000000004</v>
          </cell>
          <cell r="L91">
            <v>8.2110000000000003</v>
          </cell>
        </row>
        <row r="99">
          <cell r="G99">
            <v>124.22605000000006</v>
          </cell>
          <cell r="H99">
            <v>191.87235000000004</v>
          </cell>
          <cell r="I99">
            <v>193.70265000000003</v>
          </cell>
          <cell r="J99">
            <v>136.55895000000004</v>
          </cell>
          <cell r="K99">
            <v>250.46724999999998</v>
          </cell>
          <cell r="L99">
            <v>114.53689999999995</v>
          </cell>
        </row>
        <row r="101">
          <cell r="G101">
            <v>49.988399999999999</v>
          </cell>
          <cell r="H101">
            <v>58.469565000000003</v>
          </cell>
          <cell r="I101">
            <v>26.500319999999999</v>
          </cell>
          <cell r="J101">
            <v>214.59916500000003</v>
          </cell>
          <cell r="K101">
            <v>88.567050000000023</v>
          </cell>
          <cell r="L101">
            <v>85.478250000000003</v>
          </cell>
        </row>
        <row r="115">
          <cell r="E115">
            <v>0</v>
          </cell>
          <cell r="F115">
            <v>0</v>
          </cell>
          <cell r="G115">
            <v>0</v>
          </cell>
          <cell r="H115">
            <v>0</v>
          </cell>
          <cell r="I115">
            <v>0</v>
          </cell>
          <cell r="J115">
            <v>0</v>
          </cell>
          <cell r="K115">
            <v>0</v>
          </cell>
          <cell r="L115">
            <v>0</v>
          </cell>
        </row>
        <row r="116">
          <cell r="E116">
            <v>0</v>
          </cell>
          <cell r="F116">
            <v>0</v>
          </cell>
          <cell r="G116">
            <v>0</v>
          </cell>
          <cell r="H116">
            <v>0</v>
          </cell>
          <cell r="I116">
            <v>0</v>
          </cell>
          <cell r="J116">
            <v>0</v>
          </cell>
          <cell r="K116">
            <v>0</v>
          </cell>
          <cell r="L116">
            <v>0</v>
          </cell>
        </row>
        <row r="117">
          <cell r="E117">
            <v>0</v>
          </cell>
          <cell r="F117">
            <v>0</v>
          </cell>
          <cell r="G117">
            <v>0</v>
          </cell>
          <cell r="H117">
            <v>105.983</v>
          </cell>
          <cell r="I117">
            <v>105.983</v>
          </cell>
          <cell r="J117">
            <v>105.983</v>
          </cell>
          <cell r="K117">
            <v>105.983</v>
          </cell>
          <cell r="L117">
            <v>105.983</v>
          </cell>
        </row>
        <row r="118">
          <cell r="E118">
            <v>0</v>
          </cell>
          <cell r="F118">
            <v>0</v>
          </cell>
          <cell r="G118">
            <v>0</v>
          </cell>
          <cell r="H118">
            <v>0</v>
          </cell>
          <cell r="I118">
            <v>0</v>
          </cell>
          <cell r="J118">
            <v>0</v>
          </cell>
          <cell r="K118">
            <v>0</v>
          </cell>
          <cell r="L118">
            <v>0</v>
          </cell>
        </row>
        <row r="119">
          <cell r="E119">
            <v>0</v>
          </cell>
          <cell r="F119">
            <v>0</v>
          </cell>
          <cell r="G119">
            <v>0</v>
          </cell>
          <cell r="H119">
            <v>0</v>
          </cell>
          <cell r="I119">
            <v>0</v>
          </cell>
          <cell r="J119">
            <v>0</v>
          </cell>
          <cell r="K119">
            <v>0</v>
          </cell>
          <cell r="L119">
            <v>0</v>
          </cell>
        </row>
        <row r="124">
          <cell r="H124">
            <v>0</v>
          </cell>
          <cell r="I124">
            <v>-7.4</v>
          </cell>
        </row>
      </sheetData>
      <sheetData sheetId="6">
        <row r="12">
          <cell r="F12">
            <v>1561.072803</v>
          </cell>
          <cell r="G12">
            <v>1732.7426765239791</v>
          </cell>
          <cell r="H12">
            <v>1676.4597606148129</v>
          </cell>
          <cell r="I12">
            <v>1684.3452532696908</v>
          </cell>
          <cell r="J12">
            <v>1614.4784080810628</v>
          </cell>
          <cell r="K12">
            <v>1670.5435077166524</v>
          </cell>
          <cell r="L12">
            <v>1643.847671617485</v>
          </cell>
          <cell r="M12">
            <v>1639.6253956108778</v>
          </cell>
        </row>
        <row r="40">
          <cell r="F40">
            <v>0</v>
          </cell>
          <cell r="G40">
            <v>-0.46827259420819323</v>
          </cell>
          <cell r="H40">
            <v>5.1148733617056434</v>
          </cell>
          <cell r="I40">
            <v>-19.932455580137159</v>
          </cell>
          <cell r="J40">
            <v>-31.399350054238433</v>
          </cell>
          <cell r="K40">
            <v>-6.084908891436525</v>
          </cell>
          <cell r="L40">
            <v>3.2636580393850534</v>
          </cell>
          <cell r="M40">
            <v>-1.0496553544364084</v>
          </cell>
          <cell r="N40">
            <v>-10.622949924458919</v>
          </cell>
          <cell r="O40">
            <v>-1.7875945990960402</v>
          </cell>
        </row>
        <row r="77">
          <cell r="E77">
            <v>1212.1752933709447</v>
          </cell>
          <cell r="F77">
            <v>1366.7208189107612</v>
          </cell>
          <cell r="G77">
            <v>1451.3551707786312</v>
          </cell>
          <cell r="H77">
            <v>1388.3261561505217</v>
          </cell>
          <cell r="I77">
            <v>1376.9362337742566</v>
          </cell>
          <cell r="J77">
            <v>1280.44470846796</v>
          </cell>
          <cell r="K77">
            <v>1277.9796447129106</v>
          </cell>
          <cell r="L77">
            <v>1211.9732218629169</v>
          </cell>
          <cell r="M77">
            <v>1190.531713396457</v>
          </cell>
        </row>
      </sheetData>
      <sheetData sheetId="7">
        <row r="16">
          <cell r="F16">
            <v>0</v>
          </cell>
          <cell r="G16">
            <v>0</v>
          </cell>
          <cell r="H16">
            <v>2.0163390911359582</v>
          </cell>
          <cell r="I16">
            <v>2.6933961403912288</v>
          </cell>
          <cell r="J16">
            <v>3.1876952800523406</v>
          </cell>
          <cell r="K16">
            <v>-0.37643285484298472</v>
          </cell>
        </row>
        <row r="52">
          <cell r="F52">
            <v>0</v>
          </cell>
          <cell r="G52">
            <v>0</v>
          </cell>
          <cell r="H52">
            <v>1.2092384119973343</v>
          </cell>
          <cell r="I52">
            <v>1.5001179260431778</v>
          </cell>
          <cell r="J52">
            <v>2.6894278366800055</v>
          </cell>
          <cell r="K52">
            <v>1.4770934791966908</v>
          </cell>
          <cell r="L52">
            <v>35.144594296242758</v>
          </cell>
          <cell r="M52">
            <v>35.414110990518012</v>
          </cell>
          <cell r="N52">
            <v>34.644601306321142</v>
          </cell>
          <cell r="O52">
            <v>-100.81289593596001</v>
          </cell>
        </row>
        <row r="63">
          <cell r="F63">
            <v>0</v>
          </cell>
          <cell r="G63">
            <v>0</v>
          </cell>
          <cell r="H63">
            <v>2.0163390911359582</v>
          </cell>
          <cell r="I63">
            <v>2.6933961403912288</v>
          </cell>
          <cell r="J63">
            <v>3.1876952800523406</v>
          </cell>
          <cell r="K63">
            <v>-0.37643285484298472</v>
          </cell>
          <cell r="L63">
            <v>4.3075663415436258</v>
          </cell>
          <cell r="M63">
            <v>4.7041272758200439</v>
          </cell>
        </row>
        <row r="84">
          <cell r="F84">
            <v>0</v>
          </cell>
          <cell r="G84">
            <v>0</v>
          </cell>
          <cell r="H84">
            <v>3.8193762909683171</v>
          </cell>
          <cell r="I84">
            <v>2.6745437559665035</v>
          </cell>
          <cell r="J84">
            <v>0.49862315564851811</v>
          </cell>
          <cell r="K84">
            <v>1.3447743785507609</v>
          </cell>
          <cell r="L84">
            <v>-5.2426481776406417</v>
          </cell>
          <cell r="M84">
            <v>-2.6779078378825263</v>
          </cell>
        </row>
      </sheetData>
      <sheetData sheetId="8">
        <row r="80">
          <cell r="F80">
            <v>3.5119271857553769</v>
          </cell>
          <cell r="G80">
            <v>3.8330165845017934</v>
          </cell>
          <cell r="H80">
            <v>4.7232505898537172</v>
          </cell>
          <cell r="I80">
            <v>4.5824718046768496</v>
          </cell>
          <cell r="J80">
            <v>7.4165101871223813</v>
          </cell>
          <cell r="K80">
            <v>9.109682565517371</v>
          </cell>
          <cell r="L80">
            <v>13.241192994878844</v>
          </cell>
          <cell r="M80">
            <v>-16.396253956108779</v>
          </cell>
        </row>
      </sheetData>
      <sheetData sheetId="9">
        <row r="9">
          <cell r="F9">
            <v>0</v>
          </cell>
          <cell r="G9">
            <v>17.849214</v>
          </cell>
          <cell r="H9">
            <v>18.82390994</v>
          </cell>
          <cell r="I9">
            <v>44.854879889999999</v>
          </cell>
          <cell r="J9">
            <v>32.071100479999998</v>
          </cell>
          <cell r="K9">
            <v>32.664404039999994</v>
          </cell>
        </row>
      </sheetData>
      <sheetData sheetId="10">
        <row r="19">
          <cell r="F19">
            <v>2.690385000000135</v>
          </cell>
          <cell r="H19">
            <v>-56.398839529996579</v>
          </cell>
          <cell r="I19">
            <v>-104.52238234859047</v>
          </cell>
          <cell r="J19">
            <v>-97.531746650244841</v>
          </cell>
          <cell r="K19">
            <v>62.167709460727117</v>
          </cell>
          <cell r="L19">
            <v>-25.226591437206416</v>
          </cell>
          <cell r="M19">
            <v>16.05190801707052</v>
          </cell>
          <cell r="N19">
            <v>12.082688274333066</v>
          </cell>
          <cell r="O19">
            <v>-1737.565265245468</v>
          </cell>
        </row>
      </sheetData>
      <sheetData sheetId="11">
        <row r="23">
          <cell r="E23">
            <v>0</v>
          </cell>
          <cell r="F23">
            <v>0</v>
          </cell>
          <cell r="G23">
            <v>0</v>
          </cell>
          <cell r="H23">
            <v>0</v>
          </cell>
          <cell r="I23">
            <v>0</v>
          </cell>
          <cell r="J23">
            <v>0</v>
          </cell>
          <cell r="K23">
            <v>0</v>
          </cell>
          <cell r="L23">
            <v>0</v>
          </cell>
          <cell r="M23">
            <v>0</v>
          </cell>
        </row>
        <row r="41">
          <cell r="E41">
            <v>0</v>
          </cell>
          <cell r="F41">
            <v>0</v>
          </cell>
          <cell r="G41">
            <v>0</v>
          </cell>
          <cell r="H41">
            <v>0</v>
          </cell>
          <cell r="I41">
            <v>0</v>
          </cell>
          <cell r="J41">
            <v>0</v>
          </cell>
          <cell r="K41">
            <v>0</v>
          </cell>
          <cell r="L41">
            <v>0</v>
          </cell>
          <cell r="M41">
            <v>0</v>
          </cell>
        </row>
        <row r="69">
          <cell r="E69">
            <v>16.139635161599998</v>
          </cell>
          <cell r="F69">
            <v>15.992450216000002</v>
          </cell>
          <cell r="G69">
            <v>15.995999039999997</v>
          </cell>
          <cell r="H69">
            <v>15.703460112000002</v>
          </cell>
          <cell r="I69">
            <v>0</v>
          </cell>
          <cell r="J69">
            <v>0</v>
          </cell>
          <cell r="K69">
            <v>0</v>
          </cell>
          <cell r="L69">
            <v>0</v>
          </cell>
          <cell r="M69">
            <v>0</v>
          </cell>
        </row>
      </sheetData>
      <sheetData sheetId="12"/>
      <sheetData sheetId="13"/>
      <sheetData sheetId="14"/>
      <sheetData sheetId="15"/>
      <sheetData sheetId="16">
        <row r="27">
          <cell r="G27">
            <v>0</v>
          </cell>
          <cell r="H27">
            <v>0.42654856661829127</v>
          </cell>
          <cell r="I27">
            <v>-1.8119263396039809</v>
          </cell>
          <cell r="J27">
            <v>-2.7317247502935995</v>
          </cell>
          <cell r="K27">
            <v>-0.56739022211183443</v>
          </cell>
          <cell r="L27">
            <v>0.32880455225854299</v>
          </cell>
          <cell r="M27">
            <v>-0.12053702254929091</v>
          </cell>
        </row>
        <row r="39">
          <cell r="F39">
            <v>113.976</v>
          </cell>
          <cell r="G39">
            <v>131.93299999999999</v>
          </cell>
          <cell r="H39">
            <v>120.78354856661829</v>
          </cell>
          <cell r="I39">
            <v>128.393073660396</v>
          </cell>
          <cell r="J39">
            <v>129.00127524970637</v>
          </cell>
          <cell r="K39">
            <v>146.75660977788814</v>
          </cell>
          <cell r="L39">
            <v>221.45980455225853</v>
          </cell>
          <cell r="M39">
            <v>125.47046297745072</v>
          </cell>
        </row>
        <row r="60">
          <cell r="F60">
            <v>0</v>
          </cell>
          <cell r="G60">
            <v>0</v>
          </cell>
          <cell r="H60">
            <v>0</v>
          </cell>
          <cell r="I60">
            <v>0</v>
          </cell>
          <cell r="J60">
            <v>-0.3</v>
          </cell>
          <cell r="K60">
            <v>-0.3</v>
          </cell>
          <cell r="L60">
            <v>-0.6</v>
          </cell>
          <cell r="M60">
            <v>-0.6</v>
          </cell>
        </row>
        <row r="68">
          <cell r="H68">
            <v>0</v>
          </cell>
          <cell r="I68">
            <v>0</v>
          </cell>
          <cell r="J68">
            <v>0</v>
          </cell>
          <cell r="K68">
            <v>0</v>
          </cell>
          <cell r="L68">
            <v>0</v>
          </cell>
          <cell r="M68">
            <v>0</v>
          </cell>
        </row>
        <row r="82">
          <cell r="M82">
            <v>0</v>
          </cell>
        </row>
        <row r="91">
          <cell r="J91">
            <v>-0.3</v>
          </cell>
          <cell r="K91">
            <v>-0.3</v>
          </cell>
          <cell r="L91">
            <v>-0.6</v>
          </cell>
          <cell r="M91">
            <v>-0.6</v>
          </cell>
        </row>
      </sheetData>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Cover"/>
      <sheetName val="Log"/>
      <sheetName val="Input"/>
      <sheetName val="Licence condition values"/>
      <sheetName val="Gas prices"/>
      <sheetName val="NTS Charges"/>
      <sheetName val="BR"/>
      <sheetName val="AR"/>
      <sheetName val="PT"/>
      <sheetName val="EX"/>
      <sheetName val="BM"/>
      <sheetName val="SHR"/>
      <sheetName val="EEI"/>
      <sheetName val="DRS"/>
      <sheetName val="NIA"/>
      <sheetName val="Kt"/>
      <sheetName val="Rec to Reg accts"/>
    </sheetNames>
    <sheetDataSet>
      <sheetData sheetId="0"/>
      <sheetData sheetId="1"/>
      <sheetData sheetId="2"/>
      <sheetData sheetId="3">
        <row r="8">
          <cell r="E8" t="str">
            <v>East of England</v>
          </cell>
        </row>
        <row r="9">
          <cell r="F9">
            <v>2022</v>
          </cell>
        </row>
      </sheetData>
      <sheetData sheetId="4"/>
      <sheetData sheetId="5"/>
      <sheetData sheetId="6"/>
      <sheetData sheetId="7">
        <row r="10">
          <cell r="N10">
            <v>496.2</v>
          </cell>
        </row>
      </sheetData>
      <sheetData sheetId="8"/>
      <sheetData sheetId="9">
        <row r="15">
          <cell r="N15">
            <v>1.41915514</v>
          </cell>
        </row>
      </sheetData>
      <sheetData sheetId="10">
        <row r="38">
          <cell r="N38">
            <v>9.3702505404444505</v>
          </cell>
        </row>
      </sheetData>
      <sheetData sheetId="11">
        <row r="14">
          <cell r="N14">
            <v>4.2340012041366792</v>
          </cell>
        </row>
      </sheetData>
      <sheetData sheetId="12">
        <row r="37">
          <cell r="O37">
            <v>9.8842656830601117E-3</v>
          </cell>
        </row>
      </sheetData>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Changes Made"/>
      <sheetName val="Cover"/>
      <sheetName val="Index"/>
      <sheetName val="Log"/>
      <sheetName val="Diagram of Worksheets"/>
      <sheetName val="Input TO"/>
      <sheetName val="Input SO"/>
      <sheetName val="Inputs Capex Incentive 1"/>
      <sheetName val="Inputs Capex Incentive 2"/>
      <sheetName val="Enhanced TO Incentives"/>
      <sheetName val="TIRG_DataSheet"/>
      <sheetName val="TIRG t"/>
      <sheetName val="PR t"/>
      <sheetName val="PT t"/>
      <sheetName val="IP t"/>
      <sheetName val="CxIncRA t "/>
      <sheetName val="TOInc t"/>
      <sheetName val="LVGC n"/>
      <sheetName val="LVZS n"/>
      <sheetName val="LVZD n"/>
      <sheetName val="LVST n"/>
      <sheetName val="Other terms"/>
      <sheetName val="TO Summary "/>
      <sheetName val="BXext (External Costs)"/>
      <sheetName val="BXint (Internal Costs)"/>
      <sheetName val="SO Summary"/>
      <sheetName val="Section 1"/>
      <sheetName val="Section 2"/>
      <sheetName val="Section 2a"/>
      <sheetName val="Section 2b"/>
      <sheetName val="Section 2c"/>
      <sheetName val="Section 2d"/>
      <sheetName val="Section 3a"/>
      <sheetName val="Section 3b"/>
      <sheetName val="BExRepositorySheet"/>
      <sheetName val="Section 4"/>
      <sheetName val="Section 5"/>
      <sheetName val="NGET_Published Data"/>
      <sheetName val="Forecast"/>
      <sheetName val="Sheet1"/>
    </sheetNames>
    <sheetDataSet>
      <sheetData sheetId="0" refreshError="1"/>
      <sheetData sheetId="1" refreshError="1"/>
      <sheetData sheetId="2" refreshError="1"/>
      <sheetData sheetId="3" refreshError="1"/>
      <sheetData sheetId="4" refreshError="1"/>
      <sheetData sheetId="5">
        <row r="59">
          <cell r="I59">
            <v>248</v>
          </cell>
          <cell r="J59">
            <v>237</v>
          </cell>
          <cell r="K59">
            <v>237</v>
          </cell>
          <cell r="L59">
            <v>237</v>
          </cell>
          <cell r="M59">
            <v>237</v>
          </cell>
          <cell r="N59">
            <v>237</v>
          </cell>
          <cell r="P59" t="str">
            <v>RILT</v>
          </cell>
        </row>
        <row r="60">
          <cell r="I60">
            <v>274</v>
          </cell>
          <cell r="J60">
            <v>263</v>
          </cell>
          <cell r="K60">
            <v>263</v>
          </cell>
          <cell r="L60">
            <v>263</v>
          </cell>
          <cell r="M60">
            <v>263</v>
          </cell>
          <cell r="N60">
            <v>263</v>
          </cell>
          <cell r="P60" t="str">
            <v>RIUT</v>
          </cell>
        </row>
        <row r="62">
          <cell r="I62">
            <v>0.01</v>
          </cell>
          <cell r="J62">
            <v>0.01</v>
          </cell>
          <cell r="K62">
            <v>0.01</v>
          </cell>
          <cell r="L62">
            <v>0.01</v>
          </cell>
          <cell r="M62">
            <v>0.01</v>
          </cell>
          <cell r="N62">
            <v>0.01</v>
          </cell>
          <cell r="P62" t="str">
            <v>RIUPA</v>
          </cell>
        </row>
        <row r="63">
          <cell r="I63">
            <v>-1.4999999999999999E-2</v>
          </cell>
          <cell r="J63">
            <v>-1.4999999999999999E-2</v>
          </cell>
          <cell r="K63">
            <v>-1.4999999999999999E-2</v>
          </cell>
          <cell r="L63">
            <v>-1.4999999999999999E-2</v>
          </cell>
          <cell r="M63">
            <v>-1.4999999999999999E-2</v>
          </cell>
          <cell r="N63">
            <v>-1.4999999999999999E-2</v>
          </cell>
          <cell r="P63" t="str">
            <v>RIDPA</v>
          </cell>
        </row>
        <row r="65">
          <cell r="I65">
            <v>653</v>
          </cell>
          <cell r="J65">
            <v>619</v>
          </cell>
          <cell r="K65">
            <v>619</v>
          </cell>
          <cell r="L65">
            <v>619</v>
          </cell>
          <cell r="M65">
            <v>619</v>
          </cell>
          <cell r="N65">
            <v>619</v>
          </cell>
          <cell r="P65" t="str">
            <v>RICOL</v>
          </cell>
        </row>
        <row r="135">
          <cell r="I135">
            <v>312.79000000000002</v>
          </cell>
          <cell r="J135">
            <v>6</v>
          </cell>
          <cell r="K135">
            <v>51.5</v>
          </cell>
          <cell r="L135">
            <v>61</v>
          </cell>
          <cell r="M135">
            <v>59.5</v>
          </cell>
          <cell r="N135">
            <v>2.5</v>
          </cell>
          <cell r="P135" t="str">
            <v>RIP</v>
          </cell>
        </row>
      </sheetData>
      <sheetData sheetId="6" refreshError="1"/>
      <sheetData sheetId="7" refreshError="1"/>
      <sheetData sheetId="8" refreshError="1"/>
      <sheetData sheetId="9" refreshError="1"/>
      <sheetData sheetId="10" refreshError="1"/>
      <sheetData sheetId="11" refreshError="1"/>
      <sheetData sheetId="12">
        <row r="24">
          <cell r="I24">
            <v>1081069962.9381621</v>
          </cell>
          <cell r="J24">
            <v>1147404069.9216597</v>
          </cell>
          <cell r="K24">
            <v>1223764831.9645684</v>
          </cell>
          <cell r="L24">
            <v>1232822026.7030997</v>
          </cell>
          <cell r="M24">
            <v>1316563378.810266</v>
          </cell>
          <cell r="N24">
            <v>1433654720</v>
          </cell>
          <cell r="P24" t="str">
            <v>PR</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s>
    <sheetDataSet>
      <sheetData sheetId="0"/>
      <sheetData sheetId="1"/>
      <sheetData sheetId="2"/>
      <sheetData sheetId="3"/>
      <sheetData sheetId="4"/>
      <sheetData sheetId="5"/>
      <sheetData sheetId="6"/>
      <sheetData sheetId="7">
        <row r="149">
          <cell r="H149">
            <v>0</v>
          </cell>
          <cell r="I149">
            <v>0</v>
          </cell>
          <cell r="J149">
            <v>0</v>
          </cell>
          <cell r="K149">
            <v>0</v>
          </cell>
          <cell r="L149">
            <v>0</v>
          </cell>
          <cell r="M149">
            <v>0</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sheetData sheetId="4">
        <row r="81">
          <cell r="F81">
            <v>7.5330000000000004</v>
          </cell>
          <cell r="G81">
            <v>7.7370000000000001</v>
          </cell>
          <cell r="H81">
            <v>7.5250000000000004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4616"/>
  </sheetPr>
  <dimension ref="A2:E16"/>
  <sheetViews>
    <sheetView zoomScaleNormal="100" workbookViewId="0">
      <selection activeCell="E6" sqref="E6"/>
    </sheetView>
  </sheetViews>
  <sheetFormatPr defaultRowHeight="13.5"/>
  <cols>
    <col min="1" max="1" width="9" customWidth="1"/>
    <col min="2" max="3" width="10" customWidth="1"/>
  </cols>
  <sheetData>
    <row r="2" spans="1:5">
      <c r="B2" s="48" t="s">
        <v>8</v>
      </c>
      <c r="C2" s="48"/>
      <c r="D2" s="48">
        <v>2022</v>
      </c>
      <c r="E2" s="48">
        <v>2023</v>
      </c>
    </row>
    <row r="4" spans="1:5" ht="16">
      <c r="A4" s="399"/>
      <c r="B4" s="400" t="s">
        <v>618</v>
      </c>
      <c r="D4" s="401">
        <f>'R7 pass through'!N10</f>
        <v>-19.134863128384811</v>
      </c>
      <c r="E4" s="401">
        <f>'R7 pass through'!O10</f>
        <v>-19.712162535692979</v>
      </c>
    </row>
    <row r="5" spans="1:5" ht="16">
      <c r="A5" s="399"/>
      <c r="B5" s="400" t="s">
        <v>619</v>
      </c>
      <c r="D5" s="401">
        <f>'R5 Input page'!N27*'R6 Base revenue'!N11</f>
        <v>-16.176867331658404</v>
      </c>
      <c r="E5" s="401">
        <f>'R5 Input page'!O27*'R6 Base revenue'!O11</f>
        <v>20.470545967946656</v>
      </c>
    </row>
    <row r="6" spans="1:5" ht="16">
      <c r="A6" s="399"/>
      <c r="B6" s="400" t="s">
        <v>620</v>
      </c>
      <c r="D6" s="401">
        <f>'R10 Correction'!N18</f>
        <v>-1128.5006055801211</v>
      </c>
      <c r="E6" s="401">
        <f>'R10 Correction'!O18</f>
        <v>-1180.7309529383665</v>
      </c>
    </row>
    <row r="7" spans="1:5" ht="16">
      <c r="A7" s="399"/>
      <c r="B7" s="400" t="s">
        <v>621</v>
      </c>
      <c r="D7" s="401">
        <f>'R6 Base revenue'!N10*'R6 Base revenue'!N11</f>
        <v>-3.2188547142864468</v>
      </c>
      <c r="E7" s="401">
        <f>'R6 Base revenue'!O10*'R6 Base revenue'!N11</f>
        <v>-4.7201104291784421</v>
      </c>
    </row>
    <row r="8" spans="1:5" ht="16">
      <c r="A8" s="399"/>
      <c r="B8" s="400" t="s">
        <v>622</v>
      </c>
      <c r="D8" s="401"/>
      <c r="E8" s="401"/>
    </row>
    <row r="9" spans="1:5" ht="16">
      <c r="A9" s="399"/>
      <c r="B9" s="400" t="s">
        <v>623</v>
      </c>
      <c r="D9" s="401">
        <f>'R8 Output incentives'!N9</f>
        <v>-3.2171256406696251</v>
      </c>
      <c r="E9" s="401">
        <f>'R8 Output incentives'!O9</f>
        <v>-3.3590703985177255</v>
      </c>
    </row>
    <row r="10" spans="1:5" ht="16">
      <c r="A10" s="399"/>
      <c r="B10" s="400" t="s">
        <v>624</v>
      </c>
      <c r="D10" s="401">
        <f>'R8 Output incentives'!N11</f>
        <v>1.0082072</v>
      </c>
      <c r="E10" s="401">
        <f>'R8 Output incentives'!O11</f>
        <v>0</v>
      </c>
    </row>
    <row r="11" spans="1:5" ht="16">
      <c r="A11" s="399"/>
      <c r="B11" s="400" t="s">
        <v>625</v>
      </c>
      <c r="D11" s="401">
        <f>'R8 Output incentives'!N10</f>
        <v>0</v>
      </c>
      <c r="E11" s="401">
        <f>'R8 Output incentives'!O10</f>
        <v>0</v>
      </c>
    </row>
    <row r="12" spans="1:5" ht="16">
      <c r="A12" s="398"/>
      <c r="B12" s="400" t="s">
        <v>626</v>
      </c>
      <c r="D12" s="401">
        <f>'R8 Output incentives'!N8</f>
        <v>1.7856973464809391</v>
      </c>
      <c r="E12" s="401">
        <f>'R8 Output incentives'!O8</f>
        <v>1.7952448566801309</v>
      </c>
    </row>
    <row r="13" spans="1:5">
      <c r="A13" s="398"/>
    </row>
    <row r="14" spans="1:5" ht="16">
      <c r="A14" s="398"/>
      <c r="B14" s="400" t="s">
        <v>628</v>
      </c>
      <c r="C14" s="401">
        <f>'R10 Correction'!M11</f>
        <v>1156.4229426831666</v>
      </c>
    </row>
    <row r="15" spans="1:5" ht="16">
      <c r="A15" s="398"/>
      <c r="B15" s="400" t="s">
        <v>627</v>
      </c>
      <c r="C15" s="401">
        <f>'R10 Correction'!M10</f>
        <v>0</v>
      </c>
    </row>
    <row r="16" spans="1:5">
      <c r="A16" s="39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999982"/>
  <sheetViews>
    <sheetView showGridLines="0" zoomScale="85" zoomScaleNormal="85" workbookViewId="0">
      <selection activeCell="P34" sqref="P34"/>
    </sheetView>
  </sheetViews>
  <sheetFormatPr defaultColWidth="9" defaultRowHeight="13.5"/>
  <cols>
    <col min="1" max="1" width="28" style="111" customWidth="1"/>
    <col min="2" max="2" width="10.4609375" style="111" customWidth="1"/>
    <col min="3" max="3" width="6.4609375" style="111" customWidth="1"/>
    <col min="4" max="4" width="15.3828125" style="111" customWidth="1"/>
    <col min="5" max="5" width="3.61328125" style="111" customWidth="1"/>
    <col min="6" max="13" width="11.84375" style="111" bestFit="1" customWidth="1"/>
    <col min="14" max="14" width="12.23046875" style="111" customWidth="1"/>
    <col min="15" max="16384" width="9" style="111"/>
  </cols>
  <sheetData>
    <row r="1" spans="1:19" s="121" customFormat="1" ht="15">
      <c r="A1" s="126" t="s">
        <v>134</v>
      </c>
      <c r="N1" s="346"/>
    </row>
    <row r="2" spans="1:19" s="121" customFormat="1" ht="15">
      <c r="A2" s="126" t="str">
        <f>CompName</f>
        <v>Scottish Hydro Electric Transmission Plc</v>
      </c>
      <c r="N2" s="346"/>
    </row>
    <row r="3" spans="1:19" s="121" customFormat="1">
      <c r="A3" s="128" t="str">
        <f>RegYr</f>
        <v>Regulatory Year ending 31 March 2020</v>
      </c>
      <c r="N3" s="346"/>
    </row>
    <row r="4" spans="1:19">
      <c r="A4" s="137"/>
      <c r="B4" s="137"/>
      <c r="C4" s="137"/>
      <c r="D4" s="137"/>
      <c r="E4" s="137"/>
      <c r="F4" s="137"/>
      <c r="G4" s="137"/>
      <c r="H4" s="137"/>
      <c r="I4" s="137"/>
      <c r="J4" s="137"/>
      <c r="K4" s="137"/>
      <c r="L4" s="137"/>
      <c r="M4" s="137"/>
      <c r="N4" s="347"/>
      <c r="O4" s="137"/>
      <c r="P4" s="137"/>
      <c r="Q4" s="137"/>
      <c r="R4" s="137"/>
      <c r="S4" s="137"/>
    </row>
    <row r="5" spans="1:19" ht="15">
      <c r="A5" s="159" t="s">
        <v>31</v>
      </c>
      <c r="B5" s="130"/>
      <c r="C5" s="130"/>
      <c r="D5" s="130"/>
      <c r="E5" s="130"/>
      <c r="F5" s="130"/>
      <c r="G5" s="130"/>
      <c r="H5" s="130"/>
      <c r="I5" s="130"/>
      <c r="N5" s="332"/>
    </row>
    <row r="6" spans="1:19" ht="14">
      <c r="B6" s="113"/>
      <c r="C6" s="113"/>
      <c r="D6" s="113"/>
      <c r="E6" s="113"/>
      <c r="F6" s="113"/>
      <c r="G6" s="113"/>
      <c r="H6" s="113"/>
      <c r="I6" s="113"/>
      <c r="N6" s="332"/>
    </row>
    <row r="7" spans="1:19" ht="16.5" customHeight="1">
      <c r="A7" s="110" t="s">
        <v>534</v>
      </c>
      <c r="D7" s="113"/>
      <c r="E7" s="113"/>
      <c r="F7" s="112">
        <v>2014</v>
      </c>
      <c r="G7" s="112">
        <v>2015</v>
      </c>
      <c r="H7" s="112">
        <v>2016</v>
      </c>
      <c r="I7" s="112">
        <v>2017</v>
      </c>
      <c r="J7" s="112">
        <v>2018</v>
      </c>
      <c r="K7" s="112">
        <v>2019</v>
      </c>
      <c r="L7" s="112">
        <v>2020</v>
      </c>
      <c r="M7" s="112">
        <v>2021</v>
      </c>
      <c r="N7" s="332"/>
    </row>
    <row r="8" spans="1:19" ht="14">
      <c r="A8" s="111" t="s">
        <v>36</v>
      </c>
      <c r="B8" s="111" t="s">
        <v>232</v>
      </c>
      <c r="C8" s="259" t="s">
        <v>1</v>
      </c>
      <c r="D8" s="113"/>
      <c r="E8" s="113"/>
      <c r="F8" s="230">
        <f t="shared" ref="F8:M8" si="0">NIA</f>
        <v>0</v>
      </c>
      <c r="G8" s="230">
        <f t="shared" si="0"/>
        <v>0</v>
      </c>
      <c r="H8" s="230">
        <f t="shared" si="0"/>
        <v>0</v>
      </c>
      <c r="I8" s="230">
        <f t="shared" si="0"/>
        <v>0</v>
      </c>
      <c r="J8" s="230">
        <f t="shared" si="0"/>
        <v>0</v>
      </c>
      <c r="K8" s="230">
        <f t="shared" si="0"/>
        <v>0</v>
      </c>
      <c r="L8" s="230">
        <f t="shared" si="0"/>
        <v>0</v>
      </c>
      <c r="M8" s="230">
        <f t="shared" si="0"/>
        <v>0</v>
      </c>
      <c r="N8" s="343" t="s">
        <v>232</v>
      </c>
    </row>
    <row r="9" spans="1:19">
      <c r="A9" s="273" t="s">
        <v>532</v>
      </c>
      <c r="B9" s="273" t="s">
        <v>533</v>
      </c>
      <c r="C9" s="276" t="s">
        <v>1</v>
      </c>
      <c r="D9" s="273"/>
      <c r="E9" s="273"/>
      <c r="F9" s="230">
        <f t="shared" ref="F9:M9" si="1">NICF</f>
        <v>0</v>
      </c>
      <c r="G9" s="230">
        <f t="shared" si="1"/>
        <v>0</v>
      </c>
      <c r="H9" s="230">
        <f t="shared" si="1"/>
        <v>0</v>
      </c>
      <c r="I9" s="230">
        <f t="shared" si="1"/>
        <v>0</v>
      </c>
      <c r="J9" s="230">
        <f t="shared" si="1"/>
        <v>0</v>
      </c>
      <c r="K9" s="230">
        <f t="shared" si="1"/>
        <v>0</v>
      </c>
      <c r="L9" s="230">
        <f t="shared" si="1"/>
        <v>0</v>
      </c>
      <c r="M9" s="230">
        <f t="shared" si="1"/>
        <v>0</v>
      </c>
      <c r="N9" s="343" t="s">
        <v>533</v>
      </c>
    </row>
    <row r="10" spans="1:19">
      <c r="C10" s="259"/>
      <c r="N10" s="332"/>
    </row>
    <row r="11" spans="1:19" ht="17.5">
      <c r="A11" s="110" t="s">
        <v>52</v>
      </c>
      <c r="C11" s="259"/>
      <c r="E11" s="129" t="s">
        <v>229</v>
      </c>
      <c r="H11" s="118"/>
      <c r="N11" s="332"/>
    </row>
    <row r="12" spans="1:19" ht="14.5">
      <c r="A12" s="110" t="s">
        <v>462</v>
      </c>
      <c r="C12" s="259"/>
      <c r="F12" s="112">
        <v>2014</v>
      </c>
      <c r="G12" s="112">
        <v>2015</v>
      </c>
      <c r="H12" s="112">
        <v>2016</v>
      </c>
      <c r="I12" s="112">
        <v>2017</v>
      </c>
      <c r="J12" s="112">
        <v>2018</v>
      </c>
      <c r="K12" s="112">
        <v>2019</v>
      </c>
      <c r="L12" s="112">
        <v>2020</v>
      </c>
      <c r="M12" s="112">
        <v>2021</v>
      </c>
      <c r="N12" s="332"/>
    </row>
    <row r="13" spans="1:19">
      <c r="A13" s="111" t="s">
        <v>53</v>
      </c>
      <c r="B13" s="111" t="s">
        <v>354</v>
      </c>
      <c r="C13" s="259" t="s">
        <v>1</v>
      </c>
      <c r="F13" s="230">
        <f t="shared" ref="F13:M13" si="2">ANIA</f>
        <v>0</v>
      </c>
      <c r="G13" s="230">
        <f t="shared" si="2"/>
        <v>0</v>
      </c>
      <c r="H13" s="230">
        <f t="shared" si="2"/>
        <v>0</v>
      </c>
      <c r="I13" s="230">
        <f t="shared" si="2"/>
        <v>0</v>
      </c>
      <c r="J13" s="230">
        <f t="shared" si="2"/>
        <v>0</v>
      </c>
      <c r="K13" s="230">
        <f t="shared" si="2"/>
        <v>0</v>
      </c>
      <c r="L13" s="230">
        <f t="shared" si="2"/>
        <v>0</v>
      </c>
      <c r="M13" s="230">
        <f t="shared" si="2"/>
        <v>0</v>
      </c>
      <c r="N13" s="343" t="s">
        <v>354</v>
      </c>
    </row>
    <row r="14" spans="1:19">
      <c r="A14" s="111" t="s">
        <v>589</v>
      </c>
      <c r="B14" s="111" t="s">
        <v>233</v>
      </c>
      <c r="C14" s="259" t="s">
        <v>1</v>
      </c>
      <c r="F14" s="230">
        <f t="shared" ref="F14:M14" si="3">NIAR</f>
        <v>0</v>
      </c>
      <c r="G14" s="230">
        <f t="shared" si="3"/>
        <v>0</v>
      </c>
      <c r="H14" s="230">
        <f t="shared" si="3"/>
        <v>0</v>
      </c>
      <c r="I14" s="230">
        <f t="shared" si="3"/>
        <v>0</v>
      </c>
      <c r="J14" s="230">
        <f t="shared" si="3"/>
        <v>0</v>
      </c>
      <c r="K14" s="230">
        <f t="shared" si="3"/>
        <v>0</v>
      </c>
      <c r="L14" s="230">
        <f t="shared" si="3"/>
        <v>0</v>
      </c>
      <c r="M14" s="230">
        <f t="shared" si="3"/>
        <v>0</v>
      </c>
      <c r="N14" s="343" t="s">
        <v>233</v>
      </c>
    </row>
    <row r="15" spans="1:19">
      <c r="A15" s="111" t="s">
        <v>36</v>
      </c>
      <c r="B15" s="111" t="s">
        <v>232</v>
      </c>
      <c r="C15" s="259" t="s">
        <v>1</v>
      </c>
      <c r="F15" s="229">
        <f>SUM(F13-F14)</f>
        <v>0</v>
      </c>
      <c r="G15" s="229">
        <f t="shared" ref="G15:M15" si="4">SUM(G13-G14)</f>
        <v>0</v>
      </c>
      <c r="H15" s="229">
        <f>SUM(H13-H14)</f>
        <v>0</v>
      </c>
      <c r="I15" s="229">
        <f t="shared" si="4"/>
        <v>0</v>
      </c>
      <c r="J15" s="229">
        <f t="shared" si="4"/>
        <v>0</v>
      </c>
      <c r="K15" s="229">
        <f t="shared" si="4"/>
        <v>0</v>
      </c>
      <c r="L15" s="229">
        <f>SUM(L13-L14)</f>
        <v>0</v>
      </c>
      <c r="M15" s="229">
        <f t="shared" si="4"/>
        <v>0</v>
      </c>
      <c r="N15" s="343" t="s">
        <v>232</v>
      </c>
    </row>
    <row r="16" spans="1:19">
      <c r="C16" s="259"/>
      <c r="F16" s="118"/>
      <c r="G16" s="118"/>
      <c r="H16" s="118"/>
      <c r="I16" s="118"/>
      <c r="J16" s="118"/>
      <c r="K16" s="118"/>
      <c r="L16" s="118"/>
      <c r="M16" s="118"/>
      <c r="N16" s="332"/>
    </row>
    <row r="17" spans="1:14">
      <c r="C17" s="259"/>
      <c r="N17" s="332"/>
    </row>
    <row r="18" spans="1:14">
      <c r="C18" s="259"/>
      <c r="N18" s="332"/>
    </row>
    <row r="19" spans="1:14">
      <c r="C19" s="259"/>
      <c r="N19" s="332"/>
    </row>
    <row r="20" spans="1:14" ht="17.5">
      <c r="A20" s="110" t="s">
        <v>54</v>
      </c>
      <c r="C20" s="259"/>
      <c r="E20" s="129" t="s">
        <v>371</v>
      </c>
      <c r="J20" s="118"/>
      <c r="N20" s="332"/>
    </row>
    <row r="21" spans="1:14" ht="14.5">
      <c r="A21" s="110" t="s">
        <v>461</v>
      </c>
      <c r="C21" s="259"/>
      <c r="F21" s="112">
        <v>2014</v>
      </c>
      <c r="G21" s="112">
        <v>2015</v>
      </c>
      <c r="H21" s="112">
        <v>2016</v>
      </c>
      <c r="I21" s="112">
        <v>2017</v>
      </c>
      <c r="J21" s="112">
        <v>2018</v>
      </c>
      <c r="K21" s="112">
        <v>2019</v>
      </c>
      <c r="L21" s="112">
        <v>2020</v>
      </c>
      <c r="M21" s="112">
        <v>2021</v>
      </c>
      <c r="N21" s="332"/>
    </row>
    <row r="22" spans="1:14">
      <c r="A22" s="111" t="s">
        <v>58</v>
      </c>
      <c r="B22" s="111" t="s">
        <v>55</v>
      </c>
      <c r="C22" s="259" t="s">
        <v>118</v>
      </c>
      <c r="F22" s="244">
        <f t="shared" ref="F22:M22" si="5">PTRA</f>
        <v>0.9</v>
      </c>
      <c r="G22" s="244">
        <f t="shared" si="5"/>
        <v>0.9</v>
      </c>
      <c r="H22" s="244">
        <f t="shared" si="5"/>
        <v>0.9</v>
      </c>
      <c r="I22" s="244">
        <f t="shared" si="5"/>
        <v>0.9</v>
      </c>
      <c r="J22" s="244">
        <f t="shared" si="5"/>
        <v>0.9</v>
      </c>
      <c r="K22" s="244">
        <f t="shared" si="5"/>
        <v>0.9</v>
      </c>
      <c r="L22" s="244">
        <f t="shared" si="5"/>
        <v>0.9</v>
      </c>
      <c r="M22" s="244">
        <f t="shared" si="5"/>
        <v>0.9</v>
      </c>
      <c r="N22" s="343" t="s">
        <v>55</v>
      </c>
    </row>
    <row r="23" spans="1:14">
      <c r="A23" s="111" t="s">
        <v>59</v>
      </c>
      <c r="B23" s="111" t="s">
        <v>231</v>
      </c>
      <c r="C23" s="259" t="s">
        <v>1</v>
      </c>
      <c r="F23" s="133">
        <f t="shared" ref="F23:M23" si="6">ENIA</f>
        <v>0</v>
      </c>
      <c r="G23" s="133">
        <f t="shared" si="6"/>
        <v>0</v>
      </c>
      <c r="H23" s="133">
        <f t="shared" si="6"/>
        <v>0</v>
      </c>
      <c r="I23" s="133">
        <f t="shared" si="6"/>
        <v>0</v>
      </c>
      <c r="J23" s="133">
        <f t="shared" si="6"/>
        <v>0</v>
      </c>
      <c r="K23" s="133">
        <f t="shared" si="6"/>
        <v>0</v>
      </c>
      <c r="L23" s="133">
        <f t="shared" si="6"/>
        <v>0</v>
      </c>
      <c r="M23" s="133">
        <f t="shared" si="6"/>
        <v>0</v>
      </c>
      <c r="N23" s="353" t="s">
        <v>231</v>
      </c>
    </row>
    <row r="24" spans="1:14">
      <c r="A24" s="111" t="s">
        <v>230</v>
      </c>
      <c r="B24" s="111" t="s">
        <v>56</v>
      </c>
      <c r="C24" s="259" t="s">
        <v>1</v>
      </c>
      <c r="F24" s="133">
        <f t="shared" ref="F24:M24" si="7">BPC</f>
        <v>0</v>
      </c>
      <c r="G24" s="133">
        <f t="shared" si="7"/>
        <v>0</v>
      </c>
      <c r="H24" s="133">
        <f t="shared" si="7"/>
        <v>0</v>
      </c>
      <c r="I24" s="133">
        <f t="shared" si="7"/>
        <v>0</v>
      </c>
      <c r="J24" s="133">
        <f t="shared" si="7"/>
        <v>0</v>
      </c>
      <c r="K24" s="133">
        <f t="shared" si="7"/>
        <v>0</v>
      </c>
      <c r="L24" s="133">
        <f t="shared" si="7"/>
        <v>0</v>
      </c>
      <c r="M24" s="133">
        <f t="shared" si="7"/>
        <v>0</v>
      </c>
      <c r="N24" s="353" t="s">
        <v>56</v>
      </c>
    </row>
    <row r="25" spans="1:14">
      <c r="A25" s="111" t="s">
        <v>60</v>
      </c>
      <c r="B25" s="111" t="s">
        <v>57</v>
      </c>
      <c r="C25" s="259" t="s">
        <v>105</v>
      </c>
      <c r="F25" s="153">
        <f t="shared" ref="F25:M25" si="8">NIAV</f>
        <v>7.0000000000000001E-3</v>
      </c>
      <c r="G25" s="153">
        <f t="shared" si="8"/>
        <v>7.0000000000000001E-3</v>
      </c>
      <c r="H25" s="153">
        <f t="shared" si="8"/>
        <v>7.0000000000000001E-3</v>
      </c>
      <c r="I25" s="153">
        <f t="shared" si="8"/>
        <v>7.0000000000000001E-3</v>
      </c>
      <c r="J25" s="153">
        <f t="shared" si="8"/>
        <v>7.0000000000000001E-3</v>
      </c>
      <c r="K25" s="153">
        <f t="shared" si="8"/>
        <v>7.0000000000000001E-3</v>
      </c>
      <c r="L25" s="153">
        <f t="shared" si="8"/>
        <v>7.0000000000000001E-3</v>
      </c>
      <c r="M25" s="153">
        <f t="shared" si="8"/>
        <v>7.0000000000000001E-3</v>
      </c>
      <c r="N25" s="343" t="s">
        <v>57</v>
      </c>
    </row>
    <row r="26" spans="1:14">
      <c r="A26" s="111" t="s">
        <v>373</v>
      </c>
      <c r="B26" s="111" t="s">
        <v>372</v>
      </c>
      <c r="C26" s="259" t="s">
        <v>1</v>
      </c>
      <c r="F26" s="162">
        <v>290.12</v>
      </c>
      <c r="G26" s="162">
        <v>290.12</v>
      </c>
      <c r="H26" s="162">
        <v>290.12</v>
      </c>
      <c r="I26" s="162">
        <v>290.12</v>
      </c>
      <c r="J26" s="162">
        <v>290.12</v>
      </c>
      <c r="K26" s="162">
        <v>290.12</v>
      </c>
      <c r="L26" s="162">
        <v>290.12</v>
      </c>
      <c r="M26" s="162">
        <v>290.12</v>
      </c>
      <c r="N26" s="343" t="s">
        <v>372</v>
      </c>
    </row>
    <row r="27" spans="1:14">
      <c r="A27" s="111" t="s">
        <v>53</v>
      </c>
      <c r="B27" s="111" t="s">
        <v>354</v>
      </c>
      <c r="C27" s="259" t="s">
        <v>1</v>
      </c>
      <c r="F27" s="135">
        <f>F22*MIN( F23+F24,F25*F26)</f>
        <v>0</v>
      </c>
      <c r="G27" s="135">
        <f t="shared" ref="G27:M27" si="9">G22*MIN( G23+G24,G25*G26)</f>
        <v>0</v>
      </c>
      <c r="H27" s="135">
        <f>H22*MIN( H23+H24,H25*H26)</f>
        <v>0</v>
      </c>
      <c r="I27" s="135">
        <f t="shared" si="9"/>
        <v>0</v>
      </c>
      <c r="J27" s="135">
        <f t="shared" si="9"/>
        <v>0</v>
      </c>
      <c r="K27" s="135">
        <f t="shared" si="9"/>
        <v>0</v>
      </c>
      <c r="L27" s="135">
        <f>L22*MIN( L23+L24,L25*L26)</f>
        <v>0</v>
      </c>
      <c r="M27" s="135">
        <f t="shared" si="9"/>
        <v>0</v>
      </c>
      <c r="N27" s="343" t="s">
        <v>354</v>
      </c>
    </row>
    <row r="28" spans="1:14">
      <c r="C28" s="259"/>
      <c r="F28" s="118"/>
      <c r="G28" s="118"/>
      <c r="H28" s="118"/>
      <c r="N28" s="332"/>
    </row>
    <row r="29" spans="1:14">
      <c r="C29" s="259"/>
      <c r="N29" s="332"/>
    </row>
    <row r="30" spans="1:14">
      <c r="C30" s="259"/>
      <c r="N30" s="332"/>
    </row>
    <row r="31" spans="1:14">
      <c r="A31" s="118" t="s">
        <v>287</v>
      </c>
      <c r="C31" s="259"/>
      <c r="N31" s="332"/>
    </row>
    <row r="32" spans="1:14" ht="19.5" customHeight="1">
      <c r="A32" s="110" t="s">
        <v>288</v>
      </c>
      <c r="C32" s="259"/>
      <c r="I32" s="118"/>
      <c r="N32" s="332"/>
    </row>
    <row r="33" spans="1:15" ht="14.5">
      <c r="A33" s="110" t="s">
        <v>463</v>
      </c>
      <c r="C33" s="259"/>
      <c r="F33" s="112">
        <v>2014</v>
      </c>
      <c r="G33" s="112">
        <v>2015</v>
      </c>
      <c r="H33" s="112">
        <v>2016</v>
      </c>
      <c r="I33" s="112">
        <v>2017</v>
      </c>
      <c r="J33" s="112">
        <v>2018</v>
      </c>
      <c r="K33" s="112">
        <v>2019</v>
      </c>
      <c r="L33" s="112">
        <v>2020</v>
      </c>
      <c r="M33" s="112">
        <v>2021</v>
      </c>
      <c r="N33" s="332"/>
    </row>
    <row r="34" spans="1:15">
      <c r="A34" s="111" t="s">
        <v>59</v>
      </c>
      <c r="B34" s="111" t="s">
        <v>231</v>
      </c>
      <c r="C34" s="259" t="s">
        <v>1</v>
      </c>
      <c r="F34" s="133">
        <f t="shared" ref="F34:M34" si="10">ENIA</f>
        <v>0</v>
      </c>
      <c r="G34" s="133">
        <f t="shared" si="10"/>
        <v>0</v>
      </c>
      <c r="H34" s="133">
        <f t="shared" si="10"/>
        <v>0</v>
      </c>
      <c r="I34" s="133">
        <f t="shared" si="10"/>
        <v>0</v>
      </c>
      <c r="J34" s="133">
        <f t="shared" si="10"/>
        <v>0</v>
      </c>
      <c r="K34" s="133">
        <f t="shared" si="10"/>
        <v>0</v>
      </c>
      <c r="L34" s="133">
        <f t="shared" si="10"/>
        <v>0</v>
      </c>
      <c r="M34" s="133">
        <f t="shared" si="10"/>
        <v>0</v>
      </c>
      <c r="N34" s="353" t="s">
        <v>231</v>
      </c>
    </row>
    <row r="35" spans="1:15">
      <c r="A35" s="131" t="s">
        <v>290</v>
      </c>
      <c r="B35" s="273" t="s">
        <v>291</v>
      </c>
      <c r="C35" s="276" t="s">
        <v>1</v>
      </c>
      <c r="D35" s="160"/>
      <c r="E35" s="160"/>
      <c r="F35" s="161">
        <f t="shared" ref="F35:M35" si="11">NIAIE</f>
        <v>0</v>
      </c>
      <c r="G35" s="161">
        <f t="shared" si="11"/>
        <v>0</v>
      </c>
      <c r="H35" s="161">
        <f t="shared" si="11"/>
        <v>0</v>
      </c>
      <c r="I35" s="161">
        <f t="shared" si="11"/>
        <v>0</v>
      </c>
      <c r="J35" s="161">
        <f t="shared" si="11"/>
        <v>0</v>
      </c>
      <c r="K35" s="161">
        <f t="shared" si="11"/>
        <v>0</v>
      </c>
      <c r="L35" s="161">
        <f t="shared" si="11"/>
        <v>0</v>
      </c>
      <c r="M35" s="161">
        <f t="shared" si="11"/>
        <v>0</v>
      </c>
      <c r="N35" s="353" t="s">
        <v>291</v>
      </c>
    </row>
    <row r="36" spans="1:15">
      <c r="A36" s="111" t="s">
        <v>118</v>
      </c>
      <c r="B36" s="111" t="s">
        <v>289</v>
      </c>
      <c r="C36" s="259" t="s">
        <v>118</v>
      </c>
      <c r="F36" s="278">
        <v>0.25</v>
      </c>
      <c r="G36" s="278">
        <v>0.25</v>
      </c>
      <c r="H36" s="278">
        <v>0.25</v>
      </c>
      <c r="I36" s="278">
        <v>0.25</v>
      </c>
      <c r="J36" s="278">
        <v>0.25</v>
      </c>
      <c r="K36" s="278">
        <v>0.25</v>
      </c>
      <c r="L36" s="278">
        <v>0.25</v>
      </c>
      <c r="M36" s="278">
        <v>0.25</v>
      </c>
      <c r="N36" s="353" t="s">
        <v>289</v>
      </c>
      <c r="O36" s="332"/>
    </row>
    <row r="37" spans="1:15">
      <c r="A37" s="111" t="s">
        <v>379</v>
      </c>
      <c r="C37" s="259"/>
      <c r="F37" s="135" t="str">
        <f>IF(F35&lt;=(F34*F36),"OK","NON COMPLIANT")</f>
        <v>OK</v>
      </c>
      <c r="G37" s="135" t="str">
        <f t="shared" ref="G37:M37" si="12">IF(G35&lt;=(G34*G36),"OK","NON COMPLIANT")</f>
        <v>OK</v>
      </c>
      <c r="H37" s="135" t="str">
        <f t="shared" si="12"/>
        <v>OK</v>
      </c>
      <c r="I37" s="135" t="str">
        <f t="shared" si="12"/>
        <v>OK</v>
      </c>
      <c r="J37" s="135" t="str">
        <f t="shared" si="12"/>
        <v>OK</v>
      </c>
      <c r="K37" s="135" t="str">
        <f t="shared" si="12"/>
        <v>OK</v>
      </c>
      <c r="L37" s="135" t="str">
        <f t="shared" si="12"/>
        <v>OK</v>
      </c>
      <c r="M37" s="135" t="str">
        <f t="shared" si="12"/>
        <v>OK</v>
      </c>
      <c r="N37" s="353"/>
      <c r="O37" s="332"/>
    </row>
    <row r="38" spans="1:15">
      <c r="C38" s="276"/>
      <c r="F38" s="118"/>
      <c r="G38" s="118"/>
      <c r="H38" s="118"/>
      <c r="N38" s="332"/>
    </row>
    <row r="39" spans="1:15">
      <c r="C39" s="259"/>
      <c r="N39" s="332"/>
    </row>
    <row r="40" spans="1:15">
      <c r="A40" s="110"/>
      <c r="C40" s="259"/>
      <c r="N40" s="332"/>
    </row>
    <row r="41" spans="1:15">
      <c r="A41" s="111" t="s">
        <v>452</v>
      </c>
      <c r="C41" s="259"/>
      <c r="J41" s="118"/>
      <c r="N41" s="332"/>
    </row>
    <row r="42" spans="1:15">
      <c r="C42" s="259"/>
      <c r="J42" s="118"/>
      <c r="N42" s="332"/>
    </row>
    <row r="43" spans="1:15">
      <c r="A43" s="110" t="s">
        <v>464</v>
      </c>
      <c r="C43" s="259"/>
      <c r="J43" s="118"/>
      <c r="N43" s="332"/>
    </row>
    <row r="44" spans="1:15">
      <c r="C44" s="259"/>
      <c r="N44" s="332"/>
    </row>
    <row r="45" spans="1:15" s="273" customFormat="1" ht="14.5">
      <c r="C45" s="276"/>
      <c r="F45" s="112" t="s">
        <v>530</v>
      </c>
      <c r="N45" s="332"/>
    </row>
    <row r="46" spans="1:15">
      <c r="A46" s="111" t="s">
        <v>529</v>
      </c>
      <c r="B46" s="111" t="s">
        <v>354</v>
      </c>
      <c r="C46" s="276" t="s">
        <v>1</v>
      </c>
      <c r="F46" s="228">
        <f>SUM(ANIA)</f>
        <v>0</v>
      </c>
      <c r="N46" s="332"/>
    </row>
    <row r="47" spans="1:15">
      <c r="A47" s="273" t="s">
        <v>531</v>
      </c>
      <c r="B47" s="131" t="s">
        <v>298</v>
      </c>
      <c r="C47" s="259" t="s">
        <v>1</v>
      </c>
      <c r="F47" s="228">
        <f>SUM(BR)</f>
        <v>1804.6569195018799</v>
      </c>
      <c r="N47" s="332"/>
    </row>
    <row r="48" spans="1:15">
      <c r="A48" s="111" t="s">
        <v>58</v>
      </c>
      <c r="B48" s="111" t="s">
        <v>55</v>
      </c>
      <c r="C48" s="111" t="s">
        <v>118</v>
      </c>
      <c r="F48" s="248">
        <f>F22</f>
        <v>0.9</v>
      </c>
      <c r="G48" s="273"/>
      <c r="H48" s="273"/>
      <c r="I48" s="273"/>
      <c r="J48" s="273"/>
      <c r="K48" s="273"/>
      <c r="L48" s="273"/>
      <c r="N48" s="332"/>
    </row>
    <row r="49" spans="1:15">
      <c r="A49" s="111" t="s">
        <v>60</v>
      </c>
      <c r="B49" s="111" t="s">
        <v>57</v>
      </c>
      <c r="C49" s="276" t="s">
        <v>105</v>
      </c>
      <c r="F49" s="354">
        <f>M25</f>
        <v>7.0000000000000001E-3</v>
      </c>
      <c r="N49" s="332"/>
    </row>
    <row r="50" spans="1:15">
      <c r="C50" s="259"/>
      <c r="F50" s="135">
        <f>F47*F48*F49</f>
        <v>11.369338592861844</v>
      </c>
      <c r="G50" s="273"/>
      <c r="H50" s="273"/>
      <c r="I50" s="273"/>
      <c r="J50" s="273"/>
      <c r="K50" s="273"/>
      <c r="L50" s="273"/>
      <c r="N50" s="332"/>
    </row>
    <row r="51" spans="1:15">
      <c r="A51" s="110" t="s">
        <v>453</v>
      </c>
      <c r="C51" s="259"/>
      <c r="F51" s="251" t="str">
        <f>IF(F46&lt;=F50, "OK", "NOT OK")</f>
        <v>OK</v>
      </c>
      <c r="G51" s="273"/>
      <c r="H51" s="273"/>
      <c r="I51" s="273"/>
      <c r="J51" s="273"/>
      <c r="K51" s="273"/>
      <c r="L51" s="273"/>
      <c r="N51" s="332"/>
    </row>
    <row r="52" spans="1:15">
      <c r="C52" s="259"/>
      <c r="N52" s="332"/>
    </row>
    <row r="53" spans="1:15">
      <c r="N53" s="332"/>
    </row>
    <row r="54" spans="1:15">
      <c r="G54" s="311"/>
      <c r="N54" s="332"/>
      <c r="O54" s="259"/>
    </row>
    <row r="55" spans="1:15">
      <c r="N55" s="332"/>
      <c r="O55" s="259"/>
    </row>
    <row r="56" spans="1:15">
      <c r="D56" s="273"/>
      <c r="N56" s="332"/>
    </row>
    <row r="57" spans="1:15">
      <c r="D57" s="273"/>
      <c r="N57" s="332"/>
    </row>
    <row r="58" spans="1:15">
      <c r="N58" s="332"/>
    </row>
    <row r="59" spans="1:15">
      <c r="N59" s="332"/>
    </row>
    <row r="60" spans="1:15">
      <c r="N60" s="332"/>
    </row>
    <row r="61" spans="1:15">
      <c r="N61" s="332"/>
    </row>
    <row r="62" spans="1:15">
      <c r="N62" s="332"/>
    </row>
    <row r="63" spans="1:15">
      <c r="N63" s="332"/>
    </row>
    <row r="64" spans="1:15">
      <c r="N64" s="332"/>
    </row>
    <row r="65" spans="14:14">
      <c r="N65" s="332"/>
    </row>
    <row r="66" spans="14:14">
      <c r="N66" s="332"/>
    </row>
    <row r="67" spans="14:14">
      <c r="N67" s="332"/>
    </row>
    <row r="68" spans="14:14">
      <c r="N68" s="332"/>
    </row>
    <row r="69" spans="14:14">
      <c r="N69" s="332"/>
    </row>
    <row r="70" spans="14:14">
      <c r="N70" s="332"/>
    </row>
    <row r="71" spans="14:14">
      <c r="N71" s="332"/>
    </row>
    <row r="72" spans="14:14">
      <c r="N72" s="332"/>
    </row>
    <row r="73" spans="14:14">
      <c r="N73" s="332"/>
    </row>
    <row r="74" spans="14:14">
      <c r="N74" s="332"/>
    </row>
    <row r="75" spans="14:14">
      <c r="N75" s="332"/>
    </row>
    <row r="76" spans="14:14">
      <c r="N76" s="332"/>
    </row>
    <row r="77" spans="14:14">
      <c r="N77" s="332"/>
    </row>
    <row r="78" spans="14:14">
      <c r="N78" s="332"/>
    </row>
    <row r="79" spans="14:14">
      <c r="N79" s="332"/>
    </row>
    <row r="80" spans="14:14">
      <c r="N80" s="332"/>
    </row>
    <row r="81" spans="14:14">
      <c r="N81" s="332"/>
    </row>
    <row r="82" spans="14:14">
      <c r="N82" s="332"/>
    </row>
    <row r="83" spans="14:14">
      <c r="N83" s="332"/>
    </row>
    <row r="84" spans="14:14">
      <c r="N84" s="332"/>
    </row>
    <row r="85" spans="14:14">
      <c r="N85" s="332"/>
    </row>
    <row r="86" spans="14:14">
      <c r="N86" s="332"/>
    </row>
    <row r="87" spans="14:14">
      <c r="N87" s="332"/>
    </row>
    <row r="88" spans="14:14">
      <c r="N88" s="332"/>
    </row>
    <row r="89" spans="14:14">
      <c r="N89" s="332"/>
    </row>
    <row r="90" spans="14:14">
      <c r="N90" s="332"/>
    </row>
    <row r="91" spans="14:14">
      <c r="N91" s="332"/>
    </row>
    <row r="92" spans="14:14">
      <c r="N92" s="332"/>
    </row>
    <row r="93" spans="14:14">
      <c r="N93" s="332"/>
    </row>
    <row r="94" spans="14:14">
      <c r="N94" s="332"/>
    </row>
    <row r="95" spans="14:14">
      <c r="N95" s="332"/>
    </row>
    <row r="96" spans="14:14">
      <c r="N96" s="332"/>
    </row>
    <row r="97" spans="14:14">
      <c r="N97" s="332"/>
    </row>
    <row r="98" spans="14:14">
      <c r="N98" s="332"/>
    </row>
    <row r="99" spans="14:14">
      <c r="N99" s="332"/>
    </row>
    <row r="100" spans="14:14">
      <c r="N100" s="332"/>
    </row>
    <row r="101" spans="14:14">
      <c r="N101" s="332"/>
    </row>
    <row r="102" spans="14:14">
      <c r="N102" s="332"/>
    </row>
    <row r="103" spans="14:14">
      <c r="N103" s="332"/>
    </row>
    <row r="104" spans="14:14">
      <c r="N104" s="332"/>
    </row>
    <row r="105" spans="14:14">
      <c r="N105" s="332"/>
    </row>
    <row r="106" spans="14:14">
      <c r="N106" s="332"/>
    </row>
    <row r="107" spans="14:14">
      <c r="N107" s="332"/>
    </row>
    <row r="108" spans="14:14">
      <c r="N108" s="332"/>
    </row>
    <row r="109" spans="14:14">
      <c r="N109" s="332"/>
    </row>
    <row r="110" spans="14:14">
      <c r="N110" s="332"/>
    </row>
    <row r="111" spans="14:14">
      <c r="N111" s="332"/>
    </row>
    <row r="112" spans="14:14">
      <c r="N112" s="332"/>
    </row>
    <row r="113" spans="14:14">
      <c r="N113" s="332"/>
    </row>
    <row r="114" spans="14:14">
      <c r="N114" s="332"/>
    </row>
    <row r="115" spans="14:14">
      <c r="N115" s="332"/>
    </row>
    <row r="116" spans="14:14">
      <c r="N116" s="332"/>
    </row>
    <row r="117" spans="14:14">
      <c r="N117" s="332"/>
    </row>
    <row r="118" spans="14:14">
      <c r="N118" s="332"/>
    </row>
    <row r="119" spans="14:14">
      <c r="N119" s="332"/>
    </row>
    <row r="120" spans="14:14">
      <c r="N120" s="332"/>
    </row>
    <row r="121" spans="14:14">
      <c r="N121" s="332"/>
    </row>
    <row r="122" spans="14:14">
      <c r="N122" s="332"/>
    </row>
    <row r="123" spans="14:14">
      <c r="N123" s="332"/>
    </row>
    <row r="124" spans="14:14">
      <c r="N124" s="332"/>
    </row>
    <row r="125" spans="14:14">
      <c r="N125" s="332"/>
    </row>
    <row r="126" spans="14:14">
      <c r="N126" s="332"/>
    </row>
    <row r="127" spans="14:14">
      <c r="N127" s="332"/>
    </row>
    <row r="128" spans="14:14">
      <c r="N128" s="332"/>
    </row>
    <row r="129" spans="14:14">
      <c r="N129" s="332"/>
    </row>
    <row r="130" spans="14:14">
      <c r="N130" s="332"/>
    </row>
    <row r="131" spans="14:14">
      <c r="N131" s="332"/>
    </row>
    <row r="132" spans="14:14">
      <c r="N132" s="332"/>
    </row>
    <row r="133" spans="14:14">
      <c r="N133" s="332"/>
    </row>
    <row r="134" spans="14:14">
      <c r="N134" s="332"/>
    </row>
    <row r="135" spans="14:14">
      <c r="N135" s="332"/>
    </row>
    <row r="136" spans="14:14">
      <c r="N136" s="332"/>
    </row>
    <row r="137" spans="14:14">
      <c r="N137" s="332"/>
    </row>
    <row r="138" spans="14:14">
      <c r="N138" s="332"/>
    </row>
    <row r="139" spans="14:14">
      <c r="N139" s="332"/>
    </row>
    <row r="140" spans="14:14">
      <c r="N140" s="332"/>
    </row>
    <row r="141" spans="14:14">
      <c r="N141" s="332"/>
    </row>
    <row r="142" spans="14:14">
      <c r="N142" s="332"/>
    </row>
    <row r="143" spans="14:14">
      <c r="N143" s="332"/>
    </row>
    <row r="144" spans="14:14">
      <c r="N144" s="332"/>
    </row>
    <row r="145" spans="14:14">
      <c r="N145" s="332"/>
    </row>
    <row r="146" spans="14:14">
      <c r="N146" s="332"/>
    </row>
    <row r="147" spans="14:14">
      <c r="N147" s="332"/>
    </row>
    <row r="148" spans="14:14">
      <c r="N148" s="332"/>
    </row>
    <row r="149" spans="14:14">
      <c r="N149" s="332"/>
    </row>
    <row r="150" spans="14:14">
      <c r="N150" s="332"/>
    </row>
    <row r="151" spans="14:14">
      <c r="N151" s="332"/>
    </row>
    <row r="152" spans="14:14">
      <c r="N152" s="332"/>
    </row>
    <row r="153" spans="14:14">
      <c r="N153" s="332"/>
    </row>
    <row r="154" spans="14:14">
      <c r="N154" s="332"/>
    </row>
    <row r="155" spans="14:14">
      <c r="N155" s="332"/>
    </row>
    <row r="156" spans="14:14">
      <c r="N156" s="332"/>
    </row>
    <row r="157" spans="14:14">
      <c r="N157" s="332"/>
    </row>
    <row r="158" spans="14:14">
      <c r="N158" s="332"/>
    </row>
    <row r="159" spans="14:14">
      <c r="N159" s="332"/>
    </row>
    <row r="160" spans="14:14">
      <c r="N160" s="332"/>
    </row>
    <row r="161" spans="14:14">
      <c r="N161" s="332"/>
    </row>
    <row r="162" spans="14:14">
      <c r="N162" s="332"/>
    </row>
    <row r="163" spans="14:14">
      <c r="N163" s="332"/>
    </row>
    <row r="164" spans="14:14">
      <c r="N164" s="332"/>
    </row>
    <row r="165" spans="14:14">
      <c r="N165" s="332"/>
    </row>
    <row r="166" spans="14:14">
      <c r="N166" s="332"/>
    </row>
    <row r="167" spans="14:14">
      <c r="N167" s="332"/>
    </row>
    <row r="168" spans="14:14">
      <c r="N168" s="332"/>
    </row>
    <row r="169" spans="14:14">
      <c r="N169" s="332"/>
    </row>
    <row r="170" spans="14:14">
      <c r="N170" s="332"/>
    </row>
    <row r="171" spans="14:14">
      <c r="N171" s="332"/>
    </row>
    <row r="172" spans="14:14">
      <c r="N172" s="332"/>
    </row>
    <row r="173" spans="14:14">
      <c r="N173" s="332"/>
    </row>
    <row r="174" spans="14:14">
      <c r="N174" s="332"/>
    </row>
    <row r="175" spans="14:14">
      <c r="N175" s="332"/>
    </row>
    <row r="176" spans="14:14">
      <c r="N176" s="332"/>
    </row>
    <row r="177" spans="14:14">
      <c r="N177" s="332"/>
    </row>
    <row r="178" spans="14:14">
      <c r="N178" s="332"/>
    </row>
    <row r="179" spans="14:14">
      <c r="N179" s="332"/>
    </row>
    <row r="180" spans="14:14">
      <c r="N180" s="332"/>
    </row>
    <row r="181" spans="14:14">
      <c r="N181" s="332"/>
    </row>
    <row r="182" spans="14:14">
      <c r="N182" s="332"/>
    </row>
    <row r="183" spans="14:14">
      <c r="N183" s="332"/>
    </row>
    <row r="184" spans="14:14">
      <c r="N184" s="332"/>
    </row>
    <row r="185" spans="14:14">
      <c r="N185" s="332"/>
    </row>
    <row r="186" spans="14:14">
      <c r="N186" s="332"/>
    </row>
    <row r="187" spans="14:14">
      <c r="N187" s="332"/>
    </row>
    <row r="188" spans="14:14">
      <c r="N188" s="332"/>
    </row>
    <row r="189" spans="14:14">
      <c r="N189" s="332"/>
    </row>
    <row r="190" spans="14:14">
      <c r="N190" s="332"/>
    </row>
    <row r="191" spans="14:14">
      <c r="N191" s="332"/>
    </row>
    <row r="192" spans="14:14">
      <c r="N192" s="332"/>
    </row>
    <row r="193" spans="14:14">
      <c r="N193" s="332"/>
    </row>
    <row r="194" spans="14:14">
      <c r="N194" s="332"/>
    </row>
    <row r="195" spans="14:14">
      <c r="N195" s="332"/>
    </row>
    <row r="196" spans="14:14">
      <c r="N196" s="332"/>
    </row>
    <row r="197" spans="14:14">
      <c r="N197" s="332"/>
    </row>
    <row r="198" spans="14:14">
      <c r="N198" s="332"/>
    </row>
    <row r="199" spans="14:14">
      <c r="N199" s="332"/>
    </row>
    <row r="200" spans="14:14">
      <c r="N200" s="332"/>
    </row>
    <row r="201" spans="14:14">
      <c r="N201" s="332"/>
    </row>
    <row r="202" spans="14:14">
      <c r="N202" s="332"/>
    </row>
    <row r="203" spans="14:14">
      <c r="N203" s="332"/>
    </row>
    <row r="204" spans="14:14">
      <c r="N204" s="332"/>
    </row>
    <row r="205" spans="14:14">
      <c r="N205" s="332"/>
    </row>
    <row r="206" spans="14:14">
      <c r="N206" s="332"/>
    </row>
    <row r="207" spans="14:14">
      <c r="N207" s="332"/>
    </row>
    <row r="208" spans="14:14">
      <c r="N208" s="332"/>
    </row>
    <row r="209" spans="14:14">
      <c r="N209" s="332"/>
    </row>
    <row r="210" spans="14:14">
      <c r="N210" s="332"/>
    </row>
    <row r="211" spans="14:14">
      <c r="N211" s="332"/>
    </row>
    <row r="212" spans="14:14">
      <c r="N212" s="332"/>
    </row>
    <row r="213" spans="14:14">
      <c r="N213" s="332"/>
    </row>
    <row r="214" spans="14:14">
      <c r="N214" s="332"/>
    </row>
    <row r="215" spans="14:14">
      <c r="N215" s="332"/>
    </row>
    <row r="216" spans="14:14">
      <c r="N216" s="332"/>
    </row>
    <row r="217" spans="14:14">
      <c r="N217" s="332"/>
    </row>
    <row r="218" spans="14:14">
      <c r="N218" s="332"/>
    </row>
    <row r="219" spans="14:14">
      <c r="N219" s="332"/>
    </row>
    <row r="220" spans="14:14">
      <c r="N220" s="332"/>
    </row>
    <row r="221" spans="14:14">
      <c r="N221" s="332"/>
    </row>
    <row r="222" spans="14:14">
      <c r="N222" s="332"/>
    </row>
    <row r="223" spans="14:14">
      <c r="N223" s="332"/>
    </row>
    <row r="224" spans="14:14">
      <c r="N224" s="332"/>
    </row>
    <row r="225" spans="14:14">
      <c r="N225" s="332"/>
    </row>
    <row r="226" spans="14:14">
      <c r="N226" s="332"/>
    </row>
    <row r="227" spans="14:14">
      <c r="N227" s="332"/>
    </row>
    <row r="228" spans="14:14">
      <c r="N228" s="332"/>
    </row>
    <row r="229" spans="14:14">
      <c r="N229" s="332"/>
    </row>
    <row r="230" spans="14:14">
      <c r="N230" s="332"/>
    </row>
    <row r="231" spans="14:14">
      <c r="N231" s="332"/>
    </row>
    <row r="232" spans="14:14">
      <c r="N232" s="332"/>
    </row>
    <row r="233" spans="14:14">
      <c r="N233" s="332"/>
    </row>
    <row r="234" spans="14:14">
      <c r="N234" s="332"/>
    </row>
    <row r="235" spans="14:14">
      <c r="N235" s="332"/>
    </row>
    <row r="236" spans="14:14">
      <c r="N236" s="332"/>
    </row>
    <row r="237" spans="14:14">
      <c r="N237" s="332"/>
    </row>
    <row r="238" spans="14:14">
      <c r="N238" s="332"/>
    </row>
    <row r="239" spans="14:14">
      <c r="N239" s="332"/>
    </row>
    <row r="240" spans="14:14">
      <c r="N240" s="332"/>
    </row>
    <row r="241" spans="14:14">
      <c r="N241" s="332"/>
    </row>
    <row r="242" spans="14:14">
      <c r="N242" s="332"/>
    </row>
    <row r="243" spans="14:14">
      <c r="N243" s="332"/>
    </row>
    <row r="244" spans="14:14">
      <c r="N244" s="332"/>
    </row>
    <row r="245" spans="14:14">
      <c r="N245" s="332"/>
    </row>
    <row r="246" spans="14:14">
      <c r="N246" s="332"/>
    </row>
    <row r="247" spans="14:14">
      <c r="N247" s="332"/>
    </row>
    <row r="248" spans="14:14">
      <c r="N248" s="332"/>
    </row>
    <row r="249" spans="14:14">
      <c r="N249" s="332"/>
    </row>
    <row r="250" spans="14:14">
      <c r="N250" s="332"/>
    </row>
    <row r="251" spans="14:14">
      <c r="N251" s="332"/>
    </row>
    <row r="252" spans="14:14">
      <c r="N252" s="332"/>
    </row>
    <row r="253" spans="14:14">
      <c r="N253" s="332"/>
    </row>
    <row r="254" spans="14:14">
      <c r="N254" s="332"/>
    </row>
    <row r="255" spans="14:14">
      <c r="N255" s="332"/>
    </row>
    <row r="256" spans="14:14">
      <c r="N256" s="332"/>
    </row>
    <row r="257" spans="14:14">
      <c r="N257" s="332"/>
    </row>
    <row r="258" spans="14:14">
      <c r="N258" s="332"/>
    </row>
    <row r="259" spans="14:14">
      <c r="N259" s="332"/>
    </row>
    <row r="260" spans="14:14">
      <c r="N260" s="332"/>
    </row>
    <row r="261" spans="14:14">
      <c r="N261" s="332"/>
    </row>
    <row r="262" spans="14:14">
      <c r="N262" s="332"/>
    </row>
    <row r="263" spans="14:14">
      <c r="N263" s="332"/>
    </row>
    <row r="264" spans="14:14">
      <c r="N264" s="332"/>
    </row>
    <row r="265" spans="14:14">
      <c r="N265" s="332"/>
    </row>
    <row r="266" spans="14:14">
      <c r="N266" s="332"/>
    </row>
    <row r="267" spans="14:14">
      <c r="N267" s="332"/>
    </row>
    <row r="268" spans="14:14">
      <c r="N268" s="332"/>
    </row>
    <row r="269" spans="14:14">
      <c r="N269" s="332"/>
    </row>
    <row r="270" spans="14:14">
      <c r="N270" s="332"/>
    </row>
    <row r="271" spans="14:14">
      <c r="N271" s="332"/>
    </row>
    <row r="272" spans="14:14">
      <c r="N272" s="332"/>
    </row>
    <row r="273" spans="14:14">
      <c r="N273" s="332"/>
    </row>
    <row r="274" spans="14:14">
      <c r="N274" s="332"/>
    </row>
    <row r="275" spans="14:14">
      <c r="N275" s="332"/>
    </row>
    <row r="276" spans="14:14">
      <c r="N276" s="332"/>
    </row>
    <row r="277" spans="14:14">
      <c r="N277" s="332"/>
    </row>
    <row r="278" spans="14:14">
      <c r="N278" s="332"/>
    </row>
    <row r="279" spans="14:14">
      <c r="N279" s="332"/>
    </row>
    <row r="280" spans="14:14">
      <c r="N280" s="332"/>
    </row>
    <row r="281" spans="14:14">
      <c r="N281" s="332"/>
    </row>
    <row r="282" spans="14:14">
      <c r="N282" s="332"/>
    </row>
    <row r="283" spans="14:14">
      <c r="N283" s="332"/>
    </row>
    <row r="284" spans="14:14">
      <c r="N284" s="332"/>
    </row>
    <row r="285" spans="14:14">
      <c r="N285" s="332"/>
    </row>
    <row r="286" spans="14:14">
      <c r="N286" s="332"/>
    </row>
    <row r="287" spans="14:14">
      <c r="N287" s="332"/>
    </row>
    <row r="288" spans="14:14">
      <c r="N288" s="332"/>
    </row>
    <row r="289" spans="14:14">
      <c r="N289" s="332"/>
    </row>
    <row r="290" spans="14:14">
      <c r="N290" s="332"/>
    </row>
    <row r="291" spans="14:14">
      <c r="N291" s="332"/>
    </row>
    <row r="292" spans="14:14">
      <c r="N292" s="332"/>
    </row>
    <row r="293" spans="14:14">
      <c r="N293" s="332"/>
    </row>
    <row r="294" spans="14:14">
      <c r="N294" s="332"/>
    </row>
    <row r="295" spans="14:14">
      <c r="N295" s="332"/>
    </row>
    <row r="296" spans="14:14">
      <c r="N296" s="332"/>
    </row>
    <row r="297" spans="14:14">
      <c r="N297" s="332"/>
    </row>
    <row r="298" spans="14:14">
      <c r="N298" s="332"/>
    </row>
    <row r="299" spans="14:14">
      <c r="N299" s="332"/>
    </row>
    <row r="300" spans="14:14">
      <c r="N300" s="332"/>
    </row>
    <row r="301" spans="14:14">
      <c r="N301" s="332"/>
    </row>
    <row r="302" spans="14:14">
      <c r="N302" s="332"/>
    </row>
    <row r="303" spans="14:14">
      <c r="N303" s="332"/>
    </row>
    <row r="304" spans="14:14">
      <c r="N304" s="332"/>
    </row>
    <row r="305" spans="14:14">
      <c r="N305" s="332"/>
    </row>
    <row r="306" spans="14:14">
      <c r="N306" s="332"/>
    </row>
    <row r="307" spans="14:14">
      <c r="N307" s="332"/>
    </row>
    <row r="308" spans="14:14">
      <c r="N308" s="332"/>
    </row>
    <row r="309" spans="14:14">
      <c r="N309" s="332"/>
    </row>
    <row r="310" spans="14:14">
      <c r="N310" s="332"/>
    </row>
    <row r="311" spans="14:14">
      <c r="N311" s="332"/>
    </row>
    <row r="312" spans="14:14">
      <c r="N312" s="332"/>
    </row>
    <row r="313" spans="14:14">
      <c r="N313" s="332"/>
    </row>
    <row r="314" spans="14:14">
      <c r="N314" s="332"/>
    </row>
    <row r="315" spans="14:14">
      <c r="N315" s="332"/>
    </row>
    <row r="316" spans="14:14">
      <c r="N316" s="332"/>
    </row>
    <row r="317" spans="14:14">
      <c r="N317" s="332"/>
    </row>
    <row r="318" spans="14:14">
      <c r="N318" s="332"/>
    </row>
    <row r="319" spans="14:14">
      <c r="N319" s="332"/>
    </row>
    <row r="320" spans="14:14">
      <c r="N320" s="332"/>
    </row>
    <row r="321" spans="14:14">
      <c r="N321" s="332"/>
    </row>
    <row r="322" spans="14:14">
      <c r="N322" s="332"/>
    </row>
    <row r="323" spans="14:14">
      <c r="N323" s="332"/>
    </row>
    <row r="324" spans="14:14">
      <c r="N324" s="332"/>
    </row>
    <row r="325" spans="14:14">
      <c r="N325" s="332"/>
    </row>
    <row r="326" spans="14:14">
      <c r="N326" s="332"/>
    </row>
    <row r="327" spans="14:14">
      <c r="N327" s="332"/>
    </row>
    <row r="328" spans="14:14">
      <c r="N328" s="332"/>
    </row>
    <row r="329" spans="14:14">
      <c r="N329" s="332"/>
    </row>
    <row r="330" spans="14:14">
      <c r="N330" s="332"/>
    </row>
    <row r="331" spans="14:14">
      <c r="N331" s="332"/>
    </row>
    <row r="332" spans="14:14">
      <c r="N332" s="332"/>
    </row>
    <row r="333" spans="14:14">
      <c r="N333" s="332"/>
    </row>
    <row r="334" spans="14:14">
      <c r="N334" s="332"/>
    </row>
    <row r="335" spans="14:14">
      <c r="N335" s="332"/>
    </row>
    <row r="336" spans="14:14">
      <c r="N336" s="332"/>
    </row>
    <row r="337" spans="14:14">
      <c r="N337" s="332"/>
    </row>
    <row r="338" spans="14:14">
      <c r="N338" s="332"/>
    </row>
    <row r="339" spans="14:14">
      <c r="N339" s="332"/>
    </row>
    <row r="340" spans="14:14">
      <c r="N340" s="332"/>
    </row>
    <row r="341" spans="14:14">
      <c r="N341" s="332"/>
    </row>
    <row r="342" spans="14:14">
      <c r="N342" s="332"/>
    </row>
    <row r="343" spans="14:14">
      <c r="N343" s="332"/>
    </row>
    <row r="344" spans="14:14">
      <c r="N344" s="332"/>
    </row>
    <row r="345" spans="14:14">
      <c r="N345" s="332"/>
    </row>
    <row r="346" spans="14:14">
      <c r="N346" s="332"/>
    </row>
    <row r="347" spans="14:14">
      <c r="N347" s="332"/>
    </row>
    <row r="348" spans="14:14">
      <c r="N348" s="332"/>
    </row>
    <row r="349" spans="14:14">
      <c r="N349" s="332"/>
    </row>
    <row r="350" spans="14:14">
      <c r="N350" s="332"/>
    </row>
    <row r="351" spans="14:14">
      <c r="N351" s="332"/>
    </row>
    <row r="352" spans="14:14">
      <c r="N352" s="332"/>
    </row>
    <row r="353" spans="14:14">
      <c r="N353" s="332"/>
    </row>
    <row r="354" spans="14:14">
      <c r="N354" s="332"/>
    </row>
    <row r="355" spans="14:14">
      <c r="N355" s="332"/>
    </row>
    <row r="356" spans="14:14">
      <c r="N356" s="332"/>
    </row>
    <row r="357" spans="14:14">
      <c r="N357" s="332"/>
    </row>
    <row r="358" spans="14:14">
      <c r="N358" s="332"/>
    </row>
    <row r="359" spans="14:14">
      <c r="N359" s="332"/>
    </row>
    <row r="360" spans="14:14">
      <c r="N360" s="332"/>
    </row>
    <row r="361" spans="14:14">
      <c r="N361" s="332"/>
    </row>
    <row r="362" spans="14:14">
      <c r="N362" s="332"/>
    </row>
    <row r="363" spans="14:14">
      <c r="N363" s="332"/>
    </row>
    <row r="364" spans="14:14">
      <c r="N364" s="332"/>
    </row>
    <row r="365" spans="14:14">
      <c r="N365" s="332"/>
    </row>
    <row r="366" spans="14:14">
      <c r="N366" s="332"/>
    </row>
    <row r="367" spans="14:14">
      <c r="N367" s="332"/>
    </row>
    <row r="368" spans="14:14">
      <c r="N368" s="332"/>
    </row>
    <row r="369" spans="14:14">
      <c r="N369" s="332"/>
    </row>
    <row r="370" spans="14:14">
      <c r="N370" s="332"/>
    </row>
    <row r="371" spans="14:14">
      <c r="N371" s="332"/>
    </row>
    <row r="372" spans="14:14">
      <c r="N372" s="332"/>
    </row>
    <row r="373" spans="14:14">
      <c r="N373" s="332"/>
    </row>
    <row r="374" spans="14:14">
      <c r="N374" s="332"/>
    </row>
    <row r="375" spans="14:14">
      <c r="N375" s="332"/>
    </row>
    <row r="376" spans="14:14">
      <c r="N376" s="332"/>
    </row>
    <row r="377" spans="14:14">
      <c r="N377" s="332"/>
    </row>
    <row r="378" spans="14:14">
      <c r="N378" s="332"/>
    </row>
    <row r="379" spans="14:14">
      <c r="N379" s="332"/>
    </row>
    <row r="380" spans="14:14">
      <c r="N380" s="332"/>
    </row>
    <row r="381" spans="14:14">
      <c r="N381" s="332"/>
    </row>
    <row r="382" spans="14:14">
      <c r="N382" s="332"/>
    </row>
    <row r="383" spans="14:14">
      <c r="N383" s="332"/>
    </row>
    <row r="384" spans="14:14">
      <c r="N384" s="332"/>
    </row>
    <row r="385" spans="14:14">
      <c r="N385" s="332"/>
    </row>
    <row r="386" spans="14:14">
      <c r="N386" s="332"/>
    </row>
    <row r="387" spans="14:14">
      <c r="N387" s="332"/>
    </row>
    <row r="388" spans="14:14">
      <c r="N388" s="332"/>
    </row>
    <row r="389" spans="14:14">
      <c r="N389" s="332"/>
    </row>
    <row r="390" spans="14:14">
      <c r="N390" s="332"/>
    </row>
    <row r="391" spans="14:14">
      <c r="N391" s="332"/>
    </row>
    <row r="392" spans="14:14">
      <c r="N392" s="332"/>
    </row>
    <row r="393" spans="14:14">
      <c r="N393" s="332"/>
    </row>
    <row r="394" spans="14:14">
      <c r="N394" s="332"/>
    </row>
    <row r="395" spans="14:14">
      <c r="N395" s="332"/>
    </row>
    <row r="396" spans="14:14">
      <c r="N396" s="332"/>
    </row>
    <row r="397" spans="14:14">
      <c r="N397" s="332"/>
    </row>
    <row r="398" spans="14:14">
      <c r="N398" s="332"/>
    </row>
    <row r="399" spans="14:14">
      <c r="N399" s="332"/>
    </row>
    <row r="400" spans="14:14">
      <c r="N400" s="332"/>
    </row>
    <row r="401" spans="14:14">
      <c r="N401" s="332"/>
    </row>
    <row r="402" spans="14:14">
      <c r="N402" s="332"/>
    </row>
    <row r="403" spans="14:14">
      <c r="N403" s="332"/>
    </row>
    <row r="404" spans="14:14">
      <c r="N404" s="332"/>
    </row>
    <row r="405" spans="14:14">
      <c r="N405" s="332"/>
    </row>
    <row r="406" spans="14:14">
      <c r="N406" s="332"/>
    </row>
    <row r="407" spans="14:14">
      <c r="N407" s="332"/>
    </row>
    <row r="408" spans="14:14">
      <c r="N408" s="332"/>
    </row>
    <row r="409" spans="14:14">
      <c r="N409" s="332"/>
    </row>
    <row r="410" spans="14:14">
      <c r="N410" s="332"/>
    </row>
    <row r="411" spans="14:14">
      <c r="N411" s="332"/>
    </row>
    <row r="412" spans="14:14">
      <c r="N412" s="332"/>
    </row>
    <row r="413" spans="14:14">
      <c r="N413" s="332"/>
    </row>
    <row r="414" spans="14:14">
      <c r="N414" s="332"/>
    </row>
    <row r="415" spans="14:14">
      <c r="N415" s="332"/>
    </row>
    <row r="416" spans="14:14">
      <c r="N416" s="332"/>
    </row>
    <row r="417" spans="14:14">
      <c r="N417" s="332"/>
    </row>
    <row r="418" spans="14:14">
      <c r="N418" s="332"/>
    </row>
    <row r="419" spans="14:14">
      <c r="N419" s="332"/>
    </row>
    <row r="420" spans="14:14">
      <c r="N420" s="332"/>
    </row>
    <row r="421" spans="14:14">
      <c r="N421" s="332"/>
    </row>
    <row r="422" spans="14:14">
      <c r="N422" s="332"/>
    </row>
    <row r="423" spans="14:14">
      <c r="N423" s="332"/>
    </row>
    <row r="424" spans="14:14">
      <c r="N424" s="332"/>
    </row>
    <row r="425" spans="14:14">
      <c r="N425" s="332"/>
    </row>
    <row r="426" spans="14:14">
      <c r="N426" s="332"/>
    </row>
    <row r="427" spans="14:14">
      <c r="N427" s="332"/>
    </row>
    <row r="428" spans="14:14">
      <c r="N428" s="332"/>
    </row>
    <row r="429" spans="14:14">
      <c r="N429" s="332"/>
    </row>
    <row r="430" spans="14:14">
      <c r="N430" s="332"/>
    </row>
    <row r="431" spans="14:14">
      <c r="N431" s="332"/>
    </row>
    <row r="432" spans="14:14">
      <c r="N432" s="332"/>
    </row>
    <row r="433" spans="14:14">
      <c r="N433" s="332"/>
    </row>
    <row r="434" spans="14:14">
      <c r="N434" s="332"/>
    </row>
    <row r="435" spans="14:14">
      <c r="N435" s="332"/>
    </row>
    <row r="436" spans="14:14">
      <c r="N436" s="332"/>
    </row>
    <row r="437" spans="14:14">
      <c r="N437" s="332"/>
    </row>
    <row r="438" spans="14:14">
      <c r="N438" s="332"/>
    </row>
    <row r="439" spans="14:14">
      <c r="N439" s="332"/>
    </row>
    <row r="440" spans="14:14">
      <c r="N440" s="332"/>
    </row>
    <row r="441" spans="14:14">
      <c r="N441" s="332"/>
    </row>
    <row r="442" spans="14:14">
      <c r="N442" s="332"/>
    </row>
    <row r="443" spans="14:14">
      <c r="N443" s="332"/>
    </row>
    <row r="444" spans="14:14">
      <c r="N444" s="332"/>
    </row>
    <row r="445" spans="14:14">
      <c r="N445" s="332"/>
    </row>
    <row r="446" spans="14:14">
      <c r="N446" s="332"/>
    </row>
    <row r="447" spans="14:14">
      <c r="N447" s="332"/>
    </row>
    <row r="448" spans="14:14">
      <c r="N448" s="332"/>
    </row>
    <row r="449" spans="14:14">
      <c r="N449" s="332"/>
    </row>
    <row r="450" spans="14:14">
      <c r="N450" s="332"/>
    </row>
    <row r="451" spans="14:14">
      <c r="N451" s="332"/>
    </row>
    <row r="452" spans="14:14">
      <c r="N452" s="332"/>
    </row>
    <row r="453" spans="14:14">
      <c r="N453" s="332"/>
    </row>
    <row r="999977" spans="1:1">
      <c r="A999977" s="111" t="s">
        <v>7</v>
      </c>
    </row>
    <row r="999978" spans="1:1">
      <c r="A999978" s="111" t="s">
        <v>2</v>
      </c>
    </row>
    <row r="999979" spans="1:1">
      <c r="A999979" s="111" t="s">
        <v>6</v>
      </c>
    </row>
    <row r="999980" spans="1:1">
      <c r="A999980" s="111" t="s">
        <v>3</v>
      </c>
    </row>
    <row r="999981" spans="1:1">
      <c r="A999981" s="111" t="s">
        <v>4</v>
      </c>
    </row>
    <row r="999982" spans="1:1">
      <c r="A999982" s="111" t="s">
        <v>5</v>
      </c>
    </row>
  </sheetData>
  <pageMargins left="0.31496062992125984" right="0.23622047244094491" top="0.43307086614173229" bottom="0.55118110236220474" header="0.19685039370078741" footer="0.19685039370078741"/>
  <pageSetup paperSize="9" scale="73" orientation="landscape" r:id="rId1"/>
  <headerFooter>
    <oddFooter>&amp;C&amp;D&amp;R&amp;F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V999988"/>
  <sheetViews>
    <sheetView showGridLines="0" topLeftCell="B1" zoomScale="85" zoomScaleNormal="85" workbookViewId="0">
      <selection activeCell="N9" sqref="N9:O9"/>
    </sheetView>
  </sheetViews>
  <sheetFormatPr defaultColWidth="9" defaultRowHeight="13.5"/>
  <cols>
    <col min="1" max="1" width="28.84375" style="111" customWidth="1"/>
    <col min="2" max="2" width="8.3828125" style="111" customWidth="1"/>
    <col min="3" max="3" width="6" style="111" customWidth="1"/>
    <col min="4" max="4" width="0" style="111" hidden="1" customWidth="1"/>
    <col min="5" max="5" width="9.23046875" style="111" bestFit="1" customWidth="1"/>
    <col min="6" max="6" width="13.15234375" style="111" bestFit="1" customWidth="1"/>
    <col min="7" max="9" width="10.23046875" style="111" bestFit="1" customWidth="1"/>
    <col min="10" max="10" width="14.3828125" style="111" bestFit="1" customWidth="1"/>
    <col min="11" max="11" width="10.23046875" style="111" bestFit="1" customWidth="1"/>
    <col min="12" max="12" width="14.3828125" style="111" bestFit="1" customWidth="1"/>
    <col min="13" max="13" width="11.3828125" style="111" customWidth="1"/>
    <col min="14" max="15" width="12.15234375" style="273" bestFit="1" customWidth="1"/>
    <col min="16" max="16" width="5.23046875" style="111" customWidth="1"/>
    <col min="17" max="16384" width="9" style="111"/>
  </cols>
  <sheetData>
    <row r="1" spans="1:22" s="121" customFormat="1" ht="15">
      <c r="A1" s="126" t="s">
        <v>135</v>
      </c>
      <c r="D1" s="127"/>
      <c r="P1" s="346"/>
    </row>
    <row r="2" spans="1:22" s="121" customFormat="1" ht="15">
      <c r="A2" s="126" t="str">
        <f>CompName</f>
        <v>Scottish Hydro Electric Transmission Plc</v>
      </c>
      <c r="D2" s="127"/>
      <c r="P2" s="346"/>
    </row>
    <row r="3" spans="1:22" s="121" customFormat="1">
      <c r="A3" s="128" t="str">
        <f>RegYr</f>
        <v>Regulatory Year ending 31 March 2020</v>
      </c>
      <c r="D3" s="127"/>
      <c r="P3" s="346"/>
    </row>
    <row r="4" spans="1:22">
      <c r="A4" s="137"/>
      <c r="B4" s="137"/>
      <c r="C4" s="137"/>
      <c r="D4" s="137"/>
      <c r="E4" s="137"/>
      <c r="F4" s="137"/>
      <c r="G4" s="137"/>
      <c r="H4" s="137"/>
      <c r="I4" s="137"/>
      <c r="J4" s="137"/>
      <c r="K4" s="137"/>
      <c r="L4" s="137"/>
      <c r="M4" s="137"/>
      <c r="N4" s="137"/>
      <c r="O4" s="137"/>
      <c r="P4" s="347"/>
      <c r="Q4" s="137"/>
      <c r="R4" s="137"/>
      <c r="S4" s="137"/>
      <c r="T4" s="137"/>
      <c r="U4" s="137"/>
      <c r="V4" s="137"/>
    </row>
    <row r="5" spans="1:22" ht="20.25" customHeight="1">
      <c r="A5" s="143" t="s">
        <v>33</v>
      </c>
      <c r="P5" s="332"/>
    </row>
    <row r="6" spans="1:22" ht="14">
      <c r="B6" s="130"/>
      <c r="C6" s="130"/>
      <c r="D6" s="130"/>
      <c r="E6" s="130"/>
      <c r="G6" s="130"/>
      <c r="H6" s="130"/>
      <c r="I6" s="130"/>
      <c r="J6" s="130"/>
      <c r="P6" s="332"/>
    </row>
    <row r="7" spans="1:22" ht="14">
      <c r="B7" s="113"/>
      <c r="K7" s="118"/>
      <c r="P7" s="332"/>
    </row>
    <row r="8" spans="1:22" ht="14">
      <c r="B8" s="113"/>
      <c r="C8" s="113"/>
      <c r="E8" s="113"/>
      <c r="F8" s="113"/>
      <c r="G8" s="113"/>
      <c r="H8" s="113"/>
      <c r="I8" s="113"/>
      <c r="J8" s="113"/>
      <c r="P8" s="332"/>
    </row>
    <row r="9" spans="1:22" ht="14.5">
      <c r="B9" s="113"/>
      <c r="C9" s="263"/>
      <c r="E9" s="112">
        <v>2013</v>
      </c>
      <c r="F9" s="112">
        <v>2014</v>
      </c>
      <c r="G9" s="112">
        <v>2015</v>
      </c>
      <c r="H9" s="112">
        <v>2016</v>
      </c>
      <c r="I9" s="112">
        <v>2017</v>
      </c>
      <c r="J9" s="112">
        <v>2018</v>
      </c>
      <c r="K9" s="112">
        <v>2019</v>
      </c>
      <c r="L9" s="112">
        <v>2020</v>
      </c>
      <c r="M9" s="112">
        <v>2021</v>
      </c>
      <c r="N9" s="406">
        <v>2022</v>
      </c>
      <c r="O9" s="406">
        <v>2023</v>
      </c>
      <c r="P9" s="332"/>
    </row>
    <row r="10" spans="1:22">
      <c r="A10" s="131" t="s">
        <v>34</v>
      </c>
      <c r="B10" s="131" t="s">
        <v>268</v>
      </c>
      <c r="C10" s="259" t="s">
        <v>1</v>
      </c>
      <c r="E10" s="245"/>
      <c r="F10" s="230">
        <f t="shared" ref="F10:M10" si="0">TNR</f>
        <v>0</v>
      </c>
      <c r="G10" s="230">
        <f t="shared" si="0"/>
        <v>0</v>
      </c>
      <c r="H10" s="230">
        <f t="shared" si="0"/>
        <v>0</v>
      </c>
      <c r="I10" s="230">
        <f t="shared" si="0"/>
        <v>0</v>
      </c>
      <c r="J10" s="230">
        <f t="shared" si="0"/>
        <v>0</v>
      </c>
      <c r="K10" s="230">
        <f t="shared" si="0"/>
        <v>0</v>
      </c>
      <c r="L10" s="230">
        <f t="shared" si="0"/>
        <v>0</v>
      </c>
      <c r="M10" s="230">
        <f t="shared" si="0"/>
        <v>0</v>
      </c>
      <c r="N10" s="230"/>
      <c r="O10" s="230"/>
      <c r="P10" s="343" t="s">
        <v>268</v>
      </c>
    </row>
    <row r="11" spans="1:22">
      <c r="A11" s="131" t="s">
        <v>269</v>
      </c>
      <c r="B11" s="131" t="s">
        <v>12</v>
      </c>
      <c r="C11" s="259" t="s">
        <v>1</v>
      </c>
      <c r="E11" s="245"/>
      <c r="F11" s="230">
        <f t="shared" ref="F11:M11" si="1">TO</f>
        <v>150.13483384892973</v>
      </c>
      <c r="G11" s="230">
        <f t="shared" si="1"/>
        <v>190.52433203991285</v>
      </c>
      <c r="H11" s="230">
        <f t="shared" si="1"/>
        <v>446.06249663977394</v>
      </c>
      <c r="I11" s="230">
        <f t="shared" si="1"/>
        <v>443.07738213487653</v>
      </c>
      <c r="J11" s="230">
        <f t="shared" si="1"/>
        <v>739.72385776172928</v>
      </c>
      <c r="K11" s="230">
        <f t="shared" si="1"/>
        <v>777.34072014795152</v>
      </c>
      <c r="L11" s="230">
        <f t="shared" si="1"/>
        <v>1097.3883295707938</v>
      </c>
      <c r="M11" s="230">
        <f t="shared" si="1"/>
        <v>1156.4229426831666</v>
      </c>
      <c r="N11" s="230"/>
      <c r="O11" s="230"/>
      <c r="P11" s="343" t="s">
        <v>12</v>
      </c>
    </row>
    <row r="12" spans="1:22">
      <c r="A12" s="115" t="s">
        <v>34</v>
      </c>
      <c r="B12" s="131" t="s">
        <v>268</v>
      </c>
      <c r="C12" s="259" t="s">
        <v>1</v>
      </c>
      <c r="E12" s="230">
        <f>'R5 Input page'!E43</f>
        <v>131.97999999999999</v>
      </c>
      <c r="F12" s="245"/>
      <c r="G12" s="245"/>
      <c r="H12" s="245"/>
      <c r="I12" s="245"/>
      <c r="J12" s="245"/>
      <c r="K12" s="245"/>
      <c r="L12" s="245"/>
      <c r="M12" s="245"/>
      <c r="N12" s="245"/>
      <c r="O12" s="245"/>
      <c r="P12" s="332"/>
    </row>
    <row r="13" spans="1:22">
      <c r="A13" s="115" t="s">
        <v>269</v>
      </c>
      <c r="B13" s="131" t="s">
        <v>12</v>
      </c>
      <c r="C13" s="259" t="s">
        <v>1</v>
      </c>
      <c r="E13" s="230">
        <f>'R5 Input page'!E44</f>
        <v>117.58</v>
      </c>
      <c r="F13" s="245"/>
      <c r="G13" s="245"/>
      <c r="H13" s="245"/>
      <c r="I13" s="245"/>
      <c r="J13" s="245"/>
      <c r="K13" s="245"/>
      <c r="L13" s="245"/>
      <c r="M13" s="245"/>
      <c r="N13" s="245"/>
      <c r="O13" s="245"/>
      <c r="P13" s="332"/>
    </row>
    <row r="14" spans="1:22">
      <c r="A14" s="115" t="s">
        <v>37</v>
      </c>
      <c r="B14" s="131"/>
      <c r="C14" s="259"/>
      <c r="E14" s="229">
        <f>SUM(E12-E13)</f>
        <v>14.399999999999991</v>
      </c>
      <c r="F14" s="229">
        <f>SUM(F10-F11)</f>
        <v>-150.13483384892973</v>
      </c>
      <c r="G14" s="229">
        <f t="shared" ref="G14:L14" si="2">SUM(G10-G11)</f>
        <v>-190.52433203991285</v>
      </c>
      <c r="H14" s="229">
        <f>SUM(H10-H11)</f>
        <v>-446.06249663977394</v>
      </c>
      <c r="I14" s="229">
        <f t="shared" si="2"/>
        <v>-443.07738213487653</v>
      </c>
      <c r="J14" s="229">
        <f t="shared" si="2"/>
        <v>-739.72385776172928</v>
      </c>
      <c r="K14" s="229">
        <f t="shared" si="2"/>
        <v>-777.34072014795152</v>
      </c>
      <c r="L14" s="229">
        <f t="shared" si="2"/>
        <v>-1097.3883295707938</v>
      </c>
      <c r="M14" s="229">
        <f>SUM(M10-M11)</f>
        <v>-1156.4229426831666</v>
      </c>
      <c r="N14" s="229"/>
      <c r="O14" s="229"/>
      <c r="P14" s="332"/>
    </row>
    <row r="15" spans="1:22">
      <c r="A15" s="115" t="s">
        <v>72</v>
      </c>
      <c r="B15" s="131" t="s">
        <v>353</v>
      </c>
      <c r="C15" s="259" t="s">
        <v>105</v>
      </c>
      <c r="E15" s="230">
        <f t="shared" ref="E15:M15" si="3">It</f>
        <v>0.5</v>
      </c>
      <c r="F15" s="230">
        <f t="shared" si="3"/>
        <v>0.5</v>
      </c>
      <c r="G15" s="230">
        <f>It</f>
        <v>0.5</v>
      </c>
      <c r="H15" s="230">
        <f t="shared" si="3"/>
        <v>0.5</v>
      </c>
      <c r="I15" s="230">
        <f t="shared" si="3"/>
        <v>0.34</v>
      </c>
      <c r="J15" s="230">
        <f t="shared" si="3"/>
        <v>0.35</v>
      </c>
      <c r="K15" s="230">
        <f t="shared" si="3"/>
        <v>0.67</v>
      </c>
      <c r="L15" s="230">
        <f t="shared" si="3"/>
        <v>0.72</v>
      </c>
      <c r="M15" s="230">
        <f t="shared" si="3"/>
        <v>0.1</v>
      </c>
      <c r="N15" s="230"/>
      <c r="O15" s="230"/>
      <c r="P15" s="343" t="s">
        <v>353</v>
      </c>
    </row>
    <row r="16" spans="1:22">
      <c r="A16" s="115" t="s">
        <v>35</v>
      </c>
      <c r="B16" s="131" t="s">
        <v>355</v>
      </c>
      <c r="C16" s="259" t="s">
        <v>118</v>
      </c>
      <c r="E16" s="245"/>
      <c r="F16" s="245"/>
      <c r="G16" s="245"/>
      <c r="H16" s="229">
        <f>IF(F$10&gt;(1.04*F$11),4,IF(F$10&lt;(0.96*F$11),0,2))</f>
        <v>0</v>
      </c>
      <c r="I16" s="229">
        <f t="shared" ref="I16:O16" si="4">IF(G$10&gt;(1.04*G$11),4,IF(G$10&lt;(0.96*G$11),0,2))</f>
        <v>0</v>
      </c>
      <c r="J16" s="229">
        <f t="shared" si="4"/>
        <v>0</v>
      </c>
      <c r="K16" s="229">
        <f t="shared" si="4"/>
        <v>0</v>
      </c>
      <c r="L16" s="229">
        <f t="shared" si="4"/>
        <v>0</v>
      </c>
      <c r="M16" s="229">
        <f t="shared" si="4"/>
        <v>0</v>
      </c>
      <c r="N16" s="229">
        <f t="shared" si="4"/>
        <v>0</v>
      </c>
      <c r="O16" s="229">
        <f t="shared" si="4"/>
        <v>0</v>
      </c>
      <c r="P16" s="343" t="s">
        <v>355</v>
      </c>
    </row>
    <row r="17" spans="1:16" s="241" customFormat="1">
      <c r="A17" s="115" t="s">
        <v>35</v>
      </c>
      <c r="B17" s="131" t="s">
        <v>454</v>
      </c>
      <c r="C17" s="259" t="s">
        <v>118</v>
      </c>
      <c r="E17" s="252"/>
      <c r="F17" s="229">
        <f>IF($E$12&gt;(1.02*$E$13),4,0)</f>
        <v>4</v>
      </c>
      <c r="G17" s="253"/>
      <c r="H17" s="254"/>
      <c r="I17" s="254"/>
      <c r="J17" s="254"/>
      <c r="K17" s="254"/>
      <c r="L17" s="254"/>
      <c r="M17" s="254"/>
      <c r="N17" s="254"/>
      <c r="O17" s="254"/>
      <c r="P17" s="343"/>
    </row>
    <row r="18" spans="1:16">
      <c r="A18" s="131" t="s">
        <v>10</v>
      </c>
      <c r="B18" s="131" t="s">
        <v>356</v>
      </c>
      <c r="C18" s="259" t="s">
        <v>118</v>
      </c>
      <c r="E18" s="245"/>
      <c r="F18" s="255">
        <f>E14*(1+((E15+F17)/100))</f>
        <v>15.047999999999989</v>
      </c>
      <c r="G18" s="253"/>
      <c r="H18" s="255">
        <f t="shared" ref="H18:O18" si="5">F14*((1+((F15+H16)/100))*(1+((G15+2)/100)))</f>
        <v>-154.65764571862869</v>
      </c>
      <c r="I18" s="255">
        <f>G14*((1+((G15+I16)/100))*(1+((H15+2)/100)))</f>
        <v>-196.26387754261518</v>
      </c>
      <c r="J18" s="255">
        <f t="shared" si="5"/>
        <v>-458.78286085645033</v>
      </c>
      <c r="K18" s="255">
        <f t="shared" si="5"/>
        <v>-455.03156559713739</v>
      </c>
      <c r="L18" s="255">
        <f t="shared" si="5"/>
        <v>-762.13264546064136</v>
      </c>
      <c r="M18" s="255">
        <f t="shared" si="5"/>
        <v>-803.83423313380672</v>
      </c>
      <c r="N18" s="255">
        <f t="shared" si="5"/>
        <v>-1128.5006055801211</v>
      </c>
      <c r="O18" s="255">
        <f t="shared" si="5"/>
        <v>-1180.7309529383665</v>
      </c>
      <c r="P18" s="343" t="s">
        <v>356</v>
      </c>
    </row>
    <row r="19" spans="1:16">
      <c r="B19" s="131"/>
      <c r="C19" s="259"/>
      <c r="P19" s="332"/>
    </row>
    <row r="20" spans="1:16">
      <c r="P20" s="332"/>
    </row>
    <row r="21" spans="1:16">
      <c r="A21" s="110" t="s">
        <v>477</v>
      </c>
      <c r="F21" s="111" t="s">
        <v>193</v>
      </c>
      <c r="M21" s="118"/>
      <c r="N21" s="118"/>
      <c r="O21" s="118"/>
      <c r="P21" s="332"/>
    </row>
    <row r="22" spans="1:16">
      <c r="P22" s="332"/>
    </row>
    <row r="23" spans="1:16" ht="12.75" customHeight="1">
      <c r="E23" s="163"/>
      <c r="P23" s="343"/>
    </row>
    <row r="24" spans="1:16">
      <c r="A24" s="110" t="s">
        <v>478</v>
      </c>
      <c r="F24" s="111" t="s">
        <v>267</v>
      </c>
      <c r="P24" s="332"/>
    </row>
    <row r="25" spans="1:16">
      <c r="P25" s="332"/>
    </row>
    <row r="26" spans="1:16">
      <c r="P26" s="332"/>
    </row>
    <row r="27" spans="1:16">
      <c r="P27" s="332"/>
    </row>
    <row r="28" spans="1:16">
      <c r="P28" s="332"/>
    </row>
    <row r="29" spans="1:16">
      <c r="P29" s="332"/>
    </row>
    <row r="30" spans="1:16">
      <c r="P30" s="332"/>
    </row>
    <row r="31" spans="1:16">
      <c r="P31" s="332"/>
    </row>
    <row r="32" spans="1:16">
      <c r="P32" s="332"/>
    </row>
    <row r="33" spans="16:16">
      <c r="P33" s="332"/>
    </row>
    <row r="34" spans="16:16">
      <c r="P34" s="332"/>
    </row>
    <row r="35" spans="16:16">
      <c r="P35" s="332"/>
    </row>
    <row r="36" spans="16:16">
      <c r="P36" s="332"/>
    </row>
    <row r="37" spans="16:16">
      <c r="P37" s="332"/>
    </row>
    <row r="38" spans="16:16">
      <c r="P38" s="332"/>
    </row>
    <row r="39" spans="16:16">
      <c r="P39" s="332"/>
    </row>
    <row r="40" spans="16:16">
      <c r="P40" s="332"/>
    </row>
    <row r="41" spans="16:16">
      <c r="P41" s="332"/>
    </row>
    <row r="42" spans="16:16">
      <c r="P42" s="332"/>
    </row>
    <row r="43" spans="16:16">
      <c r="P43" s="332"/>
    </row>
    <row r="44" spans="16:16">
      <c r="P44" s="332"/>
    </row>
    <row r="45" spans="16:16">
      <c r="P45" s="332"/>
    </row>
    <row r="46" spans="16:16">
      <c r="P46" s="332"/>
    </row>
    <row r="47" spans="16:16">
      <c r="P47" s="332"/>
    </row>
    <row r="48" spans="16:16">
      <c r="P48" s="332"/>
    </row>
    <row r="49" spans="16:16">
      <c r="P49" s="332"/>
    </row>
    <row r="50" spans="16:16">
      <c r="P50" s="332"/>
    </row>
    <row r="51" spans="16:16">
      <c r="P51" s="332"/>
    </row>
    <row r="52" spans="16:16">
      <c r="P52" s="332"/>
    </row>
    <row r="53" spans="16:16">
      <c r="P53" s="332"/>
    </row>
    <row r="54" spans="16:16">
      <c r="P54" s="332"/>
    </row>
    <row r="55" spans="16:16">
      <c r="P55" s="332"/>
    </row>
    <row r="56" spans="16:16">
      <c r="P56" s="332"/>
    </row>
    <row r="57" spans="16:16">
      <c r="P57" s="332"/>
    </row>
    <row r="58" spans="16:16">
      <c r="P58" s="332"/>
    </row>
    <row r="59" spans="16:16">
      <c r="P59" s="332"/>
    </row>
    <row r="60" spans="16:16">
      <c r="P60" s="332"/>
    </row>
    <row r="61" spans="16:16">
      <c r="P61" s="332"/>
    </row>
    <row r="62" spans="16:16">
      <c r="P62" s="332"/>
    </row>
    <row r="63" spans="16:16">
      <c r="P63" s="332"/>
    </row>
    <row r="64" spans="16:16">
      <c r="P64" s="332"/>
    </row>
    <row r="65" spans="16:16">
      <c r="P65" s="332"/>
    </row>
    <row r="66" spans="16:16">
      <c r="P66" s="332"/>
    </row>
    <row r="67" spans="16:16">
      <c r="P67" s="332"/>
    </row>
    <row r="68" spans="16:16">
      <c r="P68" s="332"/>
    </row>
    <row r="69" spans="16:16">
      <c r="P69" s="332"/>
    </row>
    <row r="70" spans="16:16">
      <c r="P70" s="332"/>
    </row>
    <row r="71" spans="16:16">
      <c r="P71" s="332"/>
    </row>
    <row r="72" spans="16:16">
      <c r="P72" s="332"/>
    </row>
    <row r="73" spans="16:16">
      <c r="P73" s="332"/>
    </row>
    <row r="74" spans="16:16">
      <c r="P74" s="332"/>
    </row>
    <row r="75" spans="16:16">
      <c r="P75" s="332"/>
    </row>
    <row r="76" spans="16:16">
      <c r="P76" s="332"/>
    </row>
    <row r="77" spans="16:16">
      <c r="P77" s="332"/>
    </row>
    <row r="78" spans="16:16">
      <c r="P78" s="332"/>
    </row>
    <row r="79" spans="16:16">
      <c r="P79" s="332"/>
    </row>
    <row r="80" spans="16:16">
      <c r="P80" s="332"/>
    </row>
    <row r="81" spans="16:16">
      <c r="P81" s="332"/>
    </row>
    <row r="82" spans="16:16">
      <c r="P82" s="332"/>
    </row>
    <row r="83" spans="16:16">
      <c r="P83" s="332"/>
    </row>
    <row r="84" spans="16:16">
      <c r="P84" s="332"/>
    </row>
    <row r="85" spans="16:16">
      <c r="P85" s="332"/>
    </row>
    <row r="86" spans="16:16">
      <c r="P86" s="332"/>
    </row>
    <row r="87" spans="16:16">
      <c r="P87" s="332"/>
    </row>
    <row r="88" spans="16:16">
      <c r="P88" s="332"/>
    </row>
    <row r="89" spans="16:16">
      <c r="P89" s="332"/>
    </row>
    <row r="90" spans="16:16">
      <c r="P90" s="332"/>
    </row>
    <row r="91" spans="16:16">
      <c r="P91" s="332"/>
    </row>
    <row r="92" spans="16:16">
      <c r="P92" s="332"/>
    </row>
    <row r="93" spans="16:16">
      <c r="P93" s="332"/>
    </row>
    <row r="94" spans="16:16">
      <c r="P94" s="332"/>
    </row>
    <row r="95" spans="16:16">
      <c r="P95" s="332"/>
    </row>
    <row r="96" spans="16:16">
      <c r="P96" s="332"/>
    </row>
    <row r="97" spans="16:16">
      <c r="P97" s="332"/>
    </row>
    <row r="98" spans="16:16">
      <c r="P98" s="332"/>
    </row>
    <row r="99" spans="16:16">
      <c r="P99" s="332"/>
    </row>
    <row r="100" spans="16:16">
      <c r="P100" s="332"/>
    </row>
    <row r="101" spans="16:16">
      <c r="P101" s="332"/>
    </row>
    <row r="102" spans="16:16">
      <c r="P102" s="332"/>
    </row>
    <row r="103" spans="16:16">
      <c r="P103" s="332"/>
    </row>
    <row r="104" spans="16:16">
      <c r="P104" s="332"/>
    </row>
    <row r="105" spans="16:16">
      <c r="P105" s="332"/>
    </row>
    <row r="106" spans="16:16">
      <c r="P106" s="332"/>
    </row>
    <row r="107" spans="16:16">
      <c r="P107" s="332"/>
    </row>
    <row r="108" spans="16:16">
      <c r="P108" s="332"/>
    </row>
    <row r="109" spans="16:16">
      <c r="P109" s="332"/>
    </row>
    <row r="110" spans="16:16">
      <c r="P110" s="332"/>
    </row>
    <row r="111" spans="16:16">
      <c r="P111" s="332"/>
    </row>
    <row r="112" spans="16:16">
      <c r="P112" s="332"/>
    </row>
    <row r="113" spans="16:16">
      <c r="P113" s="332"/>
    </row>
    <row r="114" spans="16:16">
      <c r="P114" s="332"/>
    </row>
    <row r="115" spans="16:16">
      <c r="P115" s="332"/>
    </row>
    <row r="116" spans="16:16">
      <c r="P116" s="332"/>
    </row>
    <row r="117" spans="16:16">
      <c r="P117" s="332"/>
    </row>
    <row r="118" spans="16:16">
      <c r="P118" s="332"/>
    </row>
    <row r="119" spans="16:16">
      <c r="P119" s="332"/>
    </row>
    <row r="120" spans="16:16">
      <c r="P120" s="332"/>
    </row>
    <row r="121" spans="16:16">
      <c r="P121" s="332"/>
    </row>
    <row r="122" spans="16:16">
      <c r="P122" s="332"/>
    </row>
    <row r="123" spans="16:16">
      <c r="P123" s="332"/>
    </row>
    <row r="124" spans="16:16">
      <c r="P124" s="332"/>
    </row>
    <row r="125" spans="16:16">
      <c r="P125" s="332"/>
    </row>
    <row r="126" spans="16:16">
      <c r="P126" s="332"/>
    </row>
    <row r="127" spans="16:16">
      <c r="P127" s="332"/>
    </row>
    <row r="128" spans="16:16">
      <c r="P128" s="332"/>
    </row>
    <row r="129" spans="16:16">
      <c r="P129" s="332"/>
    </row>
    <row r="130" spans="16:16">
      <c r="P130" s="332"/>
    </row>
    <row r="131" spans="16:16">
      <c r="P131" s="332"/>
    </row>
    <row r="132" spans="16:16">
      <c r="P132" s="332"/>
    </row>
    <row r="133" spans="16:16">
      <c r="P133" s="332"/>
    </row>
    <row r="134" spans="16:16">
      <c r="P134" s="332"/>
    </row>
    <row r="135" spans="16:16">
      <c r="P135" s="332"/>
    </row>
    <row r="136" spans="16:16">
      <c r="P136" s="332"/>
    </row>
    <row r="137" spans="16:16">
      <c r="P137" s="332"/>
    </row>
    <row r="138" spans="16:16">
      <c r="P138" s="332"/>
    </row>
    <row r="139" spans="16:16">
      <c r="P139" s="332"/>
    </row>
    <row r="140" spans="16:16">
      <c r="P140" s="332"/>
    </row>
    <row r="141" spans="16:16">
      <c r="P141" s="332"/>
    </row>
    <row r="142" spans="16:16">
      <c r="P142" s="332"/>
    </row>
    <row r="143" spans="16:16">
      <c r="P143" s="332"/>
    </row>
    <row r="144" spans="16:16">
      <c r="P144" s="332"/>
    </row>
    <row r="145" spans="16:16">
      <c r="P145" s="332"/>
    </row>
    <row r="146" spans="16:16">
      <c r="P146" s="332"/>
    </row>
    <row r="147" spans="16:16">
      <c r="P147" s="332"/>
    </row>
    <row r="148" spans="16:16">
      <c r="P148" s="332"/>
    </row>
    <row r="149" spans="16:16">
      <c r="P149" s="332"/>
    </row>
    <row r="150" spans="16:16">
      <c r="P150" s="332"/>
    </row>
    <row r="151" spans="16:16">
      <c r="P151" s="332"/>
    </row>
    <row r="152" spans="16:16">
      <c r="P152" s="332"/>
    </row>
    <row r="153" spans="16:16">
      <c r="P153" s="332"/>
    </row>
    <row r="154" spans="16:16">
      <c r="P154" s="332"/>
    </row>
    <row r="155" spans="16:16">
      <c r="P155" s="332"/>
    </row>
    <row r="156" spans="16:16">
      <c r="P156" s="332"/>
    </row>
    <row r="157" spans="16:16">
      <c r="P157" s="332"/>
    </row>
    <row r="158" spans="16:16">
      <c r="P158" s="332"/>
    </row>
    <row r="159" spans="16:16">
      <c r="P159" s="332"/>
    </row>
    <row r="160" spans="16:16">
      <c r="P160" s="332"/>
    </row>
    <row r="161" spans="16:16">
      <c r="P161" s="332"/>
    </row>
    <row r="162" spans="16:16">
      <c r="P162" s="332"/>
    </row>
    <row r="163" spans="16:16">
      <c r="P163" s="332"/>
    </row>
    <row r="164" spans="16:16">
      <c r="P164" s="332"/>
    </row>
    <row r="165" spans="16:16">
      <c r="P165" s="332"/>
    </row>
    <row r="166" spans="16:16">
      <c r="P166" s="332"/>
    </row>
    <row r="167" spans="16:16">
      <c r="P167" s="332"/>
    </row>
    <row r="168" spans="16:16">
      <c r="P168" s="332"/>
    </row>
    <row r="169" spans="16:16">
      <c r="P169" s="332"/>
    </row>
    <row r="170" spans="16:16">
      <c r="P170" s="332"/>
    </row>
    <row r="171" spans="16:16">
      <c r="P171" s="332"/>
    </row>
    <row r="172" spans="16:16">
      <c r="P172" s="332"/>
    </row>
    <row r="173" spans="16:16">
      <c r="P173" s="332"/>
    </row>
    <row r="174" spans="16:16">
      <c r="P174" s="332"/>
    </row>
    <row r="175" spans="16:16">
      <c r="P175" s="332"/>
    </row>
    <row r="176" spans="16:16">
      <c r="P176" s="332"/>
    </row>
    <row r="177" spans="16:16">
      <c r="P177" s="332"/>
    </row>
    <row r="178" spans="16:16">
      <c r="P178" s="332"/>
    </row>
    <row r="179" spans="16:16">
      <c r="P179" s="332"/>
    </row>
    <row r="180" spans="16:16">
      <c r="P180" s="332"/>
    </row>
    <row r="181" spans="16:16">
      <c r="P181" s="332"/>
    </row>
    <row r="182" spans="16:16">
      <c r="P182" s="332"/>
    </row>
    <row r="183" spans="16:16">
      <c r="P183" s="332"/>
    </row>
    <row r="184" spans="16:16">
      <c r="P184" s="332"/>
    </row>
    <row r="185" spans="16:16">
      <c r="P185" s="332"/>
    </row>
    <row r="186" spans="16:16">
      <c r="P186" s="332"/>
    </row>
    <row r="187" spans="16:16">
      <c r="P187" s="332"/>
    </row>
    <row r="188" spans="16:16">
      <c r="P188" s="332"/>
    </row>
    <row r="189" spans="16:16">
      <c r="P189" s="332"/>
    </row>
    <row r="190" spans="16:16">
      <c r="P190" s="332"/>
    </row>
    <row r="191" spans="16:16">
      <c r="P191" s="332"/>
    </row>
    <row r="192" spans="16:16">
      <c r="P192" s="332"/>
    </row>
    <row r="193" spans="16:16">
      <c r="P193" s="332"/>
    </row>
    <row r="194" spans="16:16">
      <c r="P194" s="332"/>
    </row>
    <row r="195" spans="16:16">
      <c r="P195" s="332"/>
    </row>
    <row r="196" spans="16:16">
      <c r="P196" s="332"/>
    </row>
    <row r="197" spans="16:16">
      <c r="P197" s="332"/>
    </row>
    <row r="198" spans="16:16">
      <c r="P198" s="332"/>
    </row>
    <row r="199" spans="16:16">
      <c r="P199" s="332"/>
    </row>
    <row r="200" spans="16:16">
      <c r="P200" s="332"/>
    </row>
    <row r="201" spans="16:16">
      <c r="P201" s="332"/>
    </row>
    <row r="202" spans="16:16">
      <c r="P202" s="332"/>
    </row>
    <row r="203" spans="16:16">
      <c r="P203" s="332"/>
    </row>
    <row r="204" spans="16:16">
      <c r="P204" s="332"/>
    </row>
    <row r="205" spans="16:16">
      <c r="P205" s="332"/>
    </row>
    <row r="206" spans="16:16">
      <c r="P206" s="332"/>
    </row>
    <row r="207" spans="16:16">
      <c r="P207" s="332"/>
    </row>
    <row r="208" spans="16:16">
      <c r="P208" s="332"/>
    </row>
    <row r="209" spans="16:16">
      <c r="P209" s="332"/>
    </row>
    <row r="210" spans="16:16">
      <c r="P210" s="332"/>
    </row>
    <row r="211" spans="16:16">
      <c r="P211" s="332"/>
    </row>
    <row r="212" spans="16:16">
      <c r="P212" s="332"/>
    </row>
    <row r="213" spans="16:16">
      <c r="P213" s="332"/>
    </row>
    <row r="214" spans="16:16">
      <c r="P214" s="332"/>
    </row>
    <row r="215" spans="16:16">
      <c r="P215" s="332"/>
    </row>
    <row r="216" spans="16:16">
      <c r="P216" s="332"/>
    </row>
    <row r="217" spans="16:16">
      <c r="P217" s="332"/>
    </row>
    <row r="218" spans="16:16">
      <c r="P218" s="332"/>
    </row>
    <row r="219" spans="16:16">
      <c r="P219" s="332"/>
    </row>
    <row r="220" spans="16:16">
      <c r="P220" s="332"/>
    </row>
    <row r="221" spans="16:16">
      <c r="P221" s="332"/>
    </row>
    <row r="222" spans="16:16">
      <c r="P222" s="332"/>
    </row>
    <row r="223" spans="16:16">
      <c r="P223" s="332"/>
    </row>
    <row r="224" spans="16:16">
      <c r="P224" s="332"/>
    </row>
    <row r="225" spans="16:16">
      <c r="P225" s="332"/>
    </row>
    <row r="226" spans="16:16">
      <c r="P226" s="332"/>
    </row>
    <row r="227" spans="16:16">
      <c r="P227" s="332"/>
    </row>
    <row r="228" spans="16:16">
      <c r="P228" s="332"/>
    </row>
    <row r="229" spans="16:16">
      <c r="P229" s="332"/>
    </row>
    <row r="230" spans="16:16">
      <c r="P230" s="332"/>
    </row>
    <row r="231" spans="16:16">
      <c r="P231" s="332"/>
    </row>
    <row r="232" spans="16:16">
      <c r="P232" s="332"/>
    </row>
    <row r="233" spans="16:16">
      <c r="P233" s="332"/>
    </row>
    <row r="234" spans="16:16">
      <c r="P234" s="332"/>
    </row>
    <row r="235" spans="16:16">
      <c r="P235" s="332"/>
    </row>
    <row r="236" spans="16:16">
      <c r="P236" s="332"/>
    </row>
    <row r="237" spans="16:16">
      <c r="P237" s="332"/>
    </row>
    <row r="238" spans="16:16">
      <c r="P238" s="332"/>
    </row>
    <row r="239" spans="16:16">
      <c r="P239" s="332"/>
    </row>
    <row r="240" spans="16:16">
      <c r="P240" s="332"/>
    </row>
    <row r="241" spans="16:16">
      <c r="P241" s="332"/>
    </row>
    <row r="242" spans="16:16">
      <c r="P242" s="332"/>
    </row>
    <row r="243" spans="16:16">
      <c r="P243" s="332"/>
    </row>
    <row r="244" spans="16:16">
      <c r="P244" s="332"/>
    </row>
    <row r="245" spans="16:16">
      <c r="P245" s="332"/>
    </row>
    <row r="246" spans="16:16">
      <c r="P246" s="332"/>
    </row>
    <row r="247" spans="16:16">
      <c r="P247" s="332"/>
    </row>
    <row r="248" spans="16:16">
      <c r="P248" s="332"/>
    </row>
    <row r="249" spans="16:16">
      <c r="P249" s="332"/>
    </row>
    <row r="250" spans="16:16">
      <c r="P250" s="332"/>
    </row>
    <row r="251" spans="16:16">
      <c r="P251" s="332"/>
    </row>
    <row r="252" spans="16:16">
      <c r="P252" s="332"/>
    </row>
    <row r="253" spans="16:16">
      <c r="P253" s="332"/>
    </row>
    <row r="254" spans="16:16">
      <c r="P254" s="332"/>
    </row>
    <row r="255" spans="16:16">
      <c r="P255" s="332"/>
    </row>
    <row r="256" spans="16:16">
      <c r="P256" s="332"/>
    </row>
    <row r="257" spans="16:16">
      <c r="P257" s="332"/>
    </row>
    <row r="258" spans="16:16">
      <c r="P258" s="332"/>
    </row>
    <row r="259" spans="16:16">
      <c r="P259" s="332"/>
    </row>
    <row r="260" spans="16:16">
      <c r="P260" s="332"/>
    </row>
    <row r="261" spans="16:16">
      <c r="P261" s="332"/>
    </row>
    <row r="262" spans="16:16">
      <c r="P262" s="332"/>
    </row>
    <row r="263" spans="16:16">
      <c r="P263" s="332"/>
    </row>
    <row r="264" spans="16:16">
      <c r="P264" s="332"/>
    </row>
    <row r="265" spans="16:16">
      <c r="P265" s="332"/>
    </row>
    <row r="266" spans="16:16">
      <c r="P266" s="332"/>
    </row>
    <row r="267" spans="16:16">
      <c r="P267" s="332"/>
    </row>
    <row r="268" spans="16:16">
      <c r="P268" s="332"/>
    </row>
    <row r="269" spans="16:16">
      <c r="P269" s="332"/>
    </row>
    <row r="270" spans="16:16">
      <c r="P270" s="332"/>
    </row>
    <row r="271" spans="16:16">
      <c r="P271" s="332"/>
    </row>
    <row r="272" spans="16:16">
      <c r="P272" s="332"/>
    </row>
    <row r="273" spans="16:16">
      <c r="P273" s="332"/>
    </row>
    <row r="274" spans="16:16">
      <c r="P274" s="332"/>
    </row>
    <row r="275" spans="16:16">
      <c r="P275" s="332"/>
    </row>
    <row r="276" spans="16:16">
      <c r="P276" s="332"/>
    </row>
    <row r="277" spans="16:16">
      <c r="P277" s="332"/>
    </row>
    <row r="278" spans="16:16">
      <c r="P278" s="332"/>
    </row>
    <row r="279" spans="16:16">
      <c r="P279" s="332"/>
    </row>
    <row r="280" spans="16:16">
      <c r="P280" s="332"/>
    </row>
    <row r="281" spans="16:16">
      <c r="P281" s="332"/>
    </row>
    <row r="282" spans="16:16">
      <c r="P282" s="332"/>
    </row>
    <row r="283" spans="16:16">
      <c r="P283" s="332"/>
    </row>
    <row r="284" spans="16:16">
      <c r="P284" s="332"/>
    </row>
    <row r="285" spans="16:16">
      <c r="P285" s="332"/>
    </row>
    <row r="286" spans="16:16">
      <c r="P286" s="332"/>
    </row>
    <row r="287" spans="16:16">
      <c r="P287" s="332"/>
    </row>
    <row r="288" spans="16:16">
      <c r="P288" s="332"/>
    </row>
    <row r="289" spans="16:16">
      <c r="P289" s="332"/>
    </row>
    <row r="290" spans="16:16">
      <c r="P290" s="332"/>
    </row>
    <row r="291" spans="16:16">
      <c r="P291" s="332"/>
    </row>
    <row r="292" spans="16:16">
      <c r="P292" s="332"/>
    </row>
    <row r="293" spans="16:16">
      <c r="P293" s="332"/>
    </row>
    <row r="294" spans="16:16">
      <c r="P294" s="332"/>
    </row>
    <row r="295" spans="16:16">
      <c r="P295" s="332"/>
    </row>
    <row r="296" spans="16:16">
      <c r="P296" s="332"/>
    </row>
    <row r="297" spans="16:16">
      <c r="P297" s="332"/>
    </row>
    <row r="298" spans="16:16">
      <c r="P298" s="332"/>
    </row>
    <row r="299" spans="16:16">
      <c r="P299" s="332"/>
    </row>
    <row r="300" spans="16:16">
      <c r="P300" s="332"/>
    </row>
    <row r="301" spans="16:16">
      <c r="P301" s="332"/>
    </row>
    <row r="302" spans="16:16">
      <c r="P302" s="332"/>
    </row>
    <row r="303" spans="16:16">
      <c r="P303" s="332"/>
    </row>
    <row r="304" spans="16:16">
      <c r="P304" s="332"/>
    </row>
    <row r="305" spans="16:16">
      <c r="P305" s="332"/>
    </row>
    <row r="306" spans="16:16">
      <c r="P306" s="332"/>
    </row>
    <row r="307" spans="16:16">
      <c r="P307" s="332"/>
    </row>
    <row r="308" spans="16:16">
      <c r="P308" s="332"/>
    </row>
    <row r="309" spans="16:16">
      <c r="P309" s="332"/>
    </row>
    <row r="310" spans="16:16">
      <c r="P310" s="332"/>
    </row>
    <row r="311" spans="16:16">
      <c r="P311" s="332"/>
    </row>
    <row r="312" spans="16:16">
      <c r="P312" s="332"/>
    </row>
    <row r="313" spans="16:16">
      <c r="P313" s="332"/>
    </row>
    <row r="314" spans="16:16">
      <c r="P314" s="332"/>
    </row>
    <row r="315" spans="16:16">
      <c r="P315" s="332"/>
    </row>
    <row r="316" spans="16:16">
      <c r="P316" s="332"/>
    </row>
    <row r="317" spans="16:16">
      <c r="P317" s="332"/>
    </row>
    <row r="318" spans="16:16">
      <c r="P318" s="332"/>
    </row>
    <row r="319" spans="16:16">
      <c r="P319" s="332"/>
    </row>
    <row r="320" spans="16:16">
      <c r="P320" s="332"/>
    </row>
    <row r="321" spans="16:16">
      <c r="P321" s="332"/>
    </row>
    <row r="322" spans="16:16">
      <c r="P322" s="332"/>
    </row>
    <row r="323" spans="16:16">
      <c r="P323" s="332"/>
    </row>
    <row r="324" spans="16:16">
      <c r="P324" s="332"/>
    </row>
    <row r="325" spans="16:16">
      <c r="P325" s="332"/>
    </row>
    <row r="326" spans="16:16">
      <c r="P326" s="332"/>
    </row>
    <row r="327" spans="16:16">
      <c r="P327" s="332"/>
    </row>
    <row r="328" spans="16:16">
      <c r="P328" s="332"/>
    </row>
    <row r="329" spans="16:16">
      <c r="P329" s="332"/>
    </row>
    <row r="330" spans="16:16">
      <c r="P330" s="332"/>
    </row>
    <row r="331" spans="16:16">
      <c r="P331" s="332"/>
    </row>
    <row r="332" spans="16:16">
      <c r="P332" s="332"/>
    </row>
    <row r="333" spans="16:16">
      <c r="P333" s="332"/>
    </row>
    <row r="334" spans="16:16">
      <c r="P334" s="332"/>
    </row>
    <row r="335" spans="16:16">
      <c r="P335" s="332"/>
    </row>
    <row r="336" spans="16:16">
      <c r="P336" s="332"/>
    </row>
    <row r="337" spans="16:16">
      <c r="P337" s="332"/>
    </row>
    <row r="338" spans="16:16">
      <c r="P338" s="332"/>
    </row>
    <row r="339" spans="16:16">
      <c r="P339" s="332"/>
    </row>
    <row r="340" spans="16:16">
      <c r="P340" s="332"/>
    </row>
    <row r="341" spans="16:16">
      <c r="P341" s="332"/>
    </row>
    <row r="342" spans="16:16">
      <c r="P342" s="332"/>
    </row>
    <row r="343" spans="16:16">
      <c r="P343" s="332"/>
    </row>
    <row r="344" spans="16:16">
      <c r="P344" s="332"/>
    </row>
    <row r="345" spans="16:16">
      <c r="P345" s="332"/>
    </row>
    <row r="346" spans="16:16">
      <c r="P346" s="332"/>
    </row>
    <row r="347" spans="16:16">
      <c r="P347" s="332"/>
    </row>
    <row r="348" spans="16:16">
      <c r="P348" s="332"/>
    </row>
    <row r="349" spans="16:16">
      <c r="P349" s="332"/>
    </row>
    <row r="350" spans="16:16">
      <c r="P350" s="332"/>
    </row>
    <row r="351" spans="16:16">
      <c r="P351" s="332"/>
    </row>
    <row r="352" spans="16:16">
      <c r="P352" s="332"/>
    </row>
    <row r="353" spans="16:16">
      <c r="P353" s="332"/>
    </row>
    <row r="354" spans="16:16">
      <c r="P354" s="332"/>
    </row>
    <row r="355" spans="16:16">
      <c r="P355" s="332"/>
    </row>
    <row r="356" spans="16:16">
      <c r="P356" s="332"/>
    </row>
    <row r="357" spans="16:16">
      <c r="P357" s="332"/>
    </row>
    <row r="358" spans="16:16">
      <c r="P358" s="332"/>
    </row>
    <row r="359" spans="16:16">
      <c r="P359" s="332"/>
    </row>
    <row r="360" spans="16:16">
      <c r="P360" s="332"/>
    </row>
    <row r="361" spans="16:16">
      <c r="P361" s="332"/>
    </row>
    <row r="362" spans="16:16">
      <c r="P362" s="332"/>
    </row>
    <row r="363" spans="16:16">
      <c r="P363" s="332"/>
    </row>
    <row r="364" spans="16:16">
      <c r="P364" s="332"/>
    </row>
    <row r="365" spans="16:16">
      <c r="P365" s="332"/>
    </row>
    <row r="366" spans="16:16">
      <c r="P366" s="332"/>
    </row>
    <row r="367" spans="16:16">
      <c r="P367" s="332"/>
    </row>
    <row r="368" spans="16:16">
      <c r="P368" s="332"/>
    </row>
    <row r="369" spans="16:16">
      <c r="P369" s="332"/>
    </row>
    <row r="370" spans="16:16">
      <c r="P370" s="332"/>
    </row>
    <row r="371" spans="16:16">
      <c r="P371" s="332"/>
    </row>
    <row r="372" spans="16:16">
      <c r="P372" s="332"/>
    </row>
    <row r="373" spans="16:16">
      <c r="P373" s="332"/>
    </row>
    <row r="374" spans="16:16">
      <c r="P374" s="332"/>
    </row>
    <row r="375" spans="16:16">
      <c r="P375" s="332"/>
    </row>
    <row r="376" spans="16:16">
      <c r="P376" s="332"/>
    </row>
    <row r="377" spans="16:16">
      <c r="P377" s="332"/>
    </row>
    <row r="378" spans="16:16">
      <c r="P378" s="332"/>
    </row>
    <row r="379" spans="16:16">
      <c r="P379" s="332"/>
    </row>
    <row r="380" spans="16:16">
      <c r="P380" s="332"/>
    </row>
    <row r="381" spans="16:16">
      <c r="P381" s="332"/>
    </row>
    <row r="382" spans="16:16">
      <c r="P382" s="332"/>
    </row>
    <row r="383" spans="16:16">
      <c r="P383" s="332"/>
    </row>
    <row r="384" spans="16:16">
      <c r="P384" s="332"/>
    </row>
    <row r="385" spans="16:16">
      <c r="P385" s="332"/>
    </row>
    <row r="386" spans="16:16">
      <c r="P386" s="332"/>
    </row>
    <row r="387" spans="16:16">
      <c r="P387" s="332"/>
    </row>
    <row r="388" spans="16:16">
      <c r="P388" s="332"/>
    </row>
    <row r="389" spans="16:16">
      <c r="P389" s="332"/>
    </row>
    <row r="390" spans="16:16">
      <c r="P390" s="332"/>
    </row>
    <row r="391" spans="16:16">
      <c r="P391" s="332"/>
    </row>
    <row r="392" spans="16:16">
      <c r="P392" s="332"/>
    </row>
    <row r="393" spans="16:16">
      <c r="P393" s="332"/>
    </row>
    <row r="394" spans="16:16">
      <c r="P394" s="332"/>
    </row>
    <row r="395" spans="16:16">
      <c r="P395" s="332"/>
    </row>
    <row r="396" spans="16:16">
      <c r="P396" s="332"/>
    </row>
    <row r="397" spans="16:16">
      <c r="P397" s="332"/>
    </row>
    <row r="398" spans="16:16">
      <c r="P398" s="332"/>
    </row>
    <row r="399" spans="16:16">
      <c r="P399" s="332"/>
    </row>
    <row r="400" spans="16:16">
      <c r="P400" s="332"/>
    </row>
    <row r="401" spans="16:16">
      <c r="P401" s="332"/>
    </row>
    <row r="402" spans="16:16">
      <c r="P402" s="332"/>
    </row>
    <row r="403" spans="16:16">
      <c r="P403" s="332"/>
    </row>
    <row r="404" spans="16:16">
      <c r="P404" s="332"/>
    </row>
    <row r="405" spans="16:16">
      <c r="P405" s="332"/>
    </row>
    <row r="406" spans="16:16">
      <c r="P406" s="332"/>
    </row>
    <row r="407" spans="16:16">
      <c r="P407" s="332"/>
    </row>
    <row r="408" spans="16:16">
      <c r="P408" s="332"/>
    </row>
    <row r="409" spans="16:16">
      <c r="P409" s="332"/>
    </row>
    <row r="410" spans="16:16">
      <c r="P410" s="332"/>
    </row>
    <row r="411" spans="16:16">
      <c r="P411" s="332"/>
    </row>
    <row r="412" spans="16:16">
      <c r="P412" s="332"/>
    </row>
    <row r="413" spans="16:16">
      <c r="P413" s="332"/>
    </row>
    <row r="414" spans="16:16">
      <c r="P414" s="332"/>
    </row>
    <row r="415" spans="16:16">
      <c r="P415" s="332"/>
    </row>
    <row r="416" spans="16:16">
      <c r="P416" s="332"/>
    </row>
    <row r="417" spans="16:16">
      <c r="P417" s="332"/>
    </row>
    <row r="418" spans="16:16">
      <c r="P418" s="332"/>
    </row>
    <row r="419" spans="16:16">
      <c r="P419" s="332"/>
    </row>
    <row r="420" spans="16:16">
      <c r="P420" s="332"/>
    </row>
    <row r="421" spans="16:16">
      <c r="P421" s="332"/>
    </row>
    <row r="422" spans="16:16">
      <c r="P422" s="332"/>
    </row>
    <row r="423" spans="16:16">
      <c r="P423" s="332"/>
    </row>
    <row r="424" spans="16:16">
      <c r="P424" s="332"/>
    </row>
    <row r="425" spans="16:16">
      <c r="P425" s="332"/>
    </row>
    <row r="426" spans="16:16">
      <c r="P426" s="332"/>
    </row>
    <row r="427" spans="16:16">
      <c r="P427" s="332"/>
    </row>
    <row r="428" spans="16:16">
      <c r="P428" s="332"/>
    </row>
    <row r="429" spans="16:16">
      <c r="P429" s="332"/>
    </row>
    <row r="430" spans="16:16">
      <c r="P430" s="332"/>
    </row>
    <row r="431" spans="16:16">
      <c r="P431" s="332"/>
    </row>
    <row r="432" spans="16:16">
      <c r="P432" s="332"/>
    </row>
    <row r="433" spans="16:16">
      <c r="P433" s="332"/>
    </row>
    <row r="434" spans="16:16">
      <c r="P434" s="332"/>
    </row>
    <row r="435" spans="16:16">
      <c r="P435" s="332"/>
    </row>
    <row r="436" spans="16:16">
      <c r="P436" s="332"/>
    </row>
    <row r="437" spans="16:16">
      <c r="P437" s="332"/>
    </row>
    <row r="438" spans="16:16">
      <c r="P438" s="332"/>
    </row>
    <row r="439" spans="16:16">
      <c r="P439" s="332"/>
    </row>
    <row r="440" spans="16:16">
      <c r="P440" s="332"/>
    </row>
    <row r="441" spans="16:16">
      <c r="P441" s="332"/>
    </row>
    <row r="442" spans="16:16">
      <c r="P442" s="332"/>
    </row>
    <row r="443" spans="16:16">
      <c r="P443" s="332"/>
    </row>
    <row r="444" spans="16:16">
      <c r="P444" s="332"/>
    </row>
    <row r="445" spans="16:16">
      <c r="P445" s="332"/>
    </row>
    <row r="446" spans="16:16">
      <c r="P446" s="332"/>
    </row>
    <row r="447" spans="16:16">
      <c r="P447" s="332"/>
    </row>
    <row r="448" spans="16:16">
      <c r="P448" s="332"/>
    </row>
    <row r="449" spans="16:16">
      <c r="P449" s="332"/>
    </row>
    <row r="450" spans="16:16">
      <c r="P450" s="332"/>
    </row>
    <row r="451" spans="16:16">
      <c r="P451" s="332"/>
    </row>
    <row r="452" spans="16:16">
      <c r="P452" s="332"/>
    </row>
    <row r="453" spans="16:16">
      <c r="P453" s="332"/>
    </row>
    <row r="454" spans="16:16">
      <c r="P454" s="332"/>
    </row>
    <row r="455" spans="16:16">
      <c r="P455" s="332"/>
    </row>
    <row r="456" spans="16:16">
      <c r="P456" s="332"/>
    </row>
    <row r="457" spans="16:16">
      <c r="P457" s="332"/>
    </row>
    <row r="458" spans="16:16">
      <c r="P458" s="332"/>
    </row>
    <row r="459" spans="16:16">
      <c r="P459" s="332"/>
    </row>
    <row r="460" spans="16:16">
      <c r="P460" s="332"/>
    </row>
    <row r="461" spans="16:16">
      <c r="P461" s="332"/>
    </row>
    <row r="462" spans="16:16">
      <c r="P462" s="332"/>
    </row>
    <row r="463" spans="16:16">
      <c r="P463" s="332"/>
    </row>
    <row r="464" spans="16:16">
      <c r="P464" s="332"/>
    </row>
    <row r="465" spans="16:16">
      <c r="P465" s="332"/>
    </row>
    <row r="466" spans="16:16">
      <c r="P466" s="332"/>
    </row>
    <row r="467" spans="16:16">
      <c r="P467" s="332"/>
    </row>
    <row r="468" spans="16:16">
      <c r="P468" s="332"/>
    </row>
    <row r="469" spans="16:16">
      <c r="P469" s="332"/>
    </row>
    <row r="470" spans="16:16">
      <c r="P470" s="332"/>
    </row>
    <row r="471" spans="16:16">
      <c r="P471" s="332"/>
    </row>
    <row r="472" spans="16:16">
      <c r="P472" s="332"/>
    </row>
    <row r="473" spans="16:16">
      <c r="P473" s="332"/>
    </row>
    <row r="474" spans="16:16">
      <c r="P474" s="332"/>
    </row>
    <row r="475" spans="16:16">
      <c r="P475" s="332"/>
    </row>
    <row r="476" spans="16:16">
      <c r="P476" s="332"/>
    </row>
    <row r="477" spans="16:16">
      <c r="P477" s="332"/>
    </row>
    <row r="478" spans="16:16">
      <c r="P478" s="332"/>
    </row>
    <row r="479" spans="16:16">
      <c r="P479" s="332"/>
    </row>
    <row r="480" spans="16:16">
      <c r="P480" s="332"/>
    </row>
    <row r="999983" spans="1:1">
      <c r="A999983" s="111" t="s">
        <v>7</v>
      </c>
    </row>
    <row r="999984" spans="1:1">
      <c r="A999984" s="111" t="s">
        <v>2</v>
      </c>
    </row>
    <row r="999985" spans="1:1">
      <c r="A999985" s="111" t="s">
        <v>6</v>
      </c>
    </row>
    <row r="999986" spans="1:1">
      <c r="A999986" s="111" t="s">
        <v>3</v>
      </c>
    </row>
    <row r="999987" spans="1:1">
      <c r="A999987" s="111" t="s">
        <v>4</v>
      </c>
    </row>
    <row r="999988" spans="1:1">
      <c r="A999988" s="111" t="s">
        <v>5</v>
      </c>
    </row>
  </sheetData>
  <pageMargins left="0.15748031496062992" right="0.15748031496062992" top="0.35433070866141736" bottom="0.55118110236220474" header="0.19685039370078741" footer="0.23622047244094491"/>
  <pageSetup paperSize="9" scale="84" orientation="landscape" r:id="rId1"/>
  <headerFooter>
    <oddFooter>&amp;C&amp;D&amp;R&amp;F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205"/>
  <sheetViews>
    <sheetView showGridLines="0" zoomScale="85" zoomScaleNormal="85" workbookViewId="0">
      <pane xSplit="3" ySplit="5" topLeftCell="E15" activePane="bottomRight" state="frozen"/>
      <selection activeCell="F73" sqref="F73"/>
      <selection pane="topRight" activeCell="F73" sqref="F73"/>
      <selection pane="bottomLeft" activeCell="F73" sqref="F73"/>
      <selection pane="bottomRight" activeCell="S93" sqref="S93"/>
    </sheetView>
  </sheetViews>
  <sheetFormatPr defaultColWidth="9" defaultRowHeight="13.5"/>
  <cols>
    <col min="1" max="1" width="31.4609375" style="131" customWidth="1"/>
    <col min="2" max="2" width="11.3828125" style="131" customWidth="1"/>
    <col min="3" max="3" width="11" style="131" customWidth="1"/>
    <col min="4" max="4" width="6.61328125" style="111" customWidth="1"/>
    <col min="5" max="5" width="8.15234375" style="111" customWidth="1"/>
    <col min="6" max="6" width="8" style="111" customWidth="1"/>
    <col min="7" max="9" width="8.23046875" style="111" customWidth="1"/>
    <col min="10" max="10" width="8.4609375" style="111" customWidth="1"/>
    <col min="11" max="11" width="8.3828125" style="111" customWidth="1"/>
    <col min="12" max="12" width="8.61328125" style="111" customWidth="1"/>
    <col min="13" max="13" width="9" style="111"/>
    <col min="14" max="14" width="9.765625" style="118" customWidth="1"/>
    <col min="15" max="16384" width="9" style="111"/>
  </cols>
  <sheetData>
    <row r="1" spans="1:16" ht="15">
      <c r="A1" s="165" t="s">
        <v>244</v>
      </c>
      <c r="N1" s="343"/>
    </row>
    <row r="2" spans="1:16" ht="15">
      <c r="A2" s="165" t="str">
        <f>CompName</f>
        <v>Scottish Hydro Electric Transmission Plc</v>
      </c>
      <c r="N2" s="343"/>
    </row>
    <row r="3" spans="1:16">
      <c r="A3" s="166" t="str">
        <f>RegYr</f>
        <v>Regulatory Year ending 31 March 2020</v>
      </c>
      <c r="N3" s="343"/>
    </row>
    <row r="4" spans="1:16" ht="5.15" customHeight="1">
      <c r="N4" s="343"/>
    </row>
    <row r="5" spans="1:16" ht="15.5">
      <c r="A5" s="167" t="s">
        <v>137</v>
      </c>
      <c r="C5" s="262"/>
      <c r="E5" s="112">
        <v>2013</v>
      </c>
      <c r="F5" s="112">
        <v>2014</v>
      </c>
      <c r="G5" s="112">
        <v>2015</v>
      </c>
      <c r="H5" s="112">
        <v>2016</v>
      </c>
      <c r="I5" s="112">
        <v>2017</v>
      </c>
      <c r="J5" s="112">
        <v>2018</v>
      </c>
      <c r="K5" s="112">
        <v>2019</v>
      </c>
      <c r="L5" s="112">
        <v>2020</v>
      </c>
      <c r="M5" s="112">
        <v>2021</v>
      </c>
      <c r="N5" s="112">
        <v>2022</v>
      </c>
      <c r="O5" s="343"/>
    </row>
    <row r="6" spans="1:16">
      <c r="C6" s="262"/>
      <c r="N6" s="273"/>
      <c r="O6" s="343"/>
    </row>
    <row r="7" spans="1:16" ht="14">
      <c r="A7" s="142" t="s">
        <v>455</v>
      </c>
      <c r="C7" s="262"/>
      <c r="N7" s="273"/>
      <c r="O7" s="343"/>
    </row>
    <row r="8" spans="1:16" ht="14.5">
      <c r="A8" s="166" t="s">
        <v>480</v>
      </c>
      <c r="C8" s="262"/>
      <c r="E8" s="112">
        <v>2013</v>
      </c>
      <c r="F8" s="112">
        <v>2014</v>
      </c>
      <c r="G8" s="112">
        <v>2015</v>
      </c>
      <c r="H8" s="112">
        <v>2016</v>
      </c>
      <c r="I8" s="112">
        <v>2017</v>
      </c>
      <c r="J8" s="112">
        <v>2018</v>
      </c>
      <c r="K8" s="112">
        <v>2019</v>
      </c>
      <c r="L8" s="112">
        <v>2020</v>
      </c>
      <c r="M8" s="112">
        <v>2021</v>
      </c>
      <c r="N8" s="112">
        <v>2022</v>
      </c>
      <c r="O8" s="343"/>
    </row>
    <row r="9" spans="1:16">
      <c r="A9" s="131" t="s">
        <v>246</v>
      </c>
      <c r="B9" s="131" t="s">
        <v>145</v>
      </c>
      <c r="C9" s="262" t="s">
        <v>1</v>
      </c>
      <c r="E9" s="133">
        <f>E25+E83</f>
        <v>0</v>
      </c>
      <c r="F9" s="133">
        <f>F25+F83</f>
        <v>0</v>
      </c>
      <c r="G9" s="133">
        <f t="shared" ref="G9:M9" si="0">G25+G83</f>
        <v>0</v>
      </c>
      <c r="H9" s="133">
        <f t="shared" si="0"/>
        <v>0</v>
      </c>
      <c r="I9" s="133">
        <f t="shared" si="0"/>
        <v>0</v>
      </c>
      <c r="J9" s="133">
        <f t="shared" si="0"/>
        <v>0</v>
      </c>
      <c r="K9" s="133">
        <f t="shared" si="0"/>
        <v>0</v>
      </c>
      <c r="L9" s="133">
        <f t="shared" si="0"/>
        <v>0</v>
      </c>
      <c r="M9" s="133">
        <f t="shared" si="0"/>
        <v>0</v>
      </c>
      <c r="N9" s="133">
        <f t="shared" ref="N9" si="1">N25+N83</f>
        <v>0</v>
      </c>
      <c r="O9" s="343"/>
    </row>
    <row r="10" spans="1:16">
      <c r="A10" s="131" t="s">
        <v>257</v>
      </c>
      <c r="B10" s="131" t="s">
        <v>147</v>
      </c>
      <c r="C10" s="262" t="s">
        <v>1</v>
      </c>
      <c r="E10" s="133">
        <f>E42+E100</f>
        <v>0</v>
      </c>
      <c r="F10" s="133">
        <f>F42+F100</f>
        <v>42.010032788215355</v>
      </c>
      <c r="G10" s="133">
        <f t="shared" ref="G10:M10" si="2">G42+G100</f>
        <v>43.36850859600105</v>
      </c>
      <c r="H10" s="133">
        <f>H42+H100</f>
        <v>42.62707400205376</v>
      </c>
      <c r="I10" s="133">
        <f t="shared" si="2"/>
        <v>0</v>
      </c>
      <c r="J10" s="133">
        <f t="shared" si="2"/>
        <v>0</v>
      </c>
      <c r="K10" s="133">
        <f t="shared" si="2"/>
        <v>0</v>
      </c>
      <c r="L10" s="133">
        <f t="shared" si="2"/>
        <v>0</v>
      </c>
      <c r="M10" s="133">
        <f t="shared" si="2"/>
        <v>0</v>
      </c>
      <c r="N10" s="133">
        <f t="shared" ref="N10" si="3">N42+N100</f>
        <v>0</v>
      </c>
      <c r="O10" s="343"/>
    </row>
    <row r="11" spans="1:16">
      <c r="A11" s="131" t="s">
        <v>256</v>
      </c>
      <c r="B11" s="131" t="s">
        <v>148</v>
      </c>
      <c r="C11" s="262" t="s">
        <v>1</v>
      </c>
      <c r="E11" s="133">
        <f>E69+E127</f>
        <v>0</v>
      </c>
      <c r="F11" s="133">
        <f>F69+F127</f>
        <v>1.1202636953122749</v>
      </c>
      <c r="G11" s="133">
        <f t="shared" ref="G11:N11" si="4">G69+G127</f>
        <v>2.273989644793255</v>
      </c>
      <c r="H11" s="133">
        <f>H69+H127</f>
        <v>2.2345919399734906</v>
      </c>
      <c r="I11" s="133">
        <f t="shared" si="4"/>
        <v>0</v>
      </c>
      <c r="J11" s="133">
        <f t="shared" si="4"/>
        <v>84.256191454810178</v>
      </c>
      <c r="K11" s="133">
        <f t="shared" si="4"/>
        <v>83.929406675831544</v>
      </c>
      <c r="L11" s="133">
        <f t="shared" si="4"/>
        <v>83.48339417561121</v>
      </c>
      <c r="M11" s="133">
        <f t="shared" si="4"/>
        <v>81.445315519738841</v>
      </c>
      <c r="N11" s="133">
        <f t="shared" si="4"/>
        <v>82.800500724962788</v>
      </c>
      <c r="O11" s="343"/>
    </row>
    <row r="12" spans="1:16">
      <c r="A12" s="131" t="s">
        <v>271</v>
      </c>
      <c r="C12" s="262"/>
      <c r="E12" s="207">
        <f>SUM(E9:E11)</f>
        <v>0</v>
      </c>
      <c r="F12" s="62">
        <f>SUM(F9:F11)</f>
        <v>43.13029648352763</v>
      </c>
      <c r="G12" s="62">
        <f t="shared" ref="G12:M12" si="5">SUM(G9:G11)</f>
        <v>45.642498240794303</v>
      </c>
      <c r="H12" s="62">
        <f>SUM(H9:H11)</f>
        <v>44.861665942027251</v>
      </c>
      <c r="I12" s="62">
        <f t="shared" si="5"/>
        <v>0</v>
      </c>
      <c r="J12" s="62">
        <f t="shared" si="5"/>
        <v>84.256191454810178</v>
      </c>
      <c r="K12" s="62">
        <f t="shared" si="5"/>
        <v>83.929406675831544</v>
      </c>
      <c r="L12" s="62">
        <f t="shared" si="5"/>
        <v>83.48339417561121</v>
      </c>
      <c r="M12" s="62">
        <f t="shared" si="5"/>
        <v>81.445315519738841</v>
      </c>
      <c r="N12" s="62">
        <f t="shared" ref="N12" si="6">SUM(N9:N11)</f>
        <v>82.800500724962788</v>
      </c>
      <c r="P12" s="343" t="s">
        <v>272</v>
      </c>
    </row>
    <row r="13" spans="1:16">
      <c r="A13" s="131" t="s">
        <v>258</v>
      </c>
      <c r="B13" s="131" t="s">
        <v>146</v>
      </c>
      <c r="C13" s="262" t="s">
        <v>1</v>
      </c>
      <c r="F13" s="133">
        <f>F72+F130</f>
        <v>0</v>
      </c>
      <c r="G13" s="133">
        <f>G72+G130</f>
        <v>0</v>
      </c>
      <c r="H13" s="133">
        <f>H72+H130</f>
        <v>0</v>
      </c>
      <c r="I13" s="133">
        <f t="shared" ref="I13:M13" si="7">I72+I130</f>
        <v>0</v>
      </c>
      <c r="J13" s="133">
        <f t="shared" si="7"/>
        <v>0</v>
      </c>
      <c r="K13" s="133">
        <f t="shared" si="7"/>
        <v>0</v>
      </c>
      <c r="L13" s="133">
        <f t="shared" si="7"/>
        <v>0</v>
      </c>
      <c r="M13" s="133">
        <f t="shared" si="7"/>
        <v>0</v>
      </c>
      <c r="N13" s="133">
        <f t="shared" ref="N13" si="8">N72+N130</f>
        <v>0</v>
      </c>
      <c r="O13" s="343"/>
    </row>
    <row r="14" spans="1:16">
      <c r="A14" s="131" t="s">
        <v>247</v>
      </c>
      <c r="B14" s="131" t="s">
        <v>149</v>
      </c>
      <c r="C14" s="262" t="s">
        <v>1</v>
      </c>
      <c r="F14" s="133">
        <f>F73+F131</f>
        <v>0</v>
      </c>
      <c r="G14" s="133">
        <f t="shared" ref="G14:L14" si="9">G73+G131</f>
        <v>0</v>
      </c>
      <c r="H14" s="133">
        <f>H73+H131</f>
        <v>0</v>
      </c>
      <c r="I14" s="133">
        <f t="shared" si="9"/>
        <v>0</v>
      </c>
      <c r="J14" s="133">
        <f t="shared" si="9"/>
        <v>0</v>
      </c>
      <c r="K14" s="133">
        <f t="shared" si="9"/>
        <v>0</v>
      </c>
      <c r="L14" s="133">
        <f t="shared" si="9"/>
        <v>0</v>
      </c>
      <c r="M14" s="133">
        <f>M73+M131</f>
        <v>0</v>
      </c>
      <c r="N14" s="133">
        <f>N73+N131</f>
        <v>0</v>
      </c>
      <c r="O14" s="343"/>
      <c r="P14" s="118"/>
    </row>
    <row r="15" spans="1:16" ht="14">
      <c r="B15" s="113"/>
      <c r="C15" s="262"/>
      <c r="N15" s="273"/>
      <c r="O15" s="343"/>
    </row>
    <row r="16" spans="1:16">
      <c r="B16" s="131" t="s">
        <v>311</v>
      </c>
      <c r="C16" s="262" t="s">
        <v>1</v>
      </c>
      <c r="F16" s="62">
        <f>SUM(F12:F14)</f>
        <v>43.13029648352763</v>
      </c>
      <c r="G16" s="307">
        <f t="shared" ref="G16:M16" si="10">SUM(G12:G14)</f>
        <v>45.642498240794303</v>
      </c>
      <c r="H16" s="62">
        <f>SUM(H12:H14)</f>
        <v>44.861665942027251</v>
      </c>
      <c r="I16" s="62">
        <f t="shared" si="10"/>
        <v>0</v>
      </c>
      <c r="J16" s="62">
        <f t="shared" si="10"/>
        <v>84.256191454810178</v>
      </c>
      <c r="K16" s="62">
        <f t="shared" si="10"/>
        <v>83.929406675831544</v>
      </c>
      <c r="L16" s="62">
        <f>SUM(L12:L14)</f>
        <v>83.48339417561121</v>
      </c>
      <c r="M16" s="62">
        <f t="shared" si="10"/>
        <v>81.445315519738841</v>
      </c>
      <c r="N16" s="62">
        <f t="shared" ref="N16" si="11">SUM(N12:N14)</f>
        <v>82.800500724962788</v>
      </c>
      <c r="P16" s="343" t="s">
        <v>137</v>
      </c>
    </row>
    <row r="17" spans="1:16" ht="14">
      <c r="A17" s="113"/>
      <c r="C17" s="262"/>
      <c r="F17" s="118"/>
      <c r="N17" s="273"/>
      <c r="O17" s="343"/>
    </row>
    <row r="18" spans="1:16" ht="14">
      <c r="A18" s="142" t="s">
        <v>281</v>
      </c>
      <c r="B18" s="309" t="s">
        <v>366</v>
      </c>
      <c r="C18" s="262"/>
      <c r="N18" s="273"/>
      <c r="O18" s="343"/>
    </row>
    <row r="19" spans="1:16" ht="14">
      <c r="A19" s="113"/>
      <c r="C19" s="262"/>
      <c r="N19" s="273"/>
      <c r="O19" s="343"/>
    </row>
    <row r="20" spans="1:16" ht="14">
      <c r="A20" s="142" t="s">
        <v>278</v>
      </c>
      <c r="C20" s="262"/>
      <c r="J20" s="118"/>
      <c r="N20" s="273"/>
      <c r="O20" s="343"/>
    </row>
    <row r="21" spans="1:16" ht="14.5">
      <c r="A21" s="144" t="s">
        <v>481</v>
      </c>
      <c r="C21" s="262"/>
      <c r="E21" s="112">
        <v>2013</v>
      </c>
      <c r="F21" s="112">
        <v>2014</v>
      </c>
      <c r="G21" s="112">
        <v>2015</v>
      </c>
      <c r="H21" s="112">
        <v>2016</v>
      </c>
      <c r="I21" s="112">
        <v>2017</v>
      </c>
      <c r="J21" s="112">
        <v>2018</v>
      </c>
      <c r="K21" s="112">
        <v>2019</v>
      </c>
      <c r="L21" s="112">
        <v>2020</v>
      </c>
      <c r="M21" s="112">
        <v>2021</v>
      </c>
      <c r="N21" s="112">
        <v>2022</v>
      </c>
      <c r="O21" s="343"/>
    </row>
    <row r="22" spans="1:16">
      <c r="A22" s="121" t="s">
        <v>383</v>
      </c>
      <c r="B22" s="131" t="s">
        <v>150</v>
      </c>
      <c r="C22" s="262" t="s">
        <v>1</v>
      </c>
      <c r="E22" s="133">
        <f t="shared" ref="E22:M22" si="12">CFTIRG1</f>
        <v>0</v>
      </c>
      <c r="F22" s="133">
        <f t="shared" si="12"/>
        <v>0</v>
      </c>
      <c r="G22" s="133">
        <f t="shared" si="12"/>
        <v>0</v>
      </c>
      <c r="H22" s="133">
        <f t="shared" si="12"/>
        <v>0</v>
      </c>
      <c r="I22" s="133">
        <f t="shared" si="12"/>
        <v>0</v>
      </c>
      <c r="J22" s="133">
        <f t="shared" si="12"/>
        <v>0</v>
      </c>
      <c r="K22" s="133">
        <f t="shared" si="12"/>
        <v>0</v>
      </c>
      <c r="L22" s="133">
        <f t="shared" si="12"/>
        <v>0</v>
      </c>
      <c r="M22" s="133">
        <f t="shared" si="12"/>
        <v>0</v>
      </c>
      <c r="N22" s="133">
        <f>'R4 Licence Condition Values'!N71</f>
        <v>0</v>
      </c>
      <c r="O22" s="343" t="s">
        <v>385</v>
      </c>
      <c r="P22" s="118"/>
    </row>
    <row r="23" spans="1:16">
      <c r="A23" s="131" t="s">
        <v>157</v>
      </c>
      <c r="B23" s="131" t="s">
        <v>117</v>
      </c>
      <c r="C23" s="262" t="s">
        <v>118</v>
      </c>
      <c r="E23" s="317">
        <f t="shared" ref="E23:M23" si="13">RPIF</f>
        <v>1.1339999999999999</v>
      </c>
      <c r="F23" s="317">
        <f t="shared" si="13"/>
        <v>1.1630161697108456</v>
      </c>
      <c r="G23" s="317">
        <f t="shared" si="13"/>
        <v>1.2050819527256253</v>
      </c>
      <c r="H23" s="317">
        <f t="shared" si="13"/>
        <v>1.2266493019576674</v>
      </c>
      <c r="I23" s="317">
        <f t="shared" si="13"/>
        <v>1.2327329838381795</v>
      </c>
      <c r="J23" s="317">
        <f t="shared" si="13"/>
        <v>1.2709189417960116</v>
      </c>
      <c r="K23" s="317">
        <f t="shared" si="13"/>
        <v>1.3140238772935624</v>
      </c>
      <c r="L23" s="317">
        <f t="shared" si="13"/>
        <v>1.3585865587485577</v>
      </c>
      <c r="M23" s="317">
        <f t="shared" si="13"/>
        <v>1.3798357939884227</v>
      </c>
      <c r="N23" s="317">
        <f>'R6 Base revenue'!N30</f>
        <v>1.4027951630045372</v>
      </c>
      <c r="O23" s="343" t="s">
        <v>117</v>
      </c>
    </row>
    <row r="24" spans="1:16">
      <c r="C24" s="262"/>
      <c r="N24" s="273"/>
      <c r="O24" s="343"/>
    </row>
    <row r="25" spans="1:16" ht="14">
      <c r="A25" s="113" t="s">
        <v>165</v>
      </c>
      <c r="B25" s="131" t="s">
        <v>145</v>
      </c>
      <c r="C25" s="262" t="s">
        <v>1</v>
      </c>
      <c r="E25" s="207">
        <f t="shared" ref="E25:M25" si="14">E22*E23</f>
        <v>0</v>
      </c>
      <c r="F25" s="62">
        <f>F22*F23</f>
        <v>0</v>
      </c>
      <c r="G25" s="62">
        <f t="shared" si="14"/>
        <v>0</v>
      </c>
      <c r="H25" s="62">
        <f t="shared" si="14"/>
        <v>0</v>
      </c>
      <c r="I25" s="62">
        <f t="shared" si="14"/>
        <v>0</v>
      </c>
      <c r="J25" s="62">
        <f t="shared" si="14"/>
        <v>0</v>
      </c>
      <c r="K25" s="62">
        <f t="shared" si="14"/>
        <v>0</v>
      </c>
      <c r="L25" s="62">
        <f t="shared" si="14"/>
        <v>0</v>
      </c>
      <c r="M25" s="62">
        <f t="shared" si="14"/>
        <v>0</v>
      </c>
      <c r="N25" s="62">
        <f t="shared" ref="N25" si="15">N22*N23</f>
        <v>0</v>
      </c>
      <c r="O25" s="343"/>
    </row>
    <row r="26" spans="1:16" ht="14">
      <c r="A26" s="113"/>
      <c r="C26" s="262"/>
      <c r="E26" s="118"/>
      <c r="N26" s="273"/>
      <c r="O26" s="343"/>
    </row>
    <row r="27" spans="1:16" ht="14">
      <c r="A27" s="113"/>
      <c r="C27" s="262"/>
      <c r="N27" s="273"/>
      <c r="O27" s="343"/>
    </row>
    <row r="28" spans="1:16" ht="14">
      <c r="A28" s="142" t="s">
        <v>279</v>
      </c>
      <c r="C28" s="262"/>
      <c r="N28" s="273"/>
      <c r="O28" s="343"/>
    </row>
    <row r="29" spans="1:16">
      <c r="A29" s="144" t="s">
        <v>482</v>
      </c>
      <c r="C29" s="262"/>
      <c r="N29" s="273"/>
      <c r="O29" s="343"/>
    </row>
    <row r="30" spans="1:16" ht="16.5" customHeight="1">
      <c r="A30" s="113"/>
      <c r="C30" s="262"/>
      <c r="E30" s="112">
        <v>2013</v>
      </c>
      <c r="F30" s="112">
        <v>2014</v>
      </c>
      <c r="G30" s="112">
        <v>2015</v>
      </c>
      <c r="H30" s="112">
        <v>2016</v>
      </c>
      <c r="I30" s="112">
        <v>2017</v>
      </c>
      <c r="J30" s="112">
        <v>2018</v>
      </c>
      <c r="K30" s="112">
        <v>2019</v>
      </c>
      <c r="L30" s="112">
        <v>2020</v>
      </c>
      <c r="M30" s="112">
        <v>2021</v>
      </c>
      <c r="N30" s="112">
        <v>2022</v>
      </c>
      <c r="O30" s="343"/>
    </row>
    <row r="31" spans="1:16">
      <c r="A31" s="131" t="s">
        <v>241</v>
      </c>
      <c r="B31" s="131" t="s">
        <v>142</v>
      </c>
      <c r="C31" s="262" t="s">
        <v>105</v>
      </c>
      <c r="F31" s="153">
        <f t="shared" ref="F31:M31" si="16">CCTIRG</f>
        <v>8.7999999999999995E-2</v>
      </c>
      <c r="G31" s="153">
        <f t="shared" si="16"/>
        <v>8.7999999999999995E-2</v>
      </c>
      <c r="H31" s="153">
        <f t="shared" si="16"/>
        <v>8.7999999999999995E-2</v>
      </c>
      <c r="I31" s="153">
        <f t="shared" si="16"/>
        <v>8.7999999999999995E-2</v>
      </c>
      <c r="J31" s="153">
        <f t="shared" si="16"/>
        <v>8.7999999999999995E-2</v>
      </c>
      <c r="K31" s="153">
        <f t="shared" si="16"/>
        <v>8.7999999999999995E-2</v>
      </c>
      <c r="L31" s="153">
        <f t="shared" si="16"/>
        <v>8.7999999999999995E-2</v>
      </c>
      <c r="M31" s="153">
        <f t="shared" si="16"/>
        <v>8.7999999999999995E-2</v>
      </c>
      <c r="N31" s="153">
        <f>'R4 Licence Condition Values'!N78</f>
        <v>8.7999999999999995E-2</v>
      </c>
      <c r="O31" s="343" t="s">
        <v>142</v>
      </c>
    </row>
    <row r="32" spans="1:16">
      <c r="A32" s="121" t="s">
        <v>251</v>
      </c>
      <c r="B32" s="131" t="s">
        <v>138</v>
      </c>
      <c r="C32" s="262" t="s">
        <v>1</v>
      </c>
      <c r="F32" s="133">
        <f t="shared" ref="F32:M32" si="17">FTIRGC1</f>
        <v>257.22300000000001</v>
      </c>
      <c r="G32" s="133">
        <f t="shared" si="17"/>
        <v>249.18199999999999</v>
      </c>
      <c r="H32" s="133">
        <f t="shared" si="17"/>
        <v>235.12299999999999</v>
      </c>
      <c r="I32" s="133">
        <f t="shared" si="17"/>
        <v>0</v>
      </c>
      <c r="J32" s="133">
        <f t="shared" si="17"/>
        <v>0</v>
      </c>
      <c r="K32" s="133">
        <f t="shared" si="17"/>
        <v>0</v>
      </c>
      <c r="L32" s="133">
        <f t="shared" si="17"/>
        <v>0</v>
      </c>
      <c r="M32" s="133">
        <f t="shared" si="17"/>
        <v>0</v>
      </c>
      <c r="N32" s="133">
        <f>'R4 Licence Condition Values'!N72</f>
        <v>0</v>
      </c>
      <c r="O32" s="343" t="s">
        <v>583</v>
      </c>
    </row>
    <row r="33" spans="1:17">
      <c r="A33" s="131" t="s">
        <v>242</v>
      </c>
      <c r="B33" s="131" t="s">
        <v>151</v>
      </c>
      <c r="C33" s="262" t="s">
        <v>1</v>
      </c>
      <c r="F33" s="133">
        <f t="shared" ref="F33:M33" si="18">AFFTIRG1</f>
        <v>0</v>
      </c>
      <c r="G33" s="133">
        <f t="shared" si="18"/>
        <v>0</v>
      </c>
      <c r="H33" s="133">
        <f t="shared" si="18"/>
        <v>0</v>
      </c>
      <c r="I33" s="133">
        <f t="shared" si="18"/>
        <v>0</v>
      </c>
      <c r="J33" s="133">
        <f t="shared" si="18"/>
        <v>0</v>
      </c>
      <c r="K33" s="133">
        <f t="shared" si="18"/>
        <v>0</v>
      </c>
      <c r="L33" s="133">
        <f t="shared" si="18"/>
        <v>0</v>
      </c>
      <c r="M33" s="133">
        <f t="shared" si="18"/>
        <v>0</v>
      </c>
      <c r="N33" s="133">
        <f>'R5 Input page'!M122</f>
        <v>0</v>
      </c>
      <c r="O33" s="343" t="s">
        <v>358</v>
      </c>
    </row>
    <row r="34" spans="1:17">
      <c r="A34" s="131" t="s">
        <v>157</v>
      </c>
      <c r="B34" s="131" t="s">
        <v>117</v>
      </c>
      <c r="C34" s="262" t="s">
        <v>118</v>
      </c>
      <c r="F34" s="317">
        <f t="shared" ref="F34:M34" si="19">RPIF</f>
        <v>1.1630161697108456</v>
      </c>
      <c r="G34" s="317">
        <f t="shared" si="19"/>
        <v>1.2050819527256253</v>
      </c>
      <c r="H34" s="317">
        <f t="shared" si="19"/>
        <v>1.2266493019576674</v>
      </c>
      <c r="I34" s="317">
        <f t="shared" si="19"/>
        <v>1.2327329838381795</v>
      </c>
      <c r="J34" s="317">
        <f t="shared" si="19"/>
        <v>1.2709189417960116</v>
      </c>
      <c r="K34" s="317">
        <f t="shared" si="19"/>
        <v>1.3140238772935624</v>
      </c>
      <c r="L34" s="317">
        <f t="shared" si="19"/>
        <v>1.3585865587485577</v>
      </c>
      <c r="M34" s="317">
        <f t="shared" si="19"/>
        <v>1.3798357939884227</v>
      </c>
      <c r="N34" s="317">
        <f>N23</f>
        <v>1.4027951630045372</v>
      </c>
      <c r="O34" s="343" t="s">
        <v>117</v>
      </c>
    </row>
    <row r="35" spans="1:17">
      <c r="B35" s="131" t="s">
        <v>163</v>
      </c>
      <c r="C35" s="262"/>
      <c r="F35" s="62">
        <f>(F32+F33)*F31*F34</f>
        <v>26.32559672349489</v>
      </c>
      <c r="G35" s="62">
        <f t="shared" ref="G35:M35" si="20">(G32+G33)*G31*G34</f>
        <v>26.425056340678751</v>
      </c>
      <c r="H35" s="62">
        <f t="shared" si="20"/>
        <v>25.380384816528952</v>
      </c>
      <c r="I35" s="62">
        <f t="shared" si="20"/>
        <v>0</v>
      </c>
      <c r="J35" s="62">
        <f t="shared" si="20"/>
        <v>0</v>
      </c>
      <c r="K35" s="62">
        <f t="shared" si="20"/>
        <v>0</v>
      </c>
      <c r="L35" s="62">
        <f t="shared" si="20"/>
        <v>0</v>
      </c>
      <c r="M35" s="62">
        <f t="shared" si="20"/>
        <v>0</v>
      </c>
      <c r="N35" s="62">
        <f t="shared" ref="N35" si="21">(N32+N33)*N31*N34</f>
        <v>0</v>
      </c>
      <c r="O35" s="343"/>
    </row>
    <row r="36" spans="1:17" ht="14">
      <c r="B36" s="113"/>
      <c r="C36" s="262"/>
      <c r="N36" s="273"/>
      <c r="O36" s="343"/>
    </row>
    <row r="37" spans="1:17">
      <c r="A37" s="121" t="s">
        <v>252</v>
      </c>
      <c r="B37" s="131" t="s">
        <v>152</v>
      </c>
      <c r="C37" s="262" t="s">
        <v>1</v>
      </c>
      <c r="F37" s="133">
        <f t="shared" ref="F37:M37" si="22">FTIRGDEPN1</f>
        <v>13.486000000000001</v>
      </c>
      <c r="G37" s="133">
        <f t="shared" si="22"/>
        <v>14.060000000000002</v>
      </c>
      <c r="H37" s="133">
        <f t="shared" si="22"/>
        <v>14.06</v>
      </c>
      <c r="I37" s="133">
        <f t="shared" si="22"/>
        <v>0</v>
      </c>
      <c r="J37" s="133">
        <f t="shared" si="22"/>
        <v>0</v>
      </c>
      <c r="K37" s="133">
        <f t="shared" si="22"/>
        <v>0</v>
      </c>
      <c r="L37" s="133">
        <f t="shared" si="22"/>
        <v>0</v>
      </c>
      <c r="M37" s="133">
        <f t="shared" si="22"/>
        <v>0</v>
      </c>
      <c r="N37" s="133">
        <f>'R4 Licence Condition Values'!N73</f>
        <v>0</v>
      </c>
      <c r="O37" s="343" t="s">
        <v>584</v>
      </c>
      <c r="Q37" s="157"/>
    </row>
    <row r="38" spans="1:17">
      <c r="A38" s="131" t="s">
        <v>245</v>
      </c>
      <c r="B38" s="131" t="s">
        <v>153</v>
      </c>
      <c r="C38" s="262" t="s">
        <v>1</v>
      </c>
      <c r="F38" s="133">
        <f>'R5 Input page'!F123</f>
        <v>0</v>
      </c>
      <c r="G38" s="133">
        <f>'R5 Input page'!G123</f>
        <v>0</v>
      </c>
      <c r="H38" s="133">
        <f>'R5 Input page'!H123</f>
        <v>0</v>
      </c>
      <c r="I38" s="133">
        <f>'R5 Input page'!I123</f>
        <v>0</v>
      </c>
      <c r="J38" s="133">
        <f>'R5 Input page'!J123</f>
        <v>0</v>
      </c>
      <c r="K38" s="133">
        <f>'R5 Input page'!K123</f>
        <v>0</v>
      </c>
      <c r="L38" s="133">
        <f>'R5 Input page'!L123</f>
        <v>0</v>
      </c>
      <c r="M38" s="133">
        <f>'R5 Input page'!M123</f>
        <v>0</v>
      </c>
      <c r="N38" s="133">
        <f>'R5 Input page'!M123</f>
        <v>0</v>
      </c>
      <c r="O38" s="343"/>
    </row>
    <row r="39" spans="1:17">
      <c r="A39" s="131" t="s">
        <v>157</v>
      </c>
      <c r="B39" s="131" t="s">
        <v>117</v>
      </c>
      <c r="C39" s="262" t="s">
        <v>118</v>
      </c>
      <c r="F39" s="164">
        <f t="shared" ref="F39:M39" si="23">RPIF</f>
        <v>1.1630161697108456</v>
      </c>
      <c r="G39" s="164">
        <f t="shared" si="23"/>
        <v>1.2050819527256253</v>
      </c>
      <c r="H39" s="164">
        <f t="shared" si="23"/>
        <v>1.2266493019576674</v>
      </c>
      <c r="I39" s="164">
        <f t="shared" si="23"/>
        <v>1.2327329838381795</v>
      </c>
      <c r="J39" s="164">
        <f t="shared" si="23"/>
        <v>1.2709189417960116</v>
      </c>
      <c r="K39" s="164">
        <f t="shared" si="23"/>
        <v>1.3140238772935624</v>
      </c>
      <c r="L39" s="164">
        <f t="shared" si="23"/>
        <v>1.3585865587485577</v>
      </c>
      <c r="M39" s="164">
        <f t="shared" si="23"/>
        <v>1.3798357939884227</v>
      </c>
      <c r="N39" s="164">
        <f>N34</f>
        <v>1.4027951630045372</v>
      </c>
      <c r="O39" s="343" t="s">
        <v>117</v>
      </c>
    </row>
    <row r="40" spans="1:17">
      <c r="B40" s="131" t="s">
        <v>164</v>
      </c>
      <c r="C40" s="262"/>
      <c r="F40" s="62">
        <f>(F37+F38)*F39</f>
        <v>15.684436064720465</v>
      </c>
      <c r="G40" s="62">
        <f t="shared" ref="G40:M40" si="24">(G37+G38)*G39</f>
        <v>16.943452255322295</v>
      </c>
      <c r="H40" s="62">
        <f t="shared" si="24"/>
        <v>17.246689185524804</v>
      </c>
      <c r="I40" s="62">
        <f t="shared" si="24"/>
        <v>0</v>
      </c>
      <c r="J40" s="62">
        <f t="shared" si="24"/>
        <v>0</v>
      </c>
      <c r="K40" s="62">
        <f t="shared" si="24"/>
        <v>0</v>
      </c>
      <c r="L40" s="62">
        <f t="shared" si="24"/>
        <v>0</v>
      </c>
      <c r="M40" s="62">
        <f t="shared" si="24"/>
        <v>0</v>
      </c>
      <c r="N40" s="62">
        <f t="shared" ref="N40" si="25">(N37+N38)*N39</f>
        <v>0</v>
      </c>
      <c r="O40" s="343"/>
    </row>
    <row r="41" spans="1:17">
      <c r="C41" s="262"/>
      <c r="N41" s="273"/>
      <c r="O41" s="343"/>
    </row>
    <row r="42" spans="1:17">
      <c r="B42" s="131" t="s">
        <v>147</v>
      </c>
      <c r="C42" s="262" t="s">
        <v>1</v>
      </c>
      <c r="F42" s="62">
        <f>F35+F40</f>
        <v>42.010032788215355</v>
      </c>
      <c r="G42" s="62">
        <f>G35+G40</f>
        <v>43.36850859600105</v>
      </c>
      <c r="H42" s="62">
        <f>H35+H40</f>
        <v>42.62707400205376</v>
      </c>
      <c r="I42" s="62">
        <f t="shared" ref="I42:M42" si="26">I35+I40</f>
        <v>0</v>
      </c>
      <c r="J42" s="62">
        <f t="shared" si="26"/>
        <v>0</v>
      </c>
      <c r="K42" s="62">
        <f t="shared" si="26"/>
        <v>0</v>
      </c>
      <c r="L42" s="62">
        <f t="shared" si="26"/>
        <v>0</v>
      </c>
      <c r="M42" s="62">
        <f t="shared" si="26"/>
        <v>0</v>
      </c>
      <c r="N42" s="62">
        <f t="shared" ref="N42" si="27">N35+N40</f>
        <v>0</v>
      </c>
      <c r="O42" s="343"/>
    </row>
    <row r="43" spans="1:17" ht="14">
      <c r="A43" s="113"/>
      <c r="C43" s="262"/>
      <c r="N43" s="273"/>
      <c r="O43" s="343"/>
    </row>
    <row r="44" spans="1:17" ht="14">
      <c r="A44" s="113"/>
      <c r="C44" s="262"/>
      <c r="N44" s="273"/>
      <c r="O44" s="343"/>
    </row>
    <row r="45" spans="1:17" ht="14">
      <c r="A45" s="142" t="s">
        <v>280</v>
      </c>
      <c r="C45" s="262"/>
      <c r="N45" s="273"/>
      <c r="O45" s="343"/>
    </row>
    <row r="46" spans="1:17" ht="14">
      <c r="A46" s="312"/>
      <c r="B46" s="313"/>
      <c r="C46" s="314"/>
      <c r="N46" s="273"/>
      <c r="O46" s="343"/>
    </row>
    <row r="47" spans="1:17">
      <c r="A47" s="144" t="s">
        <v>483</v>
      </c>
      <c r="C47" s="262"/>
      <c r="N47" s="273"/>
      <c r="O47" s="343"/>
    </row>
    <row r="48" spans="1:17" ht="14.5">
      <c r="A48" s="113"/>
      <c r="C48" s="262"/>
      <c r="E48" s="112">
        <v>2013</v>
      </c>
      <c r="F48" s="112">
        <v>2014</v>
      </c>
      <c r="G48" s="112">
        <v>2015</v>
      </c>
      <c r="H48" s="112">
        <v>2016</v>
      </c>
      <c r="I48" s="112">
        <v>2017</v>
      </c>
      <c r="J48" s="112">
        <v>2018</v>
      </c>
      <c r="K48" s="112">
        <v>2019</v>
      </c>
      <c r="L48" s="112">
        <v>2020</v>
      </c>
      <c r="M48" s="112">
        <v>2021</v>
      </c>
      <c r="N48" s="112">
        <v>2022</v>
      </c>
      <c r="O48" s="343"/>
    </row>
    <row r="49" spans="1:15">
      <c r="A49" s="131" t="s">
        <v>241</v>
      </c>
      <c r="B49" s="131" t="s">
        <v>142</v>
      </c>
      <c r="C49" s="262" t="s">
        <v>105</v>
      </c>
      <c r="F49" s="153">
        <f t="shared" ref="F49:M49" si="28">CCTIRG</f>
        <v>8.7999999999999995E-2</v>
      </c>
      <c r="G49" s="153">
        <f t="shared" si="28"/>
        <v>8.7999999999999995E-2</v>
      </c>
      <c r="H49" s="153">
        <f t="shared" si="28"/>
        <v>8.7999999999999995E-2</v>
      </c>
      <c r="I49" s="153">
        <f t="shared" si="28"/>
        <v>8.7999999999999995E-2</v>
      </c>
      <c r="J49" s="153">
        <f t="shared" si="28"/>
        <v>8.7999999999999995E-2</v>
      </c>
      <c r="K49" s="153">
        <f t="shared" si="28"/>
        <v>8.7999999999999995E-2</v>
      </c>
      <c r="L49" s="153">
        <f t="shared" si="28"/>
        <v>8.7999999999999995E-2</v>
      </c>
      <c r="M49" s="153">
        <f t="shared" si="28"/>
        <v>8.7999999999999995E-2</v>
      </c>
      <c r="N49" s="153">
        <f>N31</f>
        <v>8.7999999999999995E-2</v>
      </c>
      <c r="O49" s="343" t="s">
        <v>142</v>
      </c>
    </row>
    <row r="50" spans="1:15">
      <c r="A50" s="121" t="s">
        <v>255</v>
      </c>
      <c r="B50" s="131" t="s">
        <v>144</v>
      </c>
      <c r="C50" s="262" t="s">
        <v>1</v>
      </c>
      <c r="F50" s="133">
        <f t="shared" ref="F50:M50" si="29">ETIRGC</f>
        <v>0</v>
      </c>
      <c r="G50" s="133">
        <f t="shared" si="29"/>
        <v>0</v>
      </c>
      <c r="H50" s="133">
        <f t="shared" si="29"/>
        <v>0</v>
      </c>
      <c r="I50" s="133">
        <f t="shared" si="29"/>
        <v>0</v>
      </c>
      <c r="J50" s="133">
        <f t="shared" si="29"/>
        <v>440.42599999999999</v>
      </c>
      <c r="K50" s="133">
        <f t="shared" si="29"/>
        <v>412.887</v>
      </c>
      <c r="L50" s="133">
        <f t="shared" si="29"/>
        <v>385.34899999999999</v>
      </c>
      <c r="M50" s="133">
        <f t="shared" si="29"/>
        <v>357.81099999999998</v>
      </c>
      <c r="N50" s="133">
        <f>'R4 Licence Condition Values'!N76</f>
        <v>357.81099999999998</v>
      </c>
      <c r="O50" s="343" t="s">
        <v>144</v>
      </c>
    </row>
    <row r="51" spans="1:15">
      <c r="C51" s="262"/>
      <c r="N51" s="273"/>
      <c r="O51" s="343"/>
    </row>
    <row r="52" spans="1:15">
      <c r="A52" s="131" t="s">
        <v>248</v>
      </c>
      <c r="B52" s="131" t="s">
        <v>154</v>
      </c>
      <c r="C52" s="262" t="s">
        <v>1</v>
      </c>
      <c r="F52" s="133">
        <f t="shared" ref="F52:M52" si="30">SAFTIRG1</f>
        <v>0</v>
      </c>
      <c r="G52" s="133">
        <f t="shared" si="30"/>
        <v>0</v>
      </c>
      <c r="H52" s="133">
        <f t="shared" si="30"/>
        <v>0</v>
      </c>
      <c r="I52" s="133">
        <f t="shared" si="30"/>
        <v>0</v>
      </c>
      <c r="J52" s="133">
        <f t="shared" si="30"/>
        <v>0</v>
      </c>
      <c r="K52" s="133">
        <f t="shared" si="30"/>
        <v>0</v>
      </c>
      <c r="L52" s="133">
        <f t="shared" si="30"/>
        <v>0</v>
      </c>
      <c r="M52" s="133">
        <f t="shared" si="30"/>
        <v>0</v>
      </c>
      <c r="N52" s="133">
        <f>'R5 Input page'!M124</f>
        <v>0</v>
      </c>
      <c r="O52" s="343" t="s">
        <v>276</v>
      </c>
    </row>
    <row r="53" spans="1:15">
      <c r="A53" s="121" t="s">
        <v>253</v>
      </c>
      <c r="B53" s="131" t="s">
        <v>140</v>
      </c>
      <c r="C53" s="262" t="s">
        <v>1</v>
      </c>
      <c r="F53" s="133">
        <f t="shared" ref="F53:M53" si="31">ETIRGORAV</f>
        <v>0</v>
      </c>
      <c r="G53" s="133">
        <f t="shared" si="31"/>
        <v>0</v>
      </c>
      <c r="H53" s="133">
        <f t="shared" si="31"/>
        <v>0</v>
      </c>
      <c r="I53" s="133">
        <f t="shared" si="31"/>
        <v>0</v>
      </c>
      <c r="J53" s="133">
        <f t="shared" si="31"/>
        <v>454.19499999999999</v>
      </c>
      <c r="K53" s="133">
        <f t="shared" si="31"/>
        <v>0</v>
      </c>
      <c r="L53" s="133">
        <f t="shared" si="31"/>
        <v>0</v>
      </c>
      <c r="M53" s="133">
        <f t="shared" si="31"/>
        <v>0</v>
      </c>
      <c r="N53" s="133">
        <f>'R4 Licence Condition Values'!N74</f>
        <v>0</v>
      </c>
      <c r="O53" s="343" t="s">
        <v>140</v>
      </c>
    </row>
    <row r="54" spans="1:15">
      <c r="A54" s="131" t="s">
        <v>155</v>
      </c>
      <c r="B54" s="131" t="s">
        <v>156</v>
      </c>
      <c r="C54" s="262" t="s">
        <v>118</v>
      </c>
      <c r="F54" s="62">
        <f>IF(F52&gt;0,F52/F53,1)</f>
        <v>1</v>
      </c>
      <c r="G54" s="62">
        <f t="shared" ref="G54:M54" si="32">IF(G52&gt;0,G52/G53,1)</f>
        <v>1</v>
      </c>
      <c r="H54" s="62">
        <f t="shared" si="32"/>
        <v>1</v>
      </c>
      <c r="I54" s="62">
        <f t="shared" si="32"/>
        <v>1</v>
      </c>
      <c r="J54" s="62">
        <f t="shared" si="32"/>
        <v>1</v>
      </c>
      <c r="K54" s="62">
        <f t="shared" si="32"/>
        <v>1</v>
      </c>
      <c r="L54" s="62">
        <f t="shared" si="32"/>
        <v>1</v>
      </c>
      <c r="M54" s="62">
        <f t="shared" si="32"/>
        <v>1</v>
      </c>
      <c r="N54" s="62">
        <f t="shared" ref="N54" si="33">IF(N52&gt;0,N52/N53,1)</f>
        <v>1</v>
      </c>
      <c r="O54" s="343"/>
    </row>
    <row r="55" spans="1:15">
      <c r="C55" s="262"/>
      <c r="N55" s="273"/>
      <c r="O55" s="343"/>
    </row>
    <row r="56" spans="1:15">
      <c r="A56" s="131" t="s">
        <v>157</v>
      </c>
      <c r="B56" s="131" t="s">
        <v>117</v>
      </c>
      <c r="C56" s="262" t="s">
        <v>118</v>
      </c>
      <c r="F56" s="164">
        <f t="shared" ref="F56:M56" si="34">RPIF</f>
        <v>1.1630161697108456</v>
      </c>
      <c r="G56" s="164">
        <f t="shared" si="34"/>
        <v>1.2050819527256253</v>
      </c>
      <c r="H56" s="164">
        <f t="shared" si="34"/>
        <v>1.2266493019576674</v>
      </c>
      <c r="I56" s="164">
        <f t="shared" si="34"/>
        <v>1.2327329838381795</v>
      </c>
      <c r="J56" s="164">
        <f t="shared" si="34"/>
        <v>1.2709189417960116</v>
      </c>
      <c r="K56" s="164">
        <f t="shared" si="34"/>
        <v>1.3140238772935624</v>
      </c>
      <c r="L56" s="164">
        <f t="shared" si="34"/>
        <v>1.3585865587485577</v>
      </c>
      <c r="M56" s="164">
        <f t="shared" si="34"/>
        <v>1.3798357939884227</v>
      </c>
      <c r="N56" s="164">
        <f>N39</f>
        <v>1.4027951630045372</v>
      </c>
      <c r="O56" s="343" t="s">
        <v>117</v>
      </c>
    </row>
    <row r="57" spans="1:15">
      <c r="C57" s="262"/>
      <c r="N57" s="273"/>
      <c r="O57" s="343"/>
    </row>
    <row r="58" spans="1:15">
      <c r="A58" s="131" t="s">
        <v>317</v>
      </c>
      <c r="C58" s="262" t="s">
        <v>1</v>
      </c>
      <c r="F58" s="62">
        <f>F49*(F54*F50)*F56</f>
        <v>0</v>
      </c>
      <c r="G58" s="62">
        <f t="shared" ref="G58:M58" si="35">G49*(G54*G50)*G56</f>
        <v>0</v>
      </c>
      <c r="H58" s="62">
        <f t="shared" si="35"/>
        <v>0</v>
      </c>
      <c r="I58" s="62">
        <f t="shared" si="35"/>
        <v>0</v>
      </c>
      <c r="J58" s="62">
        <f t="shared" si="35"/>
        <v>49.257625635631612</v>
      </c>
      <c r="K58" s="62">
        <f t="shared" si="35"/>
        <v>47.743817142921422</v>
      </c>
      <c r="L58" s="62">
        <f t="shared" si="35"/>
        <v>46.070637520793419</v>
      </c>
      <c r="M58" s="62">
        <f t="shared" si="35"/>
        <v>43.447397424885651</v>
      </c>
      <c r="N58" s="62">
        <f t="shared" ref="N58" si="36">N49*(N54*N50)*N56</f>
        <v>44.170327526143843</v>
      </c>
      <c r="O58" s="343"/>
    </row>
    <row r="59" spans="1:15">
      <c r="C59" s="262"/>
      <c r="N59" s="273"/>
      <c r="O59" s="343"/>
    </row>
    <row r="60" spans="1:15">
      <c r="A60" s="144" t="s">
        <v>483</v>
      </c>
      <c r="C60" s="262"/>
      <c r="N60" s="273"/>
      <c r="O60" s="343"/>
    </row>
    <row r="61" spans="1:15" ht="15.75" customHeight="1">
      <c r="C61" s="262"/>
      <c r="J61" s="118"/>
      <c r="N61" s="273"/>
      <c r="O61" s="343"/>
    </row>
    <row r="62" spans="1:15">
      <c r="C62" s="262"/>
      <c r="N62" s="273"/>
      <c r="O62" s="343"/>
    </row>
    <row r="63" spans="1:15" ht="14.5">
      <c r="C63" s="262"/>
      <c r="E63" s="112">
        <v>2013</v>
      </c>
      <c r="F63" s="112">
        <v>2014</v>
      </c>
      <c r="G63" s="112">
        <v>2015</v>
      </c>
      <c r="H63" s="112">
        <v>2016</v>
      </c>
      <c r="I63" s="112">
        <v>2017</v>
      </c>
      <c r="J63" s="112">
        <v>2018</v>
      </c>
      <c r="K63" s="112">
        <v>2019</v>
      </c>
      <c r="L63" s="112">
        <v>2020</v>
      </c>
      <c r="M63" s="112">
        <v>2021</v>
      </c>
      <c r="N63" s="112">
        <v>2022</v>
      </c>
      <c r="O63" s="343"/>
    </row>
    <row r="64" spans="1:15">
      <c r="A64" s="121" t="s">
        <v>254</v>
      </c>
      <c r="B64" s="131" t="s">
        <v>141</v>
      </c>
      <c r="C64" s="262"/>
      <c r="F64" s="133">
        <f t="shared" ref="F64:M64" si="37">Dep</f>
        <v>0</v>
      </c>
      <c r="G64" s="133">
        <f t="shared" si="37"/>
        <v>0</v>
      </c>
      <c r="H64" s="133">
        <f t="shared" si="37"/>
        <v>0</v>
      </c>
      <c r="I64" s="133">
        <f t="shared" si="37"/>
        <v>0</v>
      </c>
      <c r="J64" s="133">
        <f t="shared" si="37"/>
        <v>27.538</v>
      </c>
      <c r="K64" s="133">
        <f t="shared" si="37"/>
        <v>27.538</v>
      </c>
      <c r="L64" s="133">
        <f t="shared" si="37"/>
        <v>27.538</v>
      </c>
      <c r="M64" s="133">
        <f t="shared" si="37"/>
        <v>27.538</v>
      </c>
      <c r="N64" s="133">
        <f>'R4 Licence Condition Values'!N75</f>
        <v>27.538</v>
      </c>
      <c r="O64" s="343" t="s">
        <v>141</v>
      </c>
    </row>
    <row r="65" spans="1:17">
      <c r="A65" s="131" t="s">
        <v>155</v>
      </c>
      <c r="B65" s="131" t="s">
        <v>156</v>
      </c>
      <c r="C65" s="262" t="s">
        <v>118</v>
      </c>
      <c r="F65" s="133">
        <f t="shared" ref="F65:M65" si="38">F54</f>
        <v>1</v>
      </c>
      <c r="G65" s="133">
        <f t="shared" si="38"/>
        <v>1</v>
      </c>
      <c r="H65" s="133">
        <f t="shared" si="38"/>
        <v>1</v>
      </c>
      <c r="I65" s="133">
        <f t="shared" si="38"/>
        <v>1</v>
      </c>
      <c r="J65" s="133">
        <f t="shared" si="38"/>
        <v>1</v>
      </c>
      <c r="K65" s="133">
        <f t="shared" si="38"/>
        <v>1</v>
      </c>
      <c r="L65" s="133">
        <f t="shared" si="38"/>
        <v>1</v>
      </c>
      <c r="M65" s="133">
        <f t="shared" si="38"/>
        <v>1</v>
      </c>
      <c r="N65" s="133">
        <f t="shared" ref="N65" si="39">N54</f>
        <v>1</v>
      </c>
      <c r="O65" s="343"/>
    </row>
    <row r="66" spans="1:17">
      <c r="A66" s="131" t="s">
        <v>157</v>
      </c>
      <c r="B66" s="131" t="s">
        <v>117</v>
      </c>
      <c r="C66" s="262" t="s">
        <v>118</v>
      </c>
      <c r="F66" s="164">
        <f t="shared" ref="F66:M66" si="40">RPIF</f>
        <v>1.1630161697108456</v>
      </c>
      <c r="G66" s="164">
        <f t="shared" si="40"/>
        <v>1.2050819527256253</v>
      </c>
      <c r="H66" s="164">
        <f t="shared" si="40"/>
        <v>1.2266493019576674</v>
      </c>
      <c r="I66" s="164">
        <f t="shared" si="40"/>
        <v>1.2327329838381795</v>
      </c>
      <c r="J66" s="164">
        <f t="shared" si="40"/>
        <v>1.2709189417960116</v>
      </c>
      <c r="K66" s="164">
        <f t="shared" si="40"/>
        <v>1.3140238772935624</v>
      </c>
      <c r="L66" s="164">
        <f t="shared" si="40"/>
        <v>1.3585865587485577</v>
      </c>
      <c r="M66" s="164">
        <f t="shared" si="40"/>
        <v>1.3798357939884227</v>
      </c>
      <c r="N66" s="164">
        <f>N56</f>
        <v>1.4027951630045372</v>
      </c>
      <c r="O66" s="343" t="s">
        <v>117</v>
      </c>
    </row>
    <row r="67" spans="1:17">
      <c r="A67" s="131" t="s">
        <v>190</v>
      </c>
      <c r="C67" s="262"/>
      <c r="F67" s="62">
        <f t="shared" ref="F67:M67" si="41">F64*F65*F66</f>
        <v>0</v>
      </c>
      <c r="G67" s="62">
        <f t="shared" si="41"/>
        <v>0</v>
      </c>
      <c r="H67" s="62">
        <f t="shared" si="41"/>
        <v>0</v>
      </c>
      <c r="I67" s="62">
        <f t="shared" si="41"/>
        <v>0</v>
      </c>
      <c r="J67" s="62">
        <f t="shared" si="41"/>
        <v>34.998565819178566</v>
      </c>
      <c r="K67" s="62">
        <f t="shared" si="41"/>
        <v>36.185589532910122</v>
      </c>
      <c r="L67" s="62">
        <f t="shared" si="41"/>
        <v>37.412756654817784</v>
      </c>
      <c r="M67" s="62">
        <f t="shared" si="41"/>
        <v>37.997918094853183</v>
      </c>
      <c r="N67" s="62">
        <f t="shared" ref="N67" si="42">N64*N65*N66</f>
        <v>38.630173198818945</v>
      </c>
      <c r="O67" s="343"/>
    </row>
    <row r="68" spans="1:17">
      <c r="C68" s="262"/>
      <c r="N68" s="273"/>
      <c r="O68" s="343"/>
    </row>
    <row r="69" spans="1:17">
      <c r="B69" s="131" t="s">
        <v>148</v>
      </c>
      <c r="C69" s="262" t="s">
        <v>1</v>
      </c>
      <c r="F69" s="62">
        <f t="shared" ref="F69:M69" si="43">F58+F67</f>
        <v>0</v>
      </c>
      <c r="G69" s="62">
        <f t="shared" si="43"/>
        <v>0</v>
      </c>
      <c r="H69" s="62">
        <f t="shared" si="43"/>
        <v>0</v>
      </c>
      <c r="I69" s="62">
        <f t="shared" si="43"/>
        <v>0</v>
      </c>
      <c r="J69" s="62">
        <f t="shared" si="43"/>
        <v>84.256191454810178</v>
      </c>
      <c r="K69" s="62">
        <f t="shared" si="43"/>
        <v>83.929406675831544</v>
      </c>
      <c r="L69" s="62">
        <f t="shared" si="43"/>
        <v>83.48339417561121</v>
      </c>
      <c r="M69" s="62">
        <f t="shared" si="43"/>
        <v>81.445315519738841</v>
      </c>
      <c r="N69" s="62">
        <f t="shared" ref="N69" si="44">N58+N67</f>
        <v>82.800500724962788</v>
      </c>
      <c r="O69" s="343"/>
    </row>
    <row r="70" spans="1:17">
      <c r="C70" s="262"/>
      <c r="N70" s="273"/>
      <c r="O70" s="343"/>
    </row>
    <row r="71" spans="1:17">
      <c r="C71" s="262"/>
      <c r="N71" s="273"/>
      <c r="O71" s="343"/>
    </row>
    <row r="72" spans="1:17">
      <c r="A72" s="131" t="s">
        <v>258</v>
      </c>
      <c r="B72" s="131" t="s">
        <v>146</v>
      </c>
      <c r="C72" s="262" t="s">
        <v>1</v>
      </c>
      <c r="F72" s="133">
        <f t="shared" ref="F72:M72" si="45">TIRGIncAdj1</f>
        <v>0</v>
      </c>
      <c r="G72" s="133">
        <f t="shared" si="45"/>
        <v>0</v>
      </c>
      <c r="H72" s="133">
        <f t="shared" si="45"/>
        <v>0</v>
      </c>
      <c r="I72" s="133">
        <f t="shared" si="45"/>
        <v>0</v>
      </c>
      <c r="J72" s="133">
        <f t="shared" si="45"/>
        <v>0</v>
      </c>
      <c r="K72" s="133">
        <f t="shared" si="45"/>
        <v>0</v>
      </c>
      <c r="L72" s="133">
        <f t="shared" si="45"/>
        <v>0</v>
      </c>
      <c r="M72" s="133">
        <f t="shared" si="45"/>
        <v>0</v>
      </c>
      <c r="N72" s="133">
        <f>'R5 Input page'!M125</f>
        <v>0</v>
      </c>
      <c r="O72" s="343" t="s">
        <v>360</v>
      </c>
      <c r="Q72" s="118"/>
    </row>
    <row r="73" spans="1:17">
      <c r="A73" s="131" t="s">
        <v>247</v>
      </c>
      <c r="B73" s="131" t="s">
        <v>149</v>
      </c>
      <c r="C73" s="262" t="s">
        <v>1</v>
      </c>
      <c r="F73" s="133">
        <f t="shared" ref="F73:M73" si="46">ATIRG1</f>
        <v>0</v>
      </c>
      <c r="G73" s="133">
        <f t="shared" si="46"/>
        <v>0</v>
      </c>
      <c r="H73" s="133">
        <f t="shared" si="46"/>
        <v>0</v>
      </c>
      <c r="I73" s="133">
        <f t="shared" si="46"/>
        <v>0</v>
      </c>
      <c r="J73" s="133">
        <f t="shared" si="46"/>
        <v>0</v>
      </c>
      <c r="K73" s="133">
        <f t="shared" si="46"/>
        <v>0</v>
      </c>
      <c r="L73" s="133">
        <f t="shared" si="46"/>
        <v>0</v>
      </c>
      <c r="M73" s="133">
        <f t="shared" si="46"/>
        <v>0</v>
      </c>
      <c r="N73" s="133">
        <f>'R5 Input page'!M126</f>
        <v>0</v>
      </c>
      <c r="O73" s="343" t="s">
        <v>361</v>
      </c>
    </row>
    <row r="74" spans="1:17">
      <c r="C74" s="262"/>
      <c r="N74" s="273"/>
      <c r="O74" s="343"/>
    </row>
    <row r="75" spans="1:17">
      <c r="C75" s="262"/>
      <c r="N75" s="273"/>
      <c r="O75" s="343"/>
    </row>
    <row r="76" spans="1:17" ht="14">
      <c r="A76" s="142" t="s">
        <v>282</v>
      </c>
      <c r="B76" s="309" t="s">
        <v>367</v>
      </c>
      <c r="C76" s="262"/>
      <c r="N76" s="273"/>
      <c r="O76" s="343"/>
    </row>
    <row r="77" spans="1:17">
      <c r="A77" s="144" t="s">
        <v>481</v>
      </c>
      <c r="C77" s="262"/>
      <c r="N77" s="273"/>
      <c r="O77" s="343"/>
    </row>
    <row r="78" spans="1:17" ht="21.75" customHeight="1">
      <c r="A78" s="142" t="s">
        <v>283</v>
      </c>
      <c r="C78" s="262"/>
      <c r="K78" s="118"/>
      <c r="N78" s="273"/>
      <c r="O78" s="343"/>
    </row>
    <row r="79" spans="1:17" ht="15.5">
      <c r="A79" s="308" t="s">
        <v>367</v>
      </c>
      <c r="C79" s="262"/>
      <c r="E79" s="112">
        <v>2013</v>
      </c>
      <c r="F79" s="112">
        <v>2014</v>
      </c>
      <c r="G79" s="112">
        <v>2015</v>
      </c>
      <c r="H79" s="112">
        <v>2016</v>
      </c>
      <c r="I79" s="112">
        <v>2017</v>
      </c>
      <c r="J79" s="112">
        <v>2018</v>
      </c>
      <c r="K79" s="112">
        <v>2019</v>
      </c>
      <c r="L79" s="112">
        <v>2020</v>
      </c>
      <c r="M79" s="112">
        <v>2021</v>
      </c>
      <c r="N79" s="112">
        <v>2022</v>
      </c>
      <c r="O79" s="343"/>
    </row>
    <row r="80" spans="1:17">
      <c r="A80" s="121" t="s">
        <v>383</v>
      </c>
      <c r="B80" s="131" t="s">
        <v>150</v>
      </c>
      <c r="C80" s="262"/>
      <c r="F80" s="133">
        <f t="shared" ref="F80:M80" si="47">CFTIRG2</f>
        <v>0</v>
      </c>
      <c r="G80" s="133">
        <f t="shared" si="47"/>
        <v>0</v>
      </c>
      <c r="H80" s="133">
        <f t="shared" si="47"/>
        <v>0</v>
      </c>
      <c r="I80" s="133">
        <f t="shared" si="47"/>
        <v>0</v>
      </c>
      <c r="J80" s="133">
        <f t="shared" si="47"/>
        <v>0</v>
      </c>
      <c r="K80" s="133">
        <f t="shared" si="47"/>
        <v>0</v>
      </c>
      <c r="L80" s="133">
        <f t="shared" si="47"/>
        <v>0</v>
      </c>
      <c r="M80" s="133">
        <f t="shared" si="47"/>
        <v>0</v>
      </c>
      <c r="N80" s="133">
        <f>'R4 Licence Condition Values'!N82</f>
        <v>0</v>
      </c>
      <c r="O80" s="343" t="s">
        <v>384</v>
      </c>
    </row>
    <row r="81" spans="1:16">
      <c r="A81" s="131" t="s">
        <v>157</v>
      </c>
      <c r="B81" s="131" t="s">
        <v>117</v>
      </c>
      <c r="C81" s="262" t="s">
        <v>118</v>
      </c>
      <c r="F81" s="317">
        <f t="shared" ref="F81:M81" si="48">RPIF</f>
        <v>1.1630161697108456</v>
      </c>
      <c r="G81" s="317">
        <f t="shared" si="48"/>
        <v>1.2050819527256253</v>
      </c>
      <c r="H81" s="317">
        <f t="shared" si="48"/>
        <v>1.2266493019576674</v>
      </c>
      <c r="I81" s="317">
        <f t="shared" si="48"/>
        <v>1.2327329838381795</v>
      </c>
      <c r="J81" s="317">
        <f t="shared" si="48"/>
        <v>1.2709189417960116</v>
      </c>
      <c r="K81" s="317">
        <f t="shared" si="48"/>
        <v>1.3140238772935624</v>
      </c>
      <c r="L81" s="317">
        <f t="shared" si="48"/>
        <v>1.3585865587485577</v>
      </c>
      <c r="M81" s="317">
        <f t="shared" si="48"/>
        <v>1.3798357939884227</v>
      </c>
      <c r="N81" s="317">
        <f>N66</f>
        <v>1.4027951630045372</v>
      </c>
      <c r="O81" s="343" t="s">
        <v>117</v>
      </c>
    </row>
    <row r="82" spans="1:16">
      <c r="C82" s="262"/>
      <c r="N82" s="273"/>
      <c r="O82" s="343"/>
    </row>
    <row r="83" spans="1:16" ht="14">
      <c r="A83" s="113" t="s">
        <v>165</v>
      </c>
      <c r="B83" s="131" t="s">
        <v>145</v>
      </c>
      <c r="C83" s="262" t="s">
        <v>1</v>
      </c>
      <c r="E83" s="207">
        <f t="shared" ref="E83:M83" si="49">E80*E81</f>
        <v>0</v>
      </c>
      <c r="F83" s="62">
        <f t="shared" si="49"/>
        <v>0</v>
      </c>
      <c r="G83" s="62">
        <f t="shared" si="49"/>
        <v>0</v>
      </c>
      <c r="H83" s="62">
        <f t="shared" si="49"/>
        <v>0</v>
      </c>
      <c r="I83" s="62">
        <f t="shared" si="49"/>
        <v>0</v>
      </c>
      <c r="J83" s="62">
        <f t="shared" si="49"/>
        <v>0</v>
      </c>
      <c r="K83" s="62">
        <f t="shared" si="49"/>
        <v>0</v>
      </c>
      <c r="L83" s="62">
        <f t="shared" si="49"/>
        <v>0</v>
      </c>
      <c r="M83" s="62">
        <f t="shared" si="49"/>
        <v>0</v>
      </c>
      <c r="N83" s="62">
        <f t="shared" ref="N83" si="50">N80*N81</f>
        <v>0</v>
      </c>
      <c r="O83" s="343"/>
    </row>
    <row r="84" spans="1:16" ht="14">
      <c r="A84" s="113"/>
      <c r="C84" s="262"/>
      <c r="N84" s="273"/>
      <c r="O84" s="343"/>
    </row>
    <row r="85" spans="1:16" ht="14">
      <c r="A85" s="113"/>
      <c r="C85" s="262"/>
      <c r="N85" s="273"/>
      <c r="O85" s="343"/>
    </row>
    <row r="86" spans="1:16" ht="14">
      <c r="A86" s="142" t="s">
        <v>284</v>
      </c>
      <c r="C86" s="262"/>
      <c r="N86" s="273"/>
      <c r="O86" s="343"/>
    </row>
    <row r="87" spans="1:16">
      <c r="A87" s="144" t="s">
        <v>482</v>
      </c>
      <c r="C87" s="262"/>
      <c r="N87" s="273"/>
      <c r="O87" s="343"/>
    </row>
    <row r="88" spans="1:16" ht="14.5">
      <c r="A88" s="113"/>
      <c r="C88" s="262"/>
      <c r="E88" s="112">
        <v>2013</v>
      </c>
      <c r="F88" s="112">
        <v>2014</v>
      </c>
      <c r="G88" s="112">
        <v>2015</v>
      </c>
      <c r="H88" s="112">
        <v>2016</v>
      </c>
      <c r="I88" s="112">
        <v>2017</v>
      </c>
      <c r="J88" s="112">
        <v>2018</v>
      </c>
      <c r="K88" s="112">
        <v>2019</v>
      </c>
      <c r="L88" s="112">
        <v>2020</v>
      </c>
      <c r="M88" s="112">
        <v>2021</v>
      </c>
      <c r="N88" s="112">
        <v>2022</v>
      </c>
      <c r="O88" s="343"/>
    </row>
    <row r="89" spans="1:16">
      <c r="A89" s="131" t="s">
        <v>241</v>
      </c>
      <c r="B89" s="131" t="s">
        <v>142</v>
      </c>
      <c r="C89" s="262" t="s">
        <v>105</v>
      </c>
      <c r="F89" s="153">
        <f t="shared" ref="F89:M89" si="51">CCTIRG</f>
        <v>8.7999999999999995E-2</v>
      </c>
      <c r="G89" s="153">
        <f t="shared" si="51"/>
        <v>8.7999999999999995E-2</v>
      </c>
      <c r="H89" s="153">
        <f t="shared" si="51"/>
        <v>8.7999999999999995E-2</v>
      </c>
      <c r="I89" s="153">
        <f t="shared" si="51"/>
        <v>8.7999999999999995E-2</v>
      </c>
      <c r="J89" s="153">
        <f t="shared" si="51"/>
        <v>8.7999999999999995E-2</v>
      </c>
      <c r="K89" s="153">
        <f t="shared" si="51"/>
        <v>8.7999999999999995E-2</v>
      </c>
      <c r="L89" s="153">
        <f t="shared" si="51"/>
        <v>8.7999999999999995E-2</v>
      </c>
      <c r="M89" s="153">
        <f t="shared" si="51"/>
        <v>8.7999999999999995E-2</v>
      </c>
      <c r="N89" s="153">
        <f>N49</f>
        <v>8.7999999999999995E-2</v>
      </c>
      <c r="O89" s="343" t="s">
        <v>142</v>
      </c>
    </row>
    <row r="90" spans="1:16">
      <c r="A90" s="121" t="s">
        <v>251</v>
      </c>
      <c r="B90" s="131" t="s">
        <v>138</v>
      </c>
      <c r="C90" s="262" t="s">
        <v>1</v>
      </c>
      <c r="F90" s="133">
        <f t="shared" ref="F90:M90" si="52">FTIRGC2</f>
        <v>0</v>
      </c>
      <c r="G90" s="133">
        <f t="shared" si="52"/>
        <v>0</v>
      </c>
      <c r="H90" s="133">
        <f t="shared" si="52"/>
        <v>0</v>
      </c>
      <c r="I90" s="133">
        <f t="shared" si="52"/>
        <v>0</v>
      </c>
      <c r="J90" s="133">
        <f t="shared" si="52"/>
        <v>0</v>
      </c>
      <c r="K90" s="133">
        <f t="shared" si="52"/>
        <v>0</v>
      </c>
      <c r="L90" s="133">
        <f t="shared" si="52"/>
        <v>0</v>
      </c>
      <c r="M90" s="133">
        <f t="shared" si="52"/>
        <v>0</v>
      </c>
      <c r="N90" s="133">
        <f>'R4 Licence Condition Values'!N83</f>
        <v>0</v>
      </c>
      <c r="O90" s="343" t="s">
        <v>369</v>
      </c>
      <c r="P90" s="118"/>
    </row>
    <row r="91" spans="1:16">
      <c r="A91" s="131" t="s">
        <v>242</v>
      </c>
      <c r="B91" s="131" t="s">
        <v>151</v>
      </c>
      <c r="C91" s="262" t="s">
        <v>1</v>
      </c>
      <c r="F91" s="133">
        <f t="shared" ref="F91:M91" si="53">AFFTIRG2</f>
        <v>0</v>
      </c>
      <c r="G91" s="133">
        <f t="shared" si="53"/>
        <v>0</v>
      </c>
      <c r="H91" s="133">
        <f t="shared" si="53"/>
        <v>0</v>
      </c>
      <c r="I91" s="133">
        <f t="shared" si="53"/>
        <v>0</v>
      </c>
      <c r="J91" s="133">
        <f t="shared" si="53"/>
        <v>0</v>
      </c>
      <c r="K91" s="133">
        <f t="shared" si="53"/>
        <v>0</v>
      </c>
      <c r="L91" s="133">
        <f t="shared" si="53"/>
        <v>0</v>
      </c>
      <c r="M91" s="133">
        <f t="shared" si="53"/>
        <v>0</v>
      </c>
      <c r="N91" s="133">
        <f>'R5 Input page'!M131</f>
        <v>0</v>
      </c>
      <c r="O91" s="343" t="s">
        <v>362</v>
      </c>
    </row>
    <row r="92" spans="1:16">
      <c r="A92" s="131" t="s">
        <v>157</v>
      </c>
      <c r="B92" s="131" t="s">
        <v>117</v>
      </c>
      <c r="C92" s="262" t="s">
        <v>118</v>
      </c>
      <c r="F92" s="317">
        <f t="shared" ref="F92:M92" si="54">RPIF</f>
        <v>1.1630161697108456</v>
      </c>
      <c r="G92" s="317">
        <f t="shared" si="54"/>
        <v>1.2050819527256253</v>
      </c>
      <c r="H92" s="317">
        <f t="shared" si="54"/>
        <v>1.2266493019576674</v>
      </c>
      <c r="I92" s="317">
        <f t="shared" si="54"/>
        <v>1.2327329838381795</v>
      </c>
      <c r="J92" s="317">
        <f t="shared" si="54"/>
        <v>1.2709189417960116</v>
      </c>
      <c r="K92" s="317">
        <f t="shared" si="54"/>
        <v>1.3140238772935624</v>
      </c>
      <c r="L92" s="317">
        <f t="shared" si="54"/>
        <v>1.3585865587485577</v>
      </c>
      <c r="M92" s="317">
        <f t="shared" si="54"/>
        <v>1.3798357939884227</v>
      </c>
      <c r="N92" s="317">
        <f>N81</f>
        <v>1.4027951630045372</v>
      </c>
      <c r="O92" s="343" t="s">
        <v>117</v>
      </c>
    </row>
    <row r="93" spans="1:16">
      <c r="B93" s="131" t="s">
        <v>163</v>
      </c>
      <c r="C93" s="262"/>
      <c r="F93" s="62">
        <f t="shared" ref="F93:M93" si="55">(F90+F91)*F89*F92</f>
        <v>0</v>
      </c>
      <c r="G93" s="62">
        <f t="shared" si="55"/>
        <v>0</v>
      </c>
      <c r="H93" s="62">
        <f t="shared" si="55"/>
        <v>0</v>
      </c>
      <c r="I93" s="62">
        <f t="shared" si="55"/>
        <v>0</v>
      </c>
      <c r="J93" s="62">
        <f t="shared" si="55"/>
        <v>0</v>
      </c>
      <c r="K93" s="62">
        <f t="shared" si="55"/>
        <v>0</v>
      </c>
      <c r="L93" s="62">
        <f t="shared" si="55"/>
        <v>0</v>
      </c>
      <c r="M93" s="62">
        <f t="shared" si="55"/>
        <v>0</v>
      </c>
      <c r="N93" s="62">
        <f t="shared" ref="N93" si="56">(N90+N91)*N89*N92</f>
        <v>0</v>
      </c>
      <c r="O93" s="343"/>
    </row>
    <row r="94" spans="1:16" ht="14">
      <c r="B94" s="113"/>
      <c r="C94" s="262"/>
      <c r="N94" s="273"/>
      <c r="O94" s="343"/>
    </row>
    <row r="95" spans="1:16">
      <c r="A95" s="121" t="s">
        <v>252</v>
      </c>
      <c r="B95" s="131" t="s">
        <v>152</v>
      </c>
      <c r="C95" s="262" t="s">
        <v>1</v>
      </c>
      <c r="F95" s="133">
        <f t="shared" ref="F95:M95" si="57">FTIRGCDEPN2</f>
        <v>0</v>
      </c>
      <c r="G95" s="133">
        <f t="shared" si="57"/>
        <v>0</v>
      </c>
      <c r="H95" s="133">
        <f t="shared" si="57"/>
        <v>0</v>
      </c>
      <c r="I95" s="133">
        <f t="shared" si="57"/>
        <v>0</v>
      </c>
      <c r="J95" s="133">
        <f t="shared" si="57"/>
        <v>0</v>
      </c>
      <c r="K95" s="133">
        <f t="shared" si="57"/>
        <v>0</v>
      </c>
      <c r="L95" s="133">
        <f t="shared" si="57"/>
        <v>0</v>
      </c>
      <c r="M95" s="133">
        <f t="shared" si="57"/>
        <v>0</v>
      </c>
      <c r="N95" s="133">
        <f>'R4 Licence Condition Values'!N83</f>
        <v>0</v>
      </c>
      <c r="O95" s="343" t="s">
        <v>370</v>
      </c>
    </row>
    <row r="96" spans="1:16">
      <c r="A96" s="131" t="s">
        <v>245</v>
      </c>
      <c r="B96" s="131" t="s">
        <v>153</v>
      </c>
      <c r="C96" s="262" t="s">
        <v>1</v>
      </c>
      <c r="F96" s="133">
        <f t="shared" ref="F96:M96" si="58">AFFTIRGDepn2</f>
        <v>0</v>
      </c>
      <c r="G96" s="133">
        <f t="shared" si="58"/>
        <v>0</v>
      </c>
      <c r="H96" s="133">
        <f t="shared" si="58"/>
        <v>0</v>
      </c>
      <c r="I96" s="133">
        <f t="shared" si="58"/>
        <v>0</v>
      </c>
      <c r="J96" s="133">
        <f t="shared" si="58"/>
        <v>0</v>
      </c>
      <c r="K96" s="133">
        <f t="shared" si="58"/>
        <v>0</v>
      </c>
      <c r="L96" s="133">
        <f t="shared" si="58"/>
        <v>0</v>
      </c>
      <c r="M96" s="133">
        <f t="shared" si="58"/>
        <v>0</v>
      </c>
      <c r="N96" s="133">
        <f>'R5 Input page'!M132</f>
        <v>0</v>
      </c>
      <c r="O96" s="343" t="s">
        <v>363</v>
      </c>
      <c r="P96" s="118"/>
    </row>
    <row r="97" spans="1:16">
      <c r="A97" s="131" t="s">
        <v>157</v>
      </c>
      <c r="B97" s="131" t="s">
        <v>117</v>
      </c>
      <c r="C97" s="262" t="s">
        <v>118</v>
      </c>
      <c r="F97" s="164">
        <f t="shared" ref="F97:M97" si="59">RPIF</f>
        <v>1.1630161697108456</v>
      </c>
      <c r="G97" s="164">
        <f t="shared" si="59"/>
        <v>1.2050819527256253</v>
      </c>
      <c r="H97" s="164">
        <f t="shared" si="59"/>
        <v>1.2266493019576674</v>
      </c>
      <c r="I97" s="164">
        <f t="shared" si="59"/>
        <v>1.2327329838381795</v>
      </c>
      <c r="J97" s="164">
        <f t="shared" si="59"/>
        <v>1.2709189417960116</v>
      </c>
      <c r="K97" s="164">
        <f t="shared" si="59"/>
        <v>1.3140238772935624</v>
      </c>
      <c r="L97" s="164">
        <f t="shared" si="59"/>
        <v>1.3585865587485577</v>
      </c>
      <c r="M97" s="164">
        <f t="shared" si="59"/>
        <v>1.3798357939884227</v>
      </c>
      <c r="N97" s="164">
        <f>N92</f>
        <v>1.4027951630045372</v>
      </c>
      <c r="O97" s="343" t="s">
        <v>117</v>
      </c>
    </row>
    <row r="98" spans="1:16">
      <c r="B98" s="131" t="s">
        <v>164</v>
      </c>
      <c r="C98" s="262"/>
      <c r="F98" s="62">
        <f t="shared" ref="F98:M98" si="60">(F95+F96)*F97</f>
        <v>0</v>
      </c>
      <c r="G98" s="62">
        <f t="shared" si="60"/>
        <v>0</v>
      </c>
      <c r="H98" s="62">
        <f t="shared" si="60"/>
        <v>0</v>
      </c>
      <c r="I98" s="62">
        <f t="shared" si="60"/>
        <v>0</v>
      </c>
      <c r="J98" s="62">
        <f t="shared" si="60"/>
        <v>0</v>
      </c>
      <c r="K98" s="62">
        <f t="shared" si="60"/>
        <v>0</v>
      </c>
      <c r="L98" s="62">
        <f t="shared" si="60"/>
        <v>0</v>
      </c>
      <c r="M98" s="62">
        <f t="shared" si="60"/>
        <v>0</v>
      </c>
      <c r="N98" s="62">
        <f t="shared" ref="N98" si="61">(N95+N96)*N97</f>
        <v>0</v>
      </c>
      <c r="O98" s="343"/>
    </row>
    <row r="99" spans="1:16">
      <c r="C99" s="262"/>
      <c r="N99" s="273"/>
      <c r="O99" s="343"/>
    </row>
    <row r="100" spans="1:16">
      <c r="B100" s="131" t="s">
        <v>147</v>
      </c>
      <c r="C100" s="262" t="s">
        <v>1</v>
      </c>
      <c r="F100" s="62">
        <f t="shared" ref="F100:M100" si="62">F93+F98</f>
        <v>0</v>
      </c>
      <c r="G100" s="62">
        <f t="shared" si="62"/>
        <v>0</v>
      </c>
      <c r="H100" s="62">
        <f t="shared" si="62"/>
        <v>0</v>
      </c>
      <c r="I100" s="62">
        <f t="shared" si="62"/>
        <v>0</v>
      </c>
      <c r="J100" s="62">
        <f t="shared" si="62"/>
        <v>0</v>
      </c>
      <c r="K100" s="62">
        <f t="shared" si="62"/>
        <v>0</v>
      </c>
      <c r="L100" s="62">
        <f t="shared" si="62"/>
        <v>0</v>
      </c>
      <c r="M100" s="62">
        <f t="shared" si="62"/>
        <v>0</v>
      </c>
      <c r="N100" s="62">
        <f t="shared" ref="N100" si="63">N93+N98</f>
        <v>0</v>
      </c>
      <c r="O100" s="343"/>
    </row>
    <row r="101" spans="1:16" ht="14">
      <c r="A101" s="113"/>
      <c r="C101" s="262"/>
      <c r="N101" s="273"/>
      <c r="O101" s="343"/>
    </row>
    <row r="102" spans="1:16" ht="14">
      <c r="A102" s="113"/>
      <c r="C102" s="262"/>
      <c r="N102" s="273"/>
      <c r="O102" s="343"/>
    </row>
    <row r="103" spans="1:16" ht="14">
      <c r="A103" s="142" t="s">
        <v>285</v>
      </c>
      <c r="B103" s="309" t="s">
        <v>367</v>
      </c>
      <c r="C103" s="262"/>
      <c r="N103" s="273"/>
      <c r="O103" s="343"/>
    </row>
    <row r="104" spans="1:16">
      <c r="A104" s="144" t="s">
        <v>483</v>
      </c>
      <c r="C104" s="262"/>
      <c r="N104" s="273"/>
      <c r="O104" s="343"/>
    </row>
    <row r="105" spans="1:16" ht="14">
      <c r="A105" s="113"/>
      <c r="C105" s="262"/>
      <c r="N105" s="273"/>
      <c r="O105" s="343"/>
    </row>
    <row r="106" spans="1:16" ht="14.5">
      <c r="A106" s="113"/>
      <c r="C106" s="262"/>
      <c r="E106" s="112">
        <v>2013</v>
      </c>
      <c r="F106" s="112">
        <v>2014</v>
      </c>
      <c r="G106" s="112">
        <v>2015</v>
      </c>
      <c r="H106" s="112">
        <v>2016</v>
      </c>
      <c r="I106" s="112">
        <v>2017</v>
      </c>
      <c r="J106" s="112">
        <v>2018</v>
      </c>
      <c r="K106" s="112">
        <v>2019</v>
      </c>
      <c r="L106" s="112">
        <v>2020</v>
      </c>
      <c r="M106" s="112">
        <v>2021</v>
      </c>
      <c r="N106" s="112">
        <v>2022</v>
      </c>
      <c r="O106" s="343"/>
    </row>
    <row r="107" spans="1:16">
      <c r="A107" s="131" t="s">
        <v>241</v>
      </c>
      <c r="B107" s="131" t="s">
        <v>142</v>
      </c>
      <c r="C107" s="262" t="s">
        <v>105</v>
      </c>
      <c r="F107" s="153">
        <f>'R4 Licence Condition Values'!F89</f>
        <v>8.7999999999999995E-2</v>
      </c>
      <c r="G107" s="153">
        <f>'R4 Licence Condition Values'!G89</f>
        <v>8.7999999999999995E-2</v>
      </c>
      <c r="H107" s="153">
        <f>'R4 Licence Condition Values'!H89</f>
        <v>8.7999999999999995E-2</v>
      </c>
      <c r="I107" s="153">
        <f>'R4 Licence Condition Values'!I89</f>
        <v>8.7999999999999995E-2</v>
      </c>
      <c r="J107" s="153">
        <f>'R4 Licence Condition Values'!J89</f>
        <v>8.7999999999999995E-2</v>
      </c>
      <c r="K107" s="153">
        <f>'R4 Licence Condition Values'!K89</f>
        <v>8.7999999999999995E-2</v>
      </c>
      <c r="L107" s="153">
        <f>'R4 Licence Condition Values'!L89</f>
        <v>8.7999999999999995E-2</v>
      </c>
      <c r="M107" s="153">
        <f>'R4 Licence Condition Values'!M89</f>
        <v>8.7999999999999995E-2</v>
      </c>
      <c r="N107" s="153">
        <f>'R4 Licence Condition Values'!N89</f>
        <v>8.7999999999999995E-2</v>
      </c>
      <c r="O107" s="343"/>
    </row>
    <row r="108" spans="1:16">
      <c r="A108" s="121" t="s">
        <v>255</v>
      </c>
      <c r="B108" s="131" t="s">
        <v>144</v>
      </c>
      <c r="C108" s="262" t="s">
        <v>1</v>
      </c>
      <c r="F108" s="133">
        <f t="shared" ref="F108:M108" si="64">ETIRG2</f>
        <v>6.48</v>
      </c>
      <c r="G108" s="133">
        <f t="shared" si="64"/>
        <v>13</v>
      </c>
      <c r="H108" s="133">
        <f t="shared" si="64"/>
        <v>12.257999999999999</v>
      </c>
      <c r="I108" s="133">
        <f t="shared" si="64"/>
        <v>0</v>
      </c>
      <c r="J108" s="133">
        <f t="shared" si="64"/>
        <v>0</v>
      </c>
      <c r="K108" s="133">
        <f t="shared" si="64"/>
        <v>0</v>
      </c>
      <c r="L108" s="133">
        <f t="shared" si="64"/>
        <v>0</v>
      </c>
      <c r="M108" s="133">
        <f t="shared" si="64"/>
        <v>0</v>
      </c>
      <c r="N108" s="133">
        <f>'R4 Licence Condition Values'!N87</f>
        <v>0</v>
      </c>
      <c r="O108" s="343" t="s">
        <v>586</v>
      </c>
    </row>
    <row r="109" spans="1:16">
      <c r="C109" s="262"/>
      <c r="N109" s="273"/>
      <c r="O109" s="343"/>
      <c r="P109" s="118"/>
    </row>
    <row r="110" spans="1:16">
      <c r="A110" s="131" t="s">
        <v>248</v>
      </c>
      <c r="B110" s="131" t="s">
        <v>154</v>
      </c>
      <c r="C110" s="262" t="s">
        <v>1</v>
      </c>
      <c r="F110" s="133">
        <f t="shared" ref="F110:M110" si="65">SAFTIRG2</f>
        <v>0</v>
      </c>
      <c r="G110" s="133">
        <f t="shared" si="65"/>
        <v>0</v>
      </c>
      <c r="H110" s="133">
        <f t="shared" si="65"/>
        <v>0</v>
      </c>
      <c r="I110" s="133">
        <f t="shared" si="65"/>
        <v>0</v>
      </c>
      <c r="J110" s="133">
        <f t="shared" si="65"/>
        <v>0</v>
      </c>
      <c r="K110" s="133">
        <f t="shared" si="65"/>
        <v>0</v>
      </c>
      <c r="L110" s="133">
        <f t="shared" si="65"/>
        <v>0</v>
      </c>
      <c r="M110" s="133">
        <f t="shared" si="65"/>
        <v>0</v>
      </c>
      <c r="N110" s="133">
        <f>'R5 Input page'!M133</f>
        <v>0</v>
      </c>
      <c r="O110" s="343" t="s">
        <v>277</v>
      </c>
    </row>
    <row r="111" spans="1:16">
      <c r="A111" s="121" t="s">
        <v>253</v>
      </c>
      <c r="B111" s="131" t="s">
        <v>140</v>
      </c>
      <c r="C111" s="262" t="s">
        <v>1</v>
      </c>
      <c r="F111" s="133">
        <f t="shared" ref="F111:M111" si="66">ETIRGORAV2</f>
        <v>0</v>
      </c>
      <c r="G111" s="133">
        <f t="shared" si="66"/>
        <v>0</v>
      </c>
      <c r="H111" s="133">
        <f t="shared" si="66"/>
        <v>0</v>
      </c>
      <c r="I111" s="133">
        <f t="shared" si="66"/>
        <v>0</v>
      </c>
      <c r="J111" s="133">
        <f t="shared" si="66"/>
        <v>0</v>
      </c>
      <c r="K111" s="133">
        <f t="shared" si="66"/>
        <v>0</v>
      </c>
      <c r="L111" s="133">
        <f t="shared" si="66"/>
        <v>0</v>
      </c>
      <c r="M111" s="133">
        <f t="shared" si="66"/>
        <v>0</v>
      </c>
      <c r="N111" s="133">
        <f>'R4 Licence Condition Values'!N85</f>
        <v>0</v>
      </c>
      <c r="O111" s="343" t="s">
        <v>587</v>
      </c>
    </row>
    <row r="112" spans="1:16">
      <c r="A112" s="131" t="s">
        <v>155</v>
      </c>
      <c r="B112" s="131" t="s">
        <v>156</v>
      </c>
      <c r="C112" s="262" t="s">
        <v>118</v>
      </c>
      <c r="F112" s="62">
        <f>IF(F110&gt;0,F110/F111,1)</f>
        <v>1</v>
      </c>
      <c r="G112" s="62">
        <f t="shared" ref="G112:M112" si="67">IF(G110&gt;0,G110/G111,1)</f>
        <v>1</v>
      </c>
      <c r="H112" s="62">
        <f t="shared" si="67"/>
        <v>1</v>
      </c>
      <c r="I112" s="62">
        <f t="shared" si="67"/>
        <v>1</v>
      </c>
      <c r="J112" s="62">
        <f t="shared" si="67"/>
        <v>1</v>
      </c>
      <c r="K112" s="62">
        <f t="shared" si="67"/>
        <v>1</v>
      </c>
      <c r="L112" s="62">
        <f t="shared" si="67"/>
        <v>1</v>
      </c>
      <c r="M112" s="62">
        <f t="shared" si="67"/>
        <v>1</v>
      </c>
      <c r="N112" s="62">
        <f t="shared" ref="N112" si="68">IF(N110&gt;0,N110/N111,1)</f>
        <v>1</v>
      </c>
      <c r="O112" s="343"/>
    </row>
    <row r="113" spans="1:16">
      <c r="C113" s="262"/>
      <c r="N113" s="273"/>
      <c r="O113" s="343"/>
    </row>
    <row r="114" spans="1:16">
      <c r="A114" s="131" t="s">
        <v>157</v>
      </c>
      <c r="B114" s="131" t="s">
        <v>117</v>
      </c>
      <c r="C114" s="262" t="s">
        <v>118</v>
      </c>
      <c r="F114" s="164">
        <f t="shared" ref="F114:M114" si="69">RPIF</f>
        <v>1.1630161697108456</v>
      </c>
      <c r="G114" s="164">
        <f t="shared" si="69"/>
        <v>1.2050819527256253</v>
      </c>
      <c r="H114" s="164">
        <f t="shared" si="69"/>
        <v>1.2266493019576674</v>
      </c>
      <c r="I114" s="164">
        <f t="shared" si="69"/>
        <v>1.2327329838381795</v>
      </c>
      <c r="J114" s="164">
        <f t="shared" si="69"/>
        <v>1.2709189417960116</v>
      </c>
      <c r="K114" s="164">
        <f t="shared" si="69"/>
        <v>1.3140238772935624</v>
      </c>
      <c r="L114" s="164">
        <f t="shared" si="69"/>
        <v>1.3585865587485577</v>
      </c>
      <c r="M114" s="164">
        <f t="shared" si="69"/>
        <v>1.3798357939884227</v>
      </c>
      <c r="N114" s="164">
        <f>N97</f>
        <v>1.4027951630045372</v>
      </c>
      <c r="O114" s="343" t="s">
        <v>117</v>
      </c>
      <c r="P114" s="118"/>
    </row>
    <row r="115" spans="1:16">
      <c r="C115" s="262"/>
      <c r="N115" s="273"/>
      <c r="O115" s="343"/>
    </row>
    <row r="116" spans="1:16">
      <c r="A116" s="131" t="s">
        <v>243</v>
      </c>
      <c r="B116" s="309" t="s">
        <v>367</v>
      </c>
      <c r="C116" s="262"/>
      <c r="F116" s="62">
        <f>F107*(F112*F108)*F114</f>
        <v>0.66319834061591254</v>
      </c>
      <c r="G116" s="62">
        <f t="shared" ref="G116:M116" si="70">G107*(G112*G108)*G114</f>
        <v>1.3786137539181154</v>
      </c>
      <c r="H116" s="62">
        <f t="shared" si="70"/>
        <v>1.3231915086189436</v>
      </c>
      <c r="I116" s="62">
        <f t="shared" si="70"/>
        <v>0</v>
      </c>
      <c r="J116" s="62">
        <f t="shared" si="70"/>
        <v>0</v>
      </c>
      <c r="K116" s="62">
        <f t="shared" si="70"/>
        <v>0</v>
      </c>
      <c r="L116" s="62">
        <f>L107*(L112*L108)*L114</f>
        <v>0</v>
      </c>
      <c r="M116" s="62">
        <f t="shared" si="70"/>
        <v>0</v>
      </c>
      <c r="N116" s="62">
        <f t="shared" ref="N116" si="71">N107*(N112*N108)*N114</f>
        <v>0</v>
      </c>
      <c r="O116" s="343"/>
    </row>
    <row r="117" spans="1:16">
      <c r="C117" s="262"/>
      <c r="N117" s="273"/>
      <c r="O117" s="343"/>
    </row>
    <row r="118" spans="1:16">
      <c r="A118" s="144" t="s">
        <v>483</v>
      </c>
      <c r="C118" s="262"/>
      <c r="N118" s="273"/>
      <c r="O118" s="343"/>
    </row>
    <row r="119" spans="1:16">
      <c r="C119" s="262"/>
      <c r="I119" s="118"/>
      <c r="N119" s="273"/>
      <c r="O119" s="343"/>
    </row>
    <row r="120" spans="1:16">
      <c r="C120" s="262"/>
      <c r="N120" s="273"/>
      <c r="O120" s="343"/>
    </row>
    <row r="121" spans="1:16" ht="14.5">
      <c r="C121" s="262"/>
      <c r="E121" s="112">
        <v>2013</v>
      </c>
      <c r="F121" s="112">
        <v>2014</v>
      </c>
      <c r="G121" s="112">
        <v>2015</v>
      </c>
      <c r="H121" s="112">
        <v>2016</v>
      </c>
      <c r="I121" s="112">
        <v>2017</v>
      </c>
      <c r="J121" s="112">
        <v>2018</v>
      </c>
      <c r="K121" s="112">
        <v>2019</v>
      </c>
      <c r="L121" s="112">
        <v>2020</v>
      </c>
      <c r="M121" s="112">
        <v>2021</v>
      </c>
      <c r="N121" s="112">
        <v>2022</v>
      </c>
      <c r="O121" s="343"/>
    </row>
    <row r="122" spans="1:16">
      <c r="A122" s="121" t="s">
        <v>254</v>
      </c>
      <c r="B122" s="131" t="s">
        <v>141</v>
      </c>
      <c r="C122" s="262"/>
      <c r="F122" s="133">
        <f t="shared" ref="F122:M122" si="72">depn2</f>
        <v>0.39300000000000002</v>
      </c>
      <c r="G122" s="133">
        <f t="shared" si="72"/>
        <v>0.74299999999999999</v>
      </c>
      <c r="H122" s="133">
        <f t="shared" si="72"/>
        <v>0.74299999999999999</v>
      </c>
      <c r="I122" s="133">
        <f t="shared" si="72"/>
        <v>0</v>
      </c>
      <c r="J122" s="133">
        <f t="shared" si="72"/>
        <v>0</v>
      </c>
      <c r="K122" s="133">
        <f t="shared" si="72"/>
        <v>0</v>
      </c>
      <c r="L122" s="133">
        <f t="shared" si="72"/>
        <v>0</v>
      </c>
      <c r="M122" s="133">
        <f t="shared" si="72"/>
        <v>0</v>
      </c>
      <c r="N122" s="133">
        <f>'R4 Licence Condition Values'!N86</f>
        <v>0</v>
      </c>
      <c r="O122" s="343" t="s">
        <v>386</v>
      </c>
    </row>
    <row r="123" spans="1:16">
      <c r="A123" s="131" t="s">
        <v>155</v>
      </c>
      <c r="B123" s="131" t="s">
        <v>156</v>
      </c>
      <c r="C123" s="262" t="s">
        <v>1</v>
      </c>
      <c r="F123" s="133">
        <f t="shared" ref="F123:M123" si="73">F112</f>
        <v>1</v>
      </c>
      <c r="G123" s="133">
        <f t="shared" si="73"/>
        <v>1</v>
      </c>
      <c r="H123" s="133">
        <f t="shared" si="73"/>
        <v>1</v>
      </c>
      <c r="I123" s="133">
        <f t="shared" si="73"/>
        <v>1</v>
      </c>
      <c r="J123" s="133">
        <f t="shared" si="73"/>
        <v>1</v>
      </c>
      <c r="K123" s="133">
        <f t="shared" si="73"/>
        <v>1</v>
      </c>
      <c r="L123" s="133">
        <f t="shared" si="73"/>
        <v>1</v>
      </c>
      <c r="M123" s="133">
        <f t="shared" si="73"/>
        <v>1</v>
      </c>
      <c r="N123" s="133">
        <f t="shared" ref="N123" si="74">N112</f>
        <v>1</v>
      </c>
      <c r="O123" s="343"/>
      <c r="P123" s="118"/>
    </row>
    <row r="124" spans="1:16">
      <c r="A124" s="131" t="s">
        <v>157</v>
      </c>
      <c r="B124" s="131" t="s">
        <v>117</v>
      </c>
      <c r="C124" s="262" t="s">
        <v>118</v>
      </c>
      <c r="F124" s="164">
        <f t="shared" ref="F124:M124" si="75">RPIF</f>
        <v>1.1630161697108456</v>
      </c>
      <c r="G124" s="164">
        <f t="shared" si="75"/>
        <v>1.2050819527256253</v>
      </c>
      <c r="H124" s="164">
        <f t="shared" si="75"/>
        <v>1.2266493019576674</v>
      </c>
      <c r="I124" s="164">
        <f t="shared" si="75"/>
        <v>1.2327329838381795</v>
      </c>
      <c r="J124" s="164">
        <f t="shared" si="75"/>
        <v>1.2709189417960116</v>
      </c>
      <c r="K124" s="164">
        <f t="shared" si="75"/>
        <v>1.3140238772935624</v>
      </c>
      <c r="L124" s="164">
        <f t="shared" si="75"/>
        <v>1.3585865587485577</v>
      </c>
      <c r="M124" s="164">
        <f t="shared" si="75"/>
        <v>1.3798357939884227</v>
      </c>
      <c r="N124" s="164">
        <f>N114</f>
        <v>1.4027951630045372</v>
      </c>
      <c r="O124" s="343" t="s">
        <v>117</v>
      </c>
    </row>
    <row r="125" spans="1:16">
      <c r="A125" s="131" t="s">
        <v>190</v>
      </c>
      <c r="C125" s="262"/>
      <c r="F125" s="62">
        <f t="shared" ref="F125:M125" si="76">F122*F123*F124</f>
        <v>0.45706535469636234</v>
      </c>
      <c r="G125" s="62">
        <f t="shared" si="76"/>
        <v>0.89537589087513958</v>
      </c>
      <c r="H125" s="62">
        <f t="shared" si="76"/>
        <v>0.91140043135454685</v>
      </c>
      <c r="I125" s="62">
        <f t="shared" si="76"/>
        <v>0</v>
      </c>
      <c r="J125" s="62">
        <f t="shared" si="76"/>
        <v>0</v>
      </c>
      <c r="K125" s="62">
        <f t="shared" si="76"/>
        <v>0</v>
      </c>
      <c r="L125" s="62">
        <f t="shared" si="76"/>
        <v>0</v>
      </c>
      <c r="M125" s="62">
        <f t="shared" si="76"/>
        <v>0</v>
      </c>
      <c r="N125" s="62">
        <f t="shared" ref="N125" si="77">N122*N123*N124</f>
        <v>0</v>
      </c>
      <c r="O125" s="343"/>
    </row>
    <row r="126" spans="1:16">
      <c r="C126" s="262"/>
      <c r="N126" s="273"/>
      <c r="O126" s="343"/>
    </row>
    <row r="127" spans="1:16">
      <c r="B127" s="131" t="s">
        <v>148</v>
      </c>
      <c r="C127" s="262" t="s">
        <v>1</v>
      </c>
      <c r="F127" s="62">
        <f t="shared" ref="F127:M127" si="78">F116+F125</f>
        <v>1.1202636953122749</v>
      </c>
      <c r="G127" s="62">
        <f t="shared" si="78"/>
        <v>2.273989644793255</v>
      </c>
      <c r="H127" s="62">
        <f t="shared" si="78"/>
        <v>2.2345919399734906</v>
      </c>
      <c r="I127" s="62">
        <f t="shared" si="78"/>
        <v>0</v>
      </c>
      <c r="J127" s="62">
        <f t="shared" si="78"/>
        <v>0</v>
      </c>
      <c r="K127" s="62">
        <f t="shared" si="78"/>
        <v>0</v>
      </c>
      <c r="L127" s="62">
        <f t="shared" si="78"/>
        <v>0</v>
      </c>
      <c r="M127" s="62">
        <f t="shared" si="78"/>
        <v>0</v>
      </c>
      <c r="N127" s="62">
        <f t="shared" ref="N127" si="79">N116+N125</f>
        <v>0</v>
      </c>
      <c r="O127" s="343"/>
    </row>
    <row r="128" spans="1:16">
      <c r="C128" s="262"/>
      <c r="N128" s="273"/>
      <c r="O128" s="343"/>
    </row>
    <row r="129" spans="1:16">
      <c r="C129" s="262"/>
      <c r="N129" s="273"/>
      <c r="O129" s="343"/>
    </row>
    <row r="130" spans="1:16">
      <c r="A130" s="131" t="s">
        <v>258</v>
      </c>
      <c r="B130" s="131" t="s">
        <v>146</v>
      </c>
      <c r="C130" s="262" t="s">
        <v>1</v>
      </c>
      <c r="F130" s="133">
        <f t="shared" ref="F130:M130" si="80">TIRGIncAdj2</f>
        <v>0</v>
      </c>
      <c r="G130" s="133">
        <f t="shared" si="80"/>
        <v>0</v>
      </c>
      <c r="H130" s="133">
        <f t="shared" si="80"/>
        <v>0</v>
      </c>
      <c r="I130" s="133">
        <f t="shared" si="80"/>
        <v>0</v>
      </c>
      <c r="J130" s="133">
        <f t="shared" si="80"/>
        <v>0</v>
      </c>
      <c r="K130" s="133">
        <f t="shared" si="80"/>
        <v>0</v>
      </c>
      <c r="L130" s="133">
        <f t="shared" si="80"/>
        <v>0</v>
      </c>
      <c r="M130" s="133">
        <f t="shared" si="80"/>
        <v>0</v>
      </c>
      <c r="N130" s="133">
        <f>'R5 Input page'!M134</f>
        <v>0</v>
      </c>
      <c r="O130" s="343" t="s">
        <v>364</v>
      </c>
      <c r="P130" s="118"/>
    </row>
    <row r="131" spans="1:16">
      <c r="A131" s="131" t="s">
        <v>247</v>
      </c>
      <c r="B131" s="131" t="s">
        <v>149</v>
      </c>
      <c r="C131" s="262" t="s">
        <v>1</v>
      </c>
      <c r="F131" s="133">
        <f t="shared" ref="F131:M131" si="81">ATIRG2</f>
        <v>0</v>
      </c>
      <c r="G131" s="133">
        <f t="shared" si="81"/>
        <v>0</v>
      </c>
      <c r="H131" s="133">
        <f t="shared" si="81"/>
        <v>0</v>
      </c>
      <c r="I131" s="133">
        <f t="shared" si="81"/>
        <v>0</v>
      </c>
      <c r="J131" s="133">
        <f t="shared" si="81"/>
        <v>0</v>
      </c>
      <c r="K131" s="133">
        <f t="shared" si="81"/>
        <v>0</v>
      </c>
      <c r="L131" s="133">
        <f t="shared" si="81"/>
        <v>0</v>
      </c>
      <c r="M131" s="133">
        <f t="shared" si="81"/>
        <v>0</v>
      </c>
      <c r="N131" s="133">
        <f>'R5 Input page'!M135</f>
        <v>0</v>
      </c>
      <c r="O131" s="343" t="s">
        <v>365</v>
      </c>
    </row>
    <row r="132" spans="1:16">
      <c r="C132" s="262"/>
      <c r="N132" s="273"/>
      <c r="O132" s="343"/>
    </row>
    <row r="133" spans="1:16">
      <c r="C133" s="262"/>
      <c r="N133" s="273"/>
      <c r="O133" s="343"/>
    </row>
    <row r="134" spans="1:16">
      <c r="C134" s="262"/>
      <c r="N134" s="343"/>
    </row>
    <row r="135" spans="1:16">
      <c r="N135" s="343"/>
    </row>
    <row r="136" spans="1:16">
      <c r="N136" s="343"/>
    </row>
    <row r="137" spans="1:16">
      <c r="N137" s="343"/>
    </row>
    <row r="138" spans="1:16">
      <c r="N138" s="343"/>
    </row>
    <row r="139" spans="1:16">
      <c r="N139" s="343"/>
    </row>
    <row r="140" spans="1:16">
      <c r="N140" s="343"/>
    </row>
    <row r="141" spans="1:16">
      <c r="N141" s="343"/>
    </row>
    <row r="142" spans="1:16">
      <c r="N142" s="343"/>
    </row>
    <row r="143" spans="1:16">
      <c r="N143" s="343"/>
    </row>
    <row r="144" spans="1:16">
      <c r="N144" s="343"/>
    </row>
    <row r="145" spans="14:14">
      <c r="N145" s="343"/>
    </row>
    <row r="146" spans="14:14">
      <c r="N146" s="343"/>
    </row>
    <row r="147" spans="14:14">
      <c r="N147" s="343"/>
    </row>
    <row r="148" spans="14:14">
      <c r="N148" s="343"/>
    </row>
    <row r="149" spans="14:14">
      <c r="N149" s="343"/>
    </row>
    <row r="150" spans="14:14">
      <c r="N150" s="343"/>
    </row>
    <row r="151" spans="14:14">
      <c r="N151" s="343"/>
    </row>
    <row r="152" spans="14:14">
      <c r="N152" s="343"/>
    </row>
    <row r="153" spans="14:14">
      <c r="N153" s="343"/>
    </row>
    <row r="154" spans="14:14">
      <c r="N154" s="343"/>
    </row>
    <row r="155" spans="14:14">
      <c r="N155" s="343"/>
    </row>
    <row r="156" spans="14:14">
      <c r="N156" s="343"/>
    </row>
    <row r="157" spans="14:14">
      <c r="N157" s="343"/>
    </row>
    <row r="158" spans="14:14">
      <c r="N158" s="343"/>
    </row>
    <row r="159" spans="14:14">
      <c r="N159" s="343"/>
    </row>
    <row r="160" spans="14:14">
      <c r="N160" s="343"/>
    </row>
    <row r="161" spans="14:14">
      <c r="N161" s="343"/>
    </row>
    <row r="162" spans="14:14">
      <c r="N162" s="343"/>
    </row>
    <row r="163" spans="14:14">
      <c r="N163" s="343"/>
    </row>
    <row r="164" spans="14:14">
      <c r="N164" s="343"/>
    </row>
    <row r="165" spans="14:14">
      <c r="N165" s="343"/>
    </row>
    <row r="166" spans="14:14">
      <c r="N166" s="343"/>
    </row>
    <row r="167" spans="14:14">
      <c r="N167" s="343"/>
    </row>
    <row r="168" spans="14:14">
      <c r="N168" s="343"/>
    </row>
    <row r="169" spans="14:14">
      <c r="N169" s="343"/>
    </row>
    <row r="170" spans="14:14">
      <c r="N170" s="343"/>
    </row>
    <row r="171" spans="14:14">
      <c r="N171" s="343"/>
    </row>
    <row r="172" spans="14:14">
      <c r="N172" s="343"/>
    </row>
    <row r="173" spans="14:14">
      <c r="N173" s="343"/>
    </row>
    <row r="174" spans="14:14">
      <c r="N174" s="343"/>
    </row>
    <row r="175" spans="14:14">
      <c r="N175" s="343"/>
    </row>
    <row r="176" spans="14:14">
      <c r="N176" s="343"/>
    </row>
    <row r="177" spans="14:14">
      <c r="N177" s="343"/>
    </row>
    <row r="178" spans="14:14">
      <c r="N178" s="343"/>
    </row>
    <row r="179" spans="14:14">
      <c r="N179" s="343"/>
    </row>
    <row r="180" spans="14:14">
      <c r="N180" s="343"/>
    </row>
    <row r="181" spans="14:14">
      <c r="N181" s="343"/>
    </row>
    <row r="182" spans="14:14">
      <c r="N182" s="343"/>
    </row>
    <row r="183" spans="14:14">
      <c r="N183" s="343"/>
    </row>
    <row r="184" spans="14:14">
      <c r="N184" s="343"/>
    </row>
    <row r="185" spans="14:14">
      <c r="N185" s="343"/>
    </row>
    <row r="186" spans="14:14">
      <c r="N186" s="343"/>
    </row>
    <row r="187" spans="14:14">
      <c r="N187" s="343"/>
    </row>
    <row r="188" spans="14:14">
      <c r="N188" s="343"/>
    </row>
    <row r="189" spans="14:14">
      <c r="N189" s="343"/>
    </row>
    <row r="190" spans="14:14">
      <c r="N190" s="343"/>
    </row>
    <row r="191" spans="14:14">
      <c r="N191" s="343"/>
    </row>
    <row r="192" spans="14:14">
      <c r="N192" s="343"/>
    </row>
    <row r="193" spans="14:14">
      <c r="N193" s="343"/>
    </row>
    <row r="194" spans="14:14">
      <c r="N194" s="343"/>
    </row>
    <row r="195" spans="14:14">
      <c r="N195" s="343"/>
    </row>
    <row r="196" spans="14:14">
      <c r="N196" s="343"/>
    </row>
    <row r="197" spans="14:14">
      <c r="N197" s="343"/>
    </row>
    <row r="198" spans="14:14">
      <c r="N198" s="343"/>
    </row>
    <row r="199" spans="14:14">
      <c r="N199" s="343"/>
    </row>
    <row r="200" spans="14:14">
      <c r="N200" s="343"/>
    </row>
    <row r="201" spans="14:14">
      <c r="N201" s="343"/>
    </row>
    <row r="202" spans="14:14">
      <c r="N202" s="343"/>
    </row>
    <row r="203" spans="14:14">
      <c r="N203" s="343"/>
    </row>
    <row r="204" spans="14:14">
      <c r="N204" s="343"/>
    </row>
    <row r="205" spans="14:14">
      <c r="N205" s="343"/>
    </row>
  </sheetData>
  <printOptions headings="1"/>
  <pageMargins left="0.23622047244094491" right="0.15748031496062992" top="0.35433070866141736" bottom="0.43307086614173229" header="0.15748031496062992" footer="0.27559055118110237"/>
  <pageSetup paperSize="9" scale="91" fitToHeight="0" orientation="landscape" r:id="rId1"/>
  <headerFooter>
    <oddFooter>&amp;C&amp;D&amp;R&amp;F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U999998"/>
  <sheetViews>
    <sheetView showGridLines="0" zoomScale="85" zoomScaleNormal="85" workbookViewId="0">
      <selection activeCell="A5" sqref="A5"/>
    </sheetView>
  </sheetViews>
  <sheetFormatPr defaultColWidth="9" defaultRowHeight="13.5"/>
  <cols>
    <col min="1" max="1" width="32.3828125" style="111" customWidth="1"/>
    <col min="2" max="2" width="6.84375" style="111" customWidth="1"/>
    <col min="3" max="4" width="9" style="111" hidden="1" customWidth="1"/>
    <col min="5" max="5" width="12" style="111" customWidth="1"/>
    <col min="6" max="9" width="10.23046875" style="111" customWidth="1"/>
    <col min="10" max="10" width="14.3828125" style="111" bestFit="1" customWidth="1"/>
    <col min="11" max="11" width="10.23046875" style="111" customWidth="1"/>
    <col min="12" max="12" width="14.3828125" style="111" bestFit="1" customWidth="1"/>
    <col min="13" max="13" width="12.84375" style="111" customWidth="1"/>
    <col min="14" max="15" width="12.84375" style="273" customWidth="1"/>
    <col min="16" max="16" width="7.15234375" style="111" customWidth="1"/>
    <col min="17" max="16384" width="9" style="111"/>
  </cols>
  <sheetData>
    <row r="1" spans="1:21" s="121" customFormat="1" ht="15">
      <c r="A1" s="126" t="s">
        <v>116</v>
      </c>
      <c r="P1" s="346"/>
    </row>
    <row r="2" spans="1:21" s="121" customFormat="1" ht="15">
      <c r="A2" s="126" t="str">
        <f>CompName</f>
        <v>Scottish Hydro Electric Transmission Plc</v>
      </c>
      <c r="P2" s="346"/>
    </row>
    <row r="3" spans="1:21" s="121" customFormat="1">
      <c r="A3" s="128" t="str">
        <f>RegYr</f>
        <v>Regulatory Year ending 31 March 2020</v>
      </c>
      <c r="P3" s="346"/>
    </row>
    <row r="4" spans="1:21">
      <c r="A4" s="137"/>
      <c r="B4" s="137"/>
      <c r="C4" s="137"/>
      <c r="D4" s="137"/>
      <c r="E4" s="137"/>
      <c r="F4" s="137"/>
      <c r="G4" s="137"/>
      <c r="H4" s="137"/>
      <c r="I4" s="137"/>
      <c r="J4" s="137"/>
      <c r="K4" s="137"/>
      <c r="L4" s="137"/>
      <c r="M4" s="137"/>
      <c r="N4" s="137"/>
      <c r="O4" s="137"/>
      <c r="P4" s="347"/>
      <c r="Q4" s="137"/>
      <c r="R4" s="137"/>
      <c r="S4" s="137"/>
      <c r="T4" s="137"/>
      <c r="U4" s="137"/>
    </row>
    <row r="5" spans="1:21" ht="17.5">
      <c r="A5" s="265" t="s">
        <v>479</v>
      </c>
      <c r="B5" s="129" t="s">
        <v>309</v>
      </c>
      <c r="G5" s="118"/>
      <c r="I5" s="118"/>
      <c r="P5" s="332"/>
    </row>
    <row r="6" spans="1:21" ht="14">
      <c r="B6" s="130"/>
      <c r="C6" s="130"/>
      <c r="D6" s="130"/>
      <c r="E6" s="130"/>
      <c r="F6" s="130"/>
      <c r="G6" s="130"/>
      <c r="H6" s="130"/>
      <c r="I6" s="130"/>
      <c r="P6" s="332"/>
    </row>
    <row r="7" spans="1:21" ht="14.5">
      <c r="B7" s="113"/>
      <c r="C7" s="113"/>
      <c r="D7" s="113"/>
      <c r="E7" s="113"/>
      <c r="F7" s="112">
        <v>2014</v>
      </c>
      <c r="G7" s="112">
        <v>2015</v>
      </c>
      <c r="H7" s="112">
        <v>2016</v>
      </c>
      <c r="I7" s="112">
        <v>2017</v>
      </c>
      <c r="J7" s="112">
        <v>2018</v>
      </c>
      <c r="K7" s="112">
        <v>2019</v>
      </c>
      <c r="L7" s="112">
        <v>2020</v>
      </c>
      <c r="M7" s="112">
        <v>2021</v>
      </c>
      <c r="N7" s="406">
        <v>2022</v>
      </c>
      <c r="O7" s="406">
        <v>2023</v>
      </c>
      <c r="P7" s="332"/>
    </row>
    <row r="8" spans="1:21" ht="14">
      <c r="B8" s="113"/>
      <c r="C8" s="113"/>
      <c r="D8" s="113"/>
      <c r="E8" s="113"/>
      <c r="F8" s="113"/>
      <c r="G8" s="113"/>
      <c r="H8" s="113"/>
      <c r="I8" s="113"/>
      <c r="P8" s="332"/>
    </row>
    <row r="9" spans="1:21" ht="14">
      <c r="A9" s="113" t="s">
        <v>13</v>
      </c>
      <c r="B9" s="113" t="s">
        <v>312</v>
      </c>
      <c r="C9" s="113"/>
      <c r="D9" s="113"/>
      <c r="E9" s="113" t="s">
        <v>1</v>
      </c>
      <c r="F9" s="230">
        <f t="shared" ref="F9:M9" si="0">BR</f>
        <v>121.5805473654021</v>
      </c>
      <c r="G9" s="230">
        <f t="shared" si="0"/>
        <v>144.88183379911854</v>
      </c>
      <c r="H9" s="230">
        <f>BR</f>
        <v>257.33702665771352</v>
      </c>
      <c r="I9" s="230">
        <f t="shared" si="0"/>
        <v>257.63714260992293</v>
      </c>
      <c r="J9" s="230">
        <f t="shared" si="0"/>
        <v>212.33806976005224</v>
      </c>
      <c r="K9" s="230">
        <f t="shared" si="0"/>
        <v>256.82224727854003</v>
      </c>
      <c r="L9" s="230">
        <f t="shared" si="0"/>
        <v>271.06515945388799</v>
      </c>
      <c r="M9" s="230">
        <f t="shared" si="0"/>
        <v>291.03938687052568</v>
      </c>
      <c r="N9" s="230">
        <f>'R6 Base revenue'!N12</f>
        <v>-3.2188547142864468</v>
      </c>
      <c r="O9" s="230">
        <f>'R6 Base revenue'!O12</f>
        <v>-4.8256395789968121</v>
      </c>
      <c r="P9" s="343" t="s">
        <v>312</v>
      </c>
    </row>
    <row r="10" spans="1:21" ht="14">
      <c r="A10" s="113" t="s">
        <v>9</v>
      </c>
      <c r="B10" s="113" t="s">
        <v>313</v>
      </c>
      <c r="C10" s="113"/>
      <c r="D10" s="113"/>
      <c r="E10" s="113" t="s">
        <v>1</v>
      </c>
      <c r="F10" s="230">
        <f t="shared" ref="F10:M10" si="1">PT</f>
        <v>0</v>
      </c>
      <c r="G10" s="230">
        <f t="shared" si="1"/>
        <v>0</v>
      </c>
      <c r="H10" s="230">
        <f t="shared" si="1"/>
        <v>-12.625464143664923</v>
      </c>
      <c r="I10" s="230">
        <f t="shared" si="1"/>
        <v>-12.636786853465296</v>
      </c>
      <c r="J10" s="230">
        <f t="shared" si="1"/>
        <v>-17.536213470447461</v>
      </c>
      <c r="K10" s="230">
        <f t="shared" si="1"/>
        <v>-18.069807060749817</v>
      </c>
      <c r="L10" s="230">
        <f t="shared" si="1"/>
        <v>-18.620446002407657</v>
      </c>
      <c r="M10" s="230">
        <f t="shared" si="1"/>
        <v>-18.861666450026508</v>
      </c>
      <c r="N10" s="230">
        <f>'R7 pass through'!N10</f>
        <v>-19.134863128384811</v>
      </c>
      <c r="O10" s="230">
        <f>'R7 pass through'!O10</f>
        <v>-19.712162535692979</v>
      </c>
      <c r="P10" s="343" t="s">
        <v>313</v>
      </c>
    </row>
    <row r="11" spans="1:21" ht="14">
      <c r="A11" s="113" t="s">
        <v>15</v>
      </c>
      <c r="B11" s="113" t="s">
        <v>314</v>
      </c>
      <c r="C11" s="113"/>
      <c r="D11" s="113"/>
      <c r="E11" s="113" t="s">
        <v>1</v>
      </c>
      <c r="F11" s="230">
        <f t="shared" ref="F11:M11" si="2">OIP</f>
        <v>0.47198999999999997</v>
      </c>
      <c r="G11" s="230">
        <f t="shared" si="2"/>
        <v>0</v>
      </c>
      <c r="H11" s="230">
        <f t="shared" si="2"/>
        <v>1.8316224650694088</v>
      </c>
      <c r="I11" s="230">
        <f t="shared" si="2"/>
        <v>1.8131488358037369</v>
      </c>
      <c r="J11" s="230">
        <f t="shared" si="2"/>
        <v>1.8829491608639279</v>
      </c>
      <c r="K11" s="230">
        <f t="shared" si="2"/>
        <v>-0.37269234280764096</v>
      </c>
      <c r="L11" s="230">
        <f t="shared" si="2"/>
        <v>-0.67242351693903579</v>
      </c>
      <c r="M11" s="230">
        <f t="shared" si="2"/>
        <v>-1.0343263908780984</v>
      </c>
      <c r="N11" s="230">
        <f>'R8 Output incentives'!N13</f>
        <v>-0.42322109418868603</v>
      </c>
      <c r="O11" s="230">
        <f>'R8 Output incentives'!O13</f>
        <v>-1.5638255418375946</v>
      </c>
      <c r="P11" s="343" t="s">
        <v>314</v>
      </c>
    </row>
    <row r="12" spans="1:21" ht="14">
      <c r="A12" s="113" t="s">
        <v>36</v>
      </c>
      <c r="B12" s="113" t="s">
        <v>232</v>
      </c>
      <c r="C12" s="113"/>
      <c r="D12" s="113"/>
      <c r="E12" s="113" t="s">
        <v>1</v>
      </c>
      <c r="F12" s="230">
        <f t="shared" ref="F12:M12" si="3">NIA</f>
        <v>0</v>
      </c>
      <c r="G12" s="230">
        <f t="shared" si="3"/>
        <v>0</v>
      </c>
      <c r="H12" s="230">
        <f t="shared" si="3"/>
        <v>0</v>
      </c>
      <c r="I12" s="230">
        <f t="shared" si="3"/>
        <v>0</v>
      </c>
      <c r="J12" s="230">
        <f t="shared" si="3"/>
        <v>0</v>
      </c>
      <c r="K12" s="230">
        <f t="shared" si="3"/>
        <v>0</v>
      </c>
      <c r="L12" s="230">
        <f t="shared" si="3"/>
        <v>0</v>
      </c>
      <c r="M12" s="230">
        <f t="shared" si="3"/>
        <v>0</v>
      </c>
      <c r="N12" s="230"/>
      <c r="O12" s="230"/>
      <c r="P12" s="343" t="s">
        <v>232</v>
      </c>
      <c r="Q12" s="118"/>
    </row>
    <row r="13" spans="1:21" ht="14">
      <c r="A13" s="113" t="s">
        <v>16</v>
      </c>
      <c r="B13" s="113" t="s">
        <v>311</v>
      </c>
      <c r="C13" s="113"/>
      <c r="D13" s="113"/>
      <c r="E13" s="113" t="s">
        <v>1</v>
      </c>
      <c r="F13" s="230">
        <f t="shared" ref="F13:M13" si="4">TIRG</f>
        <v>43.13029648352763</v>
      </c>
      <c r="G13" s="230">
        <f t="shared" si="4"/>
        <v>45.642498240794303</v>
      </c>
      <c r="H13" s="230">
        <f t="shared" si="4"/>
        <v>44.861665942027251</v>
      </c>
      <c r="I13" s="230">
        <f t="shared" si="4"/>
        <v>0</v>
      </c>
      <c r="J13" s="230">
        <f t="shared" si="4"/>
        <v>84.256191454810178</v>
      </c>
      <c r="K13" s="230">
        <f t="shared" si="4"/>
        <v>83.929406675831544</v>
      </c>
      <c r="L13" s="230">
        <f t="shared" si="4"/>
        <v>83.48339417561121</v>
      </c>
      <c r="M13" s="230">
        <f t="shared" si="4"/>
        <v>81.445315519738841</v>
      </c>
      <c r="N13" s="230">
        <f>'R11 TIRG'!N16</f>
        <v>82.800500724962788</v>
      </c>
      <c r="O13" s="230"/>
      <c r="P13" s="154" t="s">
        <v>311</v>
      </c>
    </row>
    <row r="14" spans="1:21" ht="14">
      <c r="A14" s="113" t="s">
        <v>316</v>
      </c>
      <c r="B14" s="113" t="s">
        <v>310</v>
      </c>
      <c r="C14" s="113"/>
      <c r="D14" s="113"/>
      <c r="E14" s="113" t="s">
        <v>1</v>
      </c>
      <c r="F14" s="230">
        <f t="shared" ref="F14:M14" si="5">SHCP</f>
        <v>0</v>
      </c>
      <c r="G14" s="230">
        <f t="shared" si="5"/>
        <v>0</v>
      </c>
      <c r="H14" s="230">
        <f t="shared" si="5"/>
        <v>0</v>
      </c>
      <c r="I14" s="230">
        <f t="shared" si="5"/>
        <v>0</v>
      </c>
      <c r="J14" s="230">
        <f t="shared" si="5"/>
        <v>0</v>
      </c>
      <c r="K14" s="230">
        <f t="shared" si="5"/>
        <v>0</v>
      </c>
      <c r="L14" s="230">
        <f t="shared" si="5"/>
        <v>0</v>
      </c>
      <c r="M14" s="230">
        <f t="shared" si="5"/>
        <v>0</v>
      </c>
      <c r="N14" s="230">
        <f>'R8 Output incentives'!N160</f>
        <v>0</v>
      </c>
      <c r="O14" s="230">
        <f>'R8 Output incentives'!O160</f>
        <v>0</v>
      </c>
      <c r="P14" s="154" t="s">
        <v>310</v>
      </c>
    </row>
    <row r="15" spans="1:21" ht="14">
      <c r="A15" s="113" t="s">
        <v>10</v>
      </c>
      <c r="B15" s="113" t="s">
        <v>315</v>
      </c>
      <c r="C15" s="113"/>
      <c r="D15" s="113"/>
      <c r="E15" s="113" t="s">
        <v>118</v>
      </c>
      <c r="F15" s="230">
        <f t="shared" ref="F15:M15" si="6">Kt</f>
        <v>15.047999999999989</v>
      </c>
      <c r="G15" s="230">
        <f t="shared" si="6"/>
        <v>0</v>
      </c>
      <c r="H15" s="230">
        <f t="shared" si="6"/>
        <v>-154.65764571862869</v>
      </c>
      <c r="I15" s="230">
        <f t="shared" si="6"/>
        <v>-196.26387754261518</v>
      </c>
      <c r="J15" s="230">
        <f t="shared" si="6"/>
        <v>-458.78286085645033</v>
      </c>
      <c r="K15" s="230">
        <f t="shared" si="6"/>
        <v>-455.03156559713739</v>
      </c>
      <c r="L15" s="230">
        <f>Kt</f>
        <v>-762.13264546064136</v>
      </c>
      <c r="M15" s="230">
        <f t="shared" si="6"/>
        <v>-803.83423313380672</v>
      </c>
      <c r="N15" s="230">
        <f>'R10 Correction'!N18</f>
        <v>-1128.5006055801211</v>
      </c>
      <c r="O15" s="230">
        <f>'R10 Correction'!O18</f>
        <v>-1180.7309529383665</v>
      </c>
      <c r="P15" s="343" t="s">
        <v>315</v>
      </c>
    </row>
    <row r="16" spans="1:21" ht="14">
      <c r="A16" s="113"/>
      <c r="B16" s="113"/>
      <c r="C16" s="113"/>
      <c r="D16" s="113"/>
      <c r="E16" s="113"/>
      <c r="F16" s="168"/>
      <c r="G16" s="168"/>
      <c r="H16" s="168"/>
      <c r="I16" s="168"/>
      <c r="J16" s="168"/>
      <c r="K16" s="168"/>
      <c r="L16" s="168"/>
      <c r="M16" s="168"/>
      <c r="N16" s="168"/>
      <c r="O16" s="168"/>
      <c r="P16" s="332"/>
    </row>
    <row r="17" spans="1:16" ht="14">
      <c r="A17" s="113" t="s">
        <v>11</v>
      </c>
      <c r="B17" s="113" t="s">
        <v>12</v>
      </c>
      <c r="C17" s="113"/>
      <c r="D17" s="113"/>
      <c r="E17" s="113" t="s">
        <v>1</v>
      </c>
      <c r="F17" s="135">
        <f>SUM(F9:F14)-F15</f>
        <v>150.13483384892973</v>
      </c>
      <c r="G17" s="135">
        <f>SUM(G9:G14)-G15</f>
        <v>190.52433203991285</v>
      </c>
      <c r="H17" s="135">
        <f>SUM(H9:H14)-H15</f>
        <v>446.06249663977394</v>
      </c>
      <c r="I17" s="135">
        <f t="shared" ref="I17:M17" si="7">SUM(I9:I14)-I15</f>
        <v>443.07738213487653</v>
      </c>
      <c r="J17" s="135">
        <f t="shared" si="7"/>
        <v>739.72385776172928</v>
      </c>
      <c r="K17" s="135">
        <f t="shared" si="7"/>
        <v>777.34072014795152</v>
      </c>
      <c r="L17" s="135">
        <f>SUM(L9:L14)-L15</f>
        <v>1097.3883295707938</v>
      </c>
      <c r="M17" s="135">
        <f t="shared" si="7"/>
        <v>1156.4229426831666</v>
      </c>
      <c r="N17" s="135">
        <f t="shared" ref="N17:O17" si="8">SUM(N9:N14)-N15</f>
        <v>1188.524167368224</v>
      </c>
      <c r="O17" s="135">
        <f t="shared" si="8"/>
        <v>1154.6293252818391</v>
      </c>
      <c r="P17" s="154" t="s">
        <v>12</v>
      </c>
    </row>
    <row r="18" spans="1:16" ht="14">
      <c r="C18" s="113"/>
      <c r="D18" s="113"/>
      <c r="E18" s="113"/>
      <c r="P18" s="332"/>
    </row>
    <row r="19" spans="1:16">
      <c r="P19" s="332"/>
    </row>
    <row r="20" spans="1:16">
      <c r="P20" s="332"/>
    </row>
    <row r="21" spans="1:16">
      <c r="P21" s="332"/>
    </row>
    <row r="22" spans="1:16">
      <c r="P22" s="332"/>
    </row>
    <row r="23" spans="1:16">
      <c r="P23" s="332"/>
    </row>
    <row r="24" spans="1:16">
      <c r="P24" s="332"/>
    </row>
    <row r="25" spans="1:16">
      <c r="P25" s="332"/>
    </row>
    <row r="26" spans="1:16">
      <c r="P26" s="332"/>
    </row>
    <row r="27" spans="1:16">
      <c r="P27" s="332"/>
    </row>
    <row r="28" spans="1:16">
      <c r="P28" s="332"/>
    </row>
    <row r="29" spans="1:16">
      <c r="P29" s="332"/>
    </row>
    <row r="999993" spans="1:1">
      <c r="A999993" s="111" t="s">
        <v>7</v>
      </c>
    </row>
    <row r="999994" spans="1:1">
      <c r="A999994" s="111" t="s">
        <v>2</v>
      </c>
    </row>
    <row r="999995" spans="1:1">
      <c r="A999995" s="111" t="s">
        <v>6</v>
      </c>
    </row>
    <row r="999996" spans="1:1">
      <c r="A999996" s="111" t="s">
        <v>3</v>
      </c>
    </row>
    <row r="999997" spans="1:1">
      <c r="A999997" s="111" t="s">
        <v>4</v>
      </c>
    </row>
    <row r="999998" spans="1:1">
      <c r="A999998" s="111" t="s">
        <v>5</v>
      </c>
    </row>
  </sheetData>
  <pageMargins left="0.27559055118110237" right="0.19685039370078741" top="0.6692913385826772" bottom="0.6692913385826772" header="0.31496062992125984" footer="0.31496062992125984"/>
  <pageSetup paperSize="9" scale="83" orientation="landscape" r:id="rId1"/>
  <headerFooter>
    <oddFooter>&amp;C&amp;D&amp;R&amp;F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CC"/>
    <pageSetUpPr fitToPage="1"/>
  </sheetPr>
  <dimension ref="A1:K78"/>
  <sheetViews>
    <sheetView showGridLines="0" view="pageBreakPreview" zoomScale="85" zoomScaleNormal="60" zoomScaleSheetLayoutView="85" workbookViewId="0">
      <selection activeCell="B37" sqref="B37:G41"/>
    </sheetView>
  </sheetViews>
  <sheetFormatPr defaultColWidth="0" defaultRowHeight="15" customHeight="1" zeroHeight="1"/>
  <cols>
    <col min="1" max="1" width="8.4609375" style="169" customWidth="1"/>
    <col min="2" max="2" width="18.15234375" style="169" customWidth="1"/>
    <col min="3" max="5" width="8" style="169" customWidth="1"/>
    <col min="6" max="6" width="5.84375" style="169" customWidth="1"/>
    <col min="7" max="7" width="20.3828125" style="169" customWidth="1"/>
    <col min="8" max="8" width="2.3828125" style="169" customWidth="1"/>
    <col min="9" max="9" width="8.4609375" style="169" customWidth="1"/>
    <col min="10" max="10" width="2.3828125" style="169" customWidth="1"/>
    <col min="11" max="16384" width="0" style="169" hidden="1"/>
  </cols>
  <sheetData>
    <row r="1" spans="1:8" s="121" customFormat="1">
      <c r="A1" s="126" t="s">
        <v>270</v>
      </c>
      <c r="E1" s="127"/>
      <c r="H1" s="346"/>
    </row>
    <row r="2" spans="1:8" s="121" customFormat="1">
      <c r="A2" s="126" t="str">
        <f>CompName</f>
        <v>Scottish Hydro Electric Transmission Plc</v>
      </c>
      <c r="E2" s="127"/>
      <c r="H2" s="346"/>
    </row>
    <row r="3" spans="1:8" s="121" customFormat="1" ht="13.5">
      <c r="A3" s="128" t="str">
        <f>RegYr</f>
        <v>Regulatory Year ending 31 March 2020</v>
      </c>
      <c r="E3" s="127"/>
      <c r="H3" s="346"/>
    </row>
    <row r="4" spans="1:8" ht="15.75" customHeight="1">
      <c r="H4" s="358"/>
    </row>
    <row r="5" spans="1:8" ht="14">
      <c r="A5" s="121" t="s">
        <v>381</v>
      </c>
      <c r="H5" s="358"/>
    </row>
    <row r="6" spans="1:8" ht="9" customHeight="1">
      <c r="H6" s="358"/>
    </row>
    <row r="7" spans="1:8" ht="14">
      <c r="A7" s="170" t="s">
        <v>82</v>
      </c>
      <c r="H7" s="358"/>
    </row>
    <row r="8" spans="1:8" ht="9" customHeight="1">
      <c r="A8" s="171"/>
      <c r="H8" s="358"/>
    </row>
    <row r="9" spans="1:8" ht="14">
      <c r="A9" s="172" t="s">
        <v>83</v>
      </c>
      <c r="B9" s="173"/>
      <c r="C9" s="173"/>
      <c r="D9" s="173"/>
      <c r="E9" s="173"/>
      <c r="F9" s="173"/>
      <c r="G9" s="173"/>
      <c r="H9" s="358"/>
    </row>
    <row r="10" spans="1:8" ht="9" customHeight="1">
      <c r="H10" s="358"/>
    </row>
    <row r="11" spans="1:8" ht="14">
      <c r="G11" s="174" t="s">
        <v>8</v>
      </c>
      <c r="H11" s="366"/>
    </row>
    <row r="12" spans="1:8" ht="14">
      <c r="B12" s="175" t="s">
        <v>84</v>
      </c>
      <c r="G12" s="176" t="s">
        <v>1</v>
      </c>
      <c r="H12" s="358"/>
    </row>
    <row r="13" spans="1:8" ht="14">
      <c r="A13" s="174">
        <v>1</v>
      </c>
      <c r="B13" s="423"/>
      <c r="C13" s="423"/>
      <c r="D13" s="423"/>
      <c r="E13" s="423"/>
      <c r="F13" s="423"/>
      <c r="G13" s="177"/>
      <c r="H13" s="357"/>
    </row>
    <row r="14" spans="1:8" ht="14">
      <c r="A14" s="174">
        <v>2</v>
      </c>
      <c r="B14" s="423"/>
      <c r="C14" s="423"/>
      <c r="D14" s="423"/>
      <c r="E14" s="423"/>
      <c r="F14" s="423"/>
      <c r="G14" s="177"/>
      <c r="H14" s="357"/>
    </row>
    <row r="15" spans="1:8" ht="14">
      <c r="A15" s="174">
        <v>3</v>
      </c>
      <c r="B15" s="423"/>
      <c r="C15" s="423"/>
      <c r="D15" s="423"/>
      <c r="E15" s="423"/>
      <c r="F15" s="423"/>
      <c r="G15" s="177"/>
      <c r="H15" s="357"/>
    </row>
    <row r="16" spans="1:8" ht="14">
      <c r="A16" s="174">
        <v>4</v>
      </c>
      <c r="B16" s="423"/>
      <c r="C16" s="423"/>
      <c r="D16" s="423"/>
      <c r="E16" s="423"/>
      <c r="F16" s="423"/>
      <c r="G16" s="177"/>
      <c r="H16" s="357"/>
    </row>
    <row r="17" spans="1:8" ht="14">
      <c r="A17" s="174">
        <v>5</v>
      </c>
      <c r="B17" s="423"/>
      <c r="C17" s="423"/>
      <c r="D17" s="423"/>
      <c r="E17" s="423"/>
      <c r="F17" s="423"/>
      <c r="G17" s="177"/>
      <c r="H17" s="357"/>
    </row>
    <row r="18" spans="1:8" ht="14">
      <c r="A18" s="174">
        <v>6</v>
      </c>
      <c r="B18" s="423"/>
      <c r="C18" s="423"/>
      <c r="D18" s="423"/>
      <c r="E18" s="423"/>
      <c r="F18" s="423"/>
      <c r="G18" s="177"/>
      <c r="H18" s="357"/>
    </row>
    <row r="19" spans="1:8" ht="14">
      <c r="A19" s="174">
        <v>7</v>
      </c>
      <c r="B19" s="423"/>
      <c r="C19" s="423"/>
      <c r="D19" s="423"/>
      <c r="E19" s="423"/>
      <c r="F19" s="423"/>
      <c r="G19" s="177"/>
      <c r="H19" s="357"/>
    </row>
    <row r="20" spans="1:8" ht="14">
      <c r="A20" s="174">
        <v>8</v>
      </c>
      <c r="B20" s="423"/>
      <c r="C20" s="423"/>
      <c r="D20" s="423"/>
      <c r="E20" s="423"/>
      <c r="F20" s="423"/>
      <c r="G20" s="177"/>
      <c r="H20" s="357"/>
    </row>
    <row r="21" spans="1:8" ht="14">
      <c r="A21" s="174">
        <v>9</v>
      </c>
      <c r="B21" s="423"/>
      <c r="C21" s="423"/>
      <c r="D21" s="423"/>
      <c r="E21" s="423"/>
      <c r="F21" s="423"/>
      <c r="G21" s="177"/>
      <c r="H21" s="357"/>
    </row>
    <row r="22" spans="1:8" ht="14">
      <c r="A22" s="174">
        <v>10</v>
      </c>
      <c r="B22" s="423"/>
      <c r="C22" s="423"/>
      <c r="D22" s="423"/>
      <c r="E22" s="423"/>
      <c r="F22" s="423"/>
      <c r="G22" s="177"/>
      <c r="H22" s="358"/>
    </row>
    <row r="23" spans="1:8" ht="14">
      <c r="A23" s="174">
        <v>11</v>
      </c>
      <c r="B23" s="423"/>
      <c r="C23" s="423"/>
      <c r="D23" s="423"/>
      <c r="E23" s="423"/>
      <c r="F23" s="423"/>
      <c r="G23" s="177"/>
      <c r="H23" s="358"/>
    </row>
    <row r="24" spans="1:8" ht="14">
      <c r="A24" s="174">
        <v>12</v>
      </c>
      <c r="B24" s="423"/>
      <c r="C24" s="423"/>
      <c r="D24" s="423"/>
      <c r="E24" s="423"/>
      <c r="F24" s="423"/>
      <c r="G24" s="177"/>
      <c r="H24" s="358"/>
    </row>
    <row r="25" spans="1:8" ht="14">
      <c r="A25" s="174">
        <v>13</v>
      </c>
      <c r="B25" s="423"/>
      <c r="C25" s="423"/>
      <c r="D25" s="423"/>
      <c r="E25" s="423"/>
      <c r="F25" s="423"/>
      <c r="G25" s="177"/>
      <c r="H25" s="358"/>
    </row>
    <row r="26" spans="1:8" ht="14">
      <c r="A26" s="174">
        <v>14</v>
      </c>
      <c r="B26" s="423"/>
      <c r="C26" s="423"/>
      <c r="D26" s="423"/>
      <c r="E26" s="423"/>
      <c r="F26" s="423"/>
      <c r="G26" s="177"/>
      <c r="H26" s="358"/>
    </row>
    <row r="27" spans="1:8" ht="14">
      <c r="A27" s="174">
        <v>15</v>
      </c>
      <c r="B27" s="423"/>
      <c r="C27" s="423"/>
      <c r="D27" s="423"/>
      <c r="E27" s="423"/>
      <c r="F27" s="423"/>
      <c r="G27" s="177"/>
      <c r="H27" s="358"/>
    </row>
    <row r="28" spans="1:8" ht="9" customHeight="1">
      <c r="A28" s="178"/>
      <c r="B28" s="179"/>
      <c r="C28" s="179"/>
      <c r="D28" s="179"/>
      <c r="E28" s="179"/>
      <c r="F28" s="179"/>
      <c r="G28" s="180"/>
      <c r="H28" s="358"/>
    </row>
    <row r="29" spans="1:8" ht="14.5" thickBot="1">
      <c r="F29" s="121" t="s">
        <v>85</v>
      </c>
      <c r="G29" s="186">
        <f>SUM(G13:G27)</f>
        <v>0</v>
      </c>
      <c r="H29" s="358"/>
    </row>
    <row r="30" spans="1:8" ht="9" customHeight="1" thickTop="1">
      <c r="H30" s="358"/>
    </row>
    <row r="31" spans="1:8" ht="14">
      <c r="A31" s="170" t="s">
        <v>86</v>
      </c>
      <c r="H31" s="358"/>
    </row>
    <row r="32" spans="1:8" ht="9" customHeight="1">
      <c r="H32" s="358"/>
    </row>
    <row r="33" spans="1:11" ht="14">
      <c r="A33" s="172" t="s">
        <v>87</v>
      </c>
      <c r="B33" s="173"/>
      <c r="C33" s="173"/>
      <c r="D33" s="173"/>
      <c r="E33" s="173"/>
      <c r="F33" s="173"/>
      <c r="G33" s="173"/>
      <c r="H33" s="358"/>
    </row>
    <row r="34" spans="1:11" ht="9" customHeight="1">
      <c r="H34" s="358"/>
    </row>
    <row r="35" spans="1:11" ht="14">
      <c r="G35" s="174" t="s">
        <v>8</v>
      </c>
      <c r="H35" s="358"/>
    </row>
    <row r="36" spans="1:11" ht="14">
      <c r="B36" s="175" t="s">
        <v>84</v>
      </c>
      <c r="G36" s="176" t="s">
        <v>1</v>
      </c>
      <c r="H36" s="358"/>
    </row>
    <row r="37" spans="1:11" ht="14">
      <c r="A37" s="174">
        <v>1</v>
      </c>
      <c r="B37" s="423"/>
      <c r="C37" s="423"/>
      <c r="D37" s="423"/>
      <c r="E37" s="423"/>
      <c r="F37" s="423"/>
      <c r="G37" s="177"/>
      <c r="H37" s="358"/>
    </row>
    <row r="38" spans="1:11" ht="14">
      <c r="A38" s="174">
        <v>2</v>
      </c>
      <c r="B38" s="423"/>
      <c r="C38" s="423"/>
      <c r="D38" s="423"/>
      <c r="E38" s="423"/>
      <c r="F38" s="423"/>
      <c r="G38" s="177"/>
      <c r="H38" s="357"/>
    </row>
    <row r="39" spans="1:11" ht="14">
      <c r="A39" s="174">
        <v>3</v>
      </c>
      <c r="B39" s="423"/>
      <c r="C39" s="423"/>
      <c r="D39" s="423"/>
      <c r="E39" s="423"/>
      <c r="F39" s="423"/>
      <c r="G39" s="177"/>
      <c r="H39" s="357"/>
    </row>
    <row r="40" spans="1:11" ht="14">
      <c r="A40" s="174">
        <v>4</v>
      </c>
      <c r="B40" s="423"/>
      <c r="C40" s="423"/>
      <c r="D40" s="423"/>
      <c r="E40" s="423"/>
      <c r="F40" s="423"/>
      <c r="G40" s="177"/>
      <c r="H40" s="357"/>
    </row>
    <row r="41" spans="1:11" ht="14">
      <c r="A41" s="174">
        <v>5</v>
      </c>
      <c r="B41" s="423"/>
      <c r="C41" s="423"/>
      <c r="D41" s="423"/>
      <c r="E41" s="423"/>
      <c r="F41" s="423"/>
      <c r="G41" s="177"/>
      <c r="H41" s="357"/>
    </row>
    <row r="42" spans="1:11" ht="14">
      <c r="A42" s="174">
        <v>6</v>
      </c>
      <c r="B42" s="423"/>
      <c r="C42" s="423"/>
      <c r="D42" s="423"/>
      <c r="E42" s="423"/>
      <c r="F42" s="423"/>
      <c r="G42" s="177"/>
      <c r="H42" s="357"/>
      <c r="K42" s="181"/>
    </row>
    <row r="43" spans="1:11" ht="14">
      <c r="A43" s="174">
        <v>7</v>
      </c>
      <c r="B43" s="423"/>
      <c r="C43" s="423"/>
      <c r="D43" s="423"/>
      <c r="E43" s="423"/>
      <c r="F43" s="423"/>
      <c r="G43" s="177"/>
      <c r="H43" s="357"/>
      <c r="K43" s="181"/>
    </row>
    <row r="44" spans="1:11" ht="14">
      <c r="A44" s="174">
        <v>8</v>
      </c>
      <c r="B44" s="423"/>
      <c r="C44" s="423"/>
      <c r="D44" s="423"/>
      <c r="E44" s="423"/>
      <c r="F44" s="423"/>
      <c r="G44" s="177"/>
      <c r="H44" s="357"/>
      <c r="K44" s="181"/>
    </row>
    <row r="45" spans="1:11" ht="14">
      <c r="A45" s="174">
        <v>9</v>
      </c>
      <c r="B45" s="423"/>
      <c r="C45" s="423"/>
      <c r="D45" s="423"/>
      <c r="E45" s="423"/>
      <c r="F45" s="423"/>
      <c r="G45" s="177"/>
      <c r="H45" s="357"/>
      <c r="K45" s="181"/>
    </row>
    <row r="46" spans="1:11" ht="14">
      <c r="A46" s="174">
        <v>10</v>
      </c>
      <c r="B46" s="423"/>
      <c r="C46" s="423"/>
      <c r="D46" s="423"/>
      <c r="E46" s="423"/>
      <c r="F46" s="423"/>
      <c r="G46" s="177"/>
      <c r="H46" s="357"/>
      <c r="K46" s="181"/>
    </row>
    <row r="47" spans="1:11" ht="14">
      <c r="A47" s="174">
        <v>11</v>
      </c>
      <c r="B47" s="182"/>
      <c r="C47" s="183"/>
      <c r="D47" s="183"/>
      <c r="E47" s="183"/>
      <c r="F47" s="184"/>
      <c r="G47" s="177"/>
      <c r="H47" s="357"/>
    </row>
    <row r="48" spans="1:11" ht="14">
      <c r="A48" s="174">
        <v>12</v>
      </c>
      <c r="B48" s="423"/>
      <c r="C48" s="423"/>
      <c r="D48" s="423"/>
      <c r="E48" s="423"/>
      <c r="F48" s="423"/>
      <c r="G48" s="177"/>
      <c r="H48" s="357"/>
    </row>
    <row r="49" spans="1:8" ht="14">
      <c r="A49" s="174">
        <v>13</v>
      </c>
      <c r="B49" s="423"/>
      <c r="C49" s="423"/>
      <c r="D49" s="423"/>
      <c r="E49" s="423"/>
      <c r="F49" s="423"/>
      <c r="G49" s="177"/>
      <c r="H49" s="357"/>
    </row>
    <row r="50" spans="1:8" ht="14">
      <c r="A50" s="174">
        <v>14</v>
      </c>
      <c r="B50" s="423"/>
      <c r="C50" s="423"/>
      <c r="D50" s="423"/>
      <c r="E50" s="423"/>
      <c r="F50" s="423"/>
      <c r="G50" s="177"/>
      <c r="H50" s="357"/>
    </row>
    <row r="51" spans="1:8" ht="14">
      <c r="A51" s="174">
        <v>15</v>
      </c>
      <c r="B51" s="424"/>
      <c r="C51" s="425"/>
      <c r="D51" s="425"/>
      <c r="E51" s="425"/>
      <c r="F51" s="426"/>
      <c r="G51" s="185"/>
      <c r="H51" s="357"/>
    </row>
    <row r="52" spans="1:8" ht="9" customHeight="1">
      <c r="H52" s="358"/>
    </row>
    <row r="53" spans="1:8" ht="14.5" thickBot="1">
      <c r="F53" s="121" t="s">
        <v>85</v>
      </c>
      <c r="G53" s="186">
        <f>SUM(G37:G51)</f>
        <v>0</v>
      </c>
      <c r="H53" s="367" t="s">
        <v>588</v>
      </c>
    </row>
    <row r="54" spans="1:8" ht="14.5" thickTop="1"/>
    <row r="55" spans="1:8" ht="15" customHeight="1"/>
    <row r="57" spans="1:8" ht="15" hidden="1" customHeight="1">
      <c r="F57" s="169">
        <f>IF(SER&lt;F68*SERLIMIT,SER,F68*SERLIMIT)</f>
        <v>0</v>
      </c>
    </row>
    <row r="59" spans="1:8" ht="15" hidden="1" customHeight="1">
      <c r="F59" s="169">
        <f>It</f>
        <v>0.5</v>
      </c>
    </row>
    <row r="60" spans="1:8" ht="15" hidden="1" customHeight="1">
      <c r="H60" s="169">
        <f>SUM(F57:F58)*(1+F59/100)*(1+G59/100)</f>
        <v>0</v>
      </c>
    </row>
    <row r="73" spans="6:6" ht="15" hidden="1" customHeight="1">
      <c r="F73" s="169">
        <f>F92</f>
        <v>0</v>
      </c>
    </row>
    <row r="77" spans="6:6" ht="15" hidden="1" customHeight="1">
      <c r="F77" s="169">
        <f>F75*F76</f>
        <v>0</v>
      </c>
    </row>
    <row r="78" spans="6:6" ht="15" hidden="1" customHeight="1">
      <c r="F78" s="169">
        <f>0.01*(F71+F74+F77)*(F66+F67)</f>
        <v>0</v>
      </c>
    </row>
  </sheetData>
  <mergeCells count="29">
    <mergeCell ref="B51:F51"/>
    <mergeCell ref="B37:F37"/>
    <mergeCell ref="B38:F38"/>
    <mergeCell ref="B39:F39"/>
    <mergeCell ref="B40:F40"/>
    <mergeCell ref="B41:F41"/>
    <mergeCell ref="B42:F42"/>
    <mergeCell ref="B43:F43"/>
    <mergeCell ref="B44:F44"/>
    <mergeCell ref="B48:F48"/>
    <mergeCell ref="B49:F49"/>
    <mergeCell ref="B50:F50"/>
    <mergeCell ref="B45:F45"/>
    <mergeCell ref="B46:F46"/>
    <mergeCell ref="B27:F27"/>
    <mergeCell ref="B13:F13"/>
    <mergeCell ref="B14:F14"/>
    <mergeCell ref="B15:F15"/>
    <mergeCell ref="B19:F19"/>
    <mergeCell ref="B20:F20"/>
    <mergeCell ref="B21:F21"/>
    <mergeCell ref="B22:F22"/>
    <mergeCell ref="B23:F23"/>
    <mergeCell ref="B24:F24"/>
    <mergeCell ref="B25:F25"/>
    <mergeCell ref="B26:F26"/>
    <mergeCell ref="B16:F16"/>
    <mergeCell ref="B17:F17"/>
    <mergeCell ref="B18:F18"/>
  </mergeCells>
  <pageMargins left="0.15748031496062992" right="0.15748031496062992" top="0.39370078740157483" bottom="0.59055118110236227" header="0.11811023622047245" footer="0.118110236220472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CC"/>
    <pageSetUpPr fitToPage="1"/>
  </sheetPr>
  <dimension ref="A1:K78"/>
  <sheetViews>
    <sheetView showGridLines="0" view="pageBreakPreview" zoomScale="85" zoomScaleNormal="60" zoomScaleSheetLayoutView="85" workbookViewId="0">
      <selection activeCell="B25" sqref="B25:G25"/>
    </sheetView>
  </sheetViews>
  <sheetFormatPr defaultColWidth="0" defaultRowHeight="0" customHeight="1" zeroHeight="1"/>
  <cols>
    <col min="1" max="1" width="2.3828125" style="169" customWidth="1"/>
    <col min="2" max="2" width="8" style="169" customWidth="1"/>
    <col min="3" max="3" width="13.3828125" style="169" customWidth="1"/>
    <col min="4" max="5" width="8" style="169" customWidth="1"/>
    <col min="6" max="6" width="11.765625" style="169" customWidth="1"/>
    <col min="7" max="7" width="20.3828125" style="169" customWidth="1"/>
    <col min="8" max="8" width="2.3828125" style="169" customWidth="1"/>
    <col min="9" max="9" width="8.61328125" style="169" bestFit="1" customWidth="1"/>
    <col min="10" max="10" width="2.3828125" style="169" customWidth="1"/>
    <col min="11" max="11" width="11.15234375" style="345" bestFit="1" customWidth="1"/>
    <col min="12" max="12" width="2.3828125" style="169" customWidth="1"/>
    <col min="13" max="16384" width="0" style="169" hidden="1"/>
  </cols>
  <sheetData>
    <row r="1" spans="1:11" s="121" customFormat="1" ht="15">
      <c r="A1" s="126"/>
      <c r="E1" s="127"/>
      <c r="K1" s="346"/>
    </row>
    <row r="2" spans="1:11" s="121" customFormat="1" ht="15">
      <c r="A2" s="126" t="str">
        <f>CompName</f>
        <v>Scottish Hydro Electric Transmission Plc</v>
      </c>
      <c r="E2" s="127"/>
      <c r="K2" s="346"/>
    </row>
    <row r="3" spans="1:11" s="121" customFormat="1" ht="13.5">
      <c r="A3" s="128"/>
      <c r="C3" s="121" t="s">
        <v>250</v>
      </c>
      <c r="E3" s="127"/>
      <c r="K3" s="346"/>
    </row>
    <row r="4" spans="1:11" s="121" customFormat="1" ht="15">
      <c r="A4" s="126"/>
      <c r="E4" s="127"/>
      <c r="K4" s="346"/>
    </row>
    <row r="5" spans="1:11" ht="5.15" customHeight="1">
      <c r="K5" s="358"/>
    </row>
    <row r="6" spans="1:11" ht="14">
      <c r="C6" s="175" t="s">
        <v>249</v>
      </c>
      <c r="D6" s="175" t="str">
        <f>RegYr</f>
        <v>Regulatory Year ending 31 March 2020</v>
      </c>
      <c r="K6" s="358"/>
    </row>
    <row r="7" spans="1:11" ht="5.15" customHeight="1">
      <c r="K7" s="358"/>
    </row>
    <row r="8" spans="1:11" ht="14" hidden="1">
      <c r="A8" s="187"/>
      <c r="B8" s="187"/>
      <c r="C8" s="187"/>
      <c r="D8" s="187"/>
      <c r="E8" s="187"/>
      <c r="F8" s="188"/>
      <c r="G8" s="187"/>
      <c r="H8" s="187"/>
      <c r="I8" s="187"/>
      <c r="J8" s="187"/>
      <c r="K8" s="187"/>
    </row>
    <row r="9" spans="1:11" ht="14">
      <c r="A9" s="3"/>
      <c r="B9" s="3"/>
      <c r="C9" s="3"/>
      <c r="D9" s="3"/>
      <c r="E9" s="3"/>
      <c r="F9" s="189"/>
      <c r="G9" s="3"/>
      <c r="H9" s="3"/>
      <c r="I9" s="190" t="s">
        <v>1</v>
      </c>
      <c r="J9" s="3"/>
      <c r="K9" s="368" t="s">
        <v>1</v>
      </c>
    </row>
    <row r="10" spans="1:11" ht="14">
      <c r="A10" s="3"/>
      <c r="B10" s="191" t="s">
        <v>81</v>
      </c>
      <c r="C10" s="3"/>
      <c r="D10" s="3"/>
      <c r="E10" s="3"/>
      <c r="F10" s="189"/>
      <c r="G10" s="3"/>
      <c r="H10" s="3"/>
      <c r="I10" s="190"/>
      <c r="J10" s="3"/>
      <c r="K10" s="368"/>
    </row>
    <row r="11" spans="1:11" s="194" customFormat="1" ht="14">
      <c r="A11" s="3"/>
      <c r="B11" s="169" t="s">
        <v>80</v>
      </c>
      <c r="C11" s="3"/>
      <c r="D11" s="3"/>
      <c r="E11" s="3"/>
      <c r="F11" s="189"/>
      <c r="G11" s="3"/>
      <c r="H11" s="3"/>
      <c r="I11" s="133">
        <f>'R10 Correction'!L10</f>
        <v>0</v>
      </c>
      <c r="J11" s="193"/>
      <c r="K11" s="195"/>
    </row>
    <row r="12" spans="1:11" s="194" customFormat="1" ht="14">
      <c r="A12" s="3"/>
      <c r="B12" s="3"/>
      <c r="C12" s="196"/>
      <c r="D12" s="3"/>
      <c r="E12" s="3"/>
      <c r="F12" s="189"/>
      <c r="G12" s="189"/>
      <c r="H12" s="3"/>
      <c r="I12" s="195"/>
      <c r="J12" s="195"/>
      <c r="K12" s="369">
        <f>SUM(I11:I11)</f>
        <v>0</v>
      </c>
    </row>
    <row r="13" spans="1:11" s="194" customFormat="1" ht="5.15" customHeight="1">
      <c r="A13" s="197"/>
      <c r="B13" s="3"/>
      <c r="C13" s="3"/>
      <c r="D13" s="3"/>
      <c r="E13" s="3"/>
      <c r="F13" s="189"/>
      <c r="G13" s="189"/>
      <c r="H13" s="3"/>
      <c r="I13" s="195"/>
      <c r="J13" s="195"/>
      <c r="K13" s="195"/>
    </row>
    <row r="14" spans="1:11" s="194" customFormat="1" ht="14" hidden="1">
      <c r="A14" s="3"/>
      <c r="B14" s="3"/>
      <c r="C14" s="3"/>
      <c r="D14" s="3"/>
      <c r="E14" s="3"/>
      <c r="F14" s="189"/>
      <c r="G14" s="3"/>
      <c r="H14" s="3"/>
      <c r="I14" s="195"/>
      <c r="J14" s="195"/>
      <c r="K14" s="195"/>
    </row>
    <row r="15" spans="1:11" s="194" customFormat="1" ht="14" hidden="1">
      <c r="A15" s="3"/>
      <c r="B15" s="3"/>
      <c r="C15" s="3"/>
      <c r="D15" s="3"/>
      <c r="E15" s="3"/>
      <c r="F15" s="189"/>
      <c r="G15" s="3"/>
      <c r="H15" s="3"/>
      <c r="I15" s="195"/>
      <c r="J15" s="195"/>
      <c r="K15" s="195"/>
    </row>
    <row r="16" spans="1:11" s="194" customFormat="1" ht="14">
      <c r="A16" s="3"/>
      <c r="B16" s="3" t="s">
        <v>79</v>
      </c>
      <c r="C16" s="3"/>
      <c r="D16" s="3"/>
      <c r="E16" s="3"/>
      <c r="F16" s="189"/>
      <c r="G16" s="3"/>
      <c r="H16" s="3"/>
      <c r="I16" s="195"/>
      <c r="J16" s="195"/>
      <c r="K16" s="195"/>
    </row>
    <row r="17" spans="1:11" s="194" customFormat="1" ht="14">
      <c r="A17" s="3"/>
      <c r="B17" s="3"/>
      <c r="C17" s="3" t="s">
        <v>535</v>
      </c>
      <c r="D17" s="3"/>
      <c r="E17" s="3"/>
      <c r="F17" s="189"/>
      <c r="G17" s="3"/>
      <c r="H17" s="3"/>
      <c r="I17" s="317">
        <f>'R13 Excluded Revenue'!G29</f>
        <v>0</v>
      </c>
      <c r="J17" s="195"/>
      <c r="K17" s="195"/>
    </row>
    <row r="18" spans="1:11" s="194" customFormat="1" ht="14">
      <c r="A18" s="3"/>
      <c r="B18" s="3"/>
      <c r="C18" s="3" t="s">
        <v>78</v>
      </c>
      <c r="D18" s="3"/>
      <c r="E18" s="3"/>
      <c r="F18" s="189"/>
      <c r="G18" s="3"/>
      <c r="H18" s="3"/>
      <c r="I18" s="192"/>
      <c r="J18" s="195"/>
      <c r="K18" s="195"/>
    </row>
    <row r="19" spans="1:11" s="194" customFormat="1" ht="14">
      <c r="A19" s="3"/>
      <c r="B19" s="3"/>
      <c r="C19" s="3" t="s">
        <v>77</v>
      </c>
      <c r="D19" s="3"/>
      <c r="E19" s="3"/>
      <c r="F19" s="189"/>
      <c r="G19" s="3"/>
      <c r="H19" s="3"/>
      <c r="I19" s="133">
        <f>'R13 Excluded Revenue'!G53</f>
        <v>0</v>
      </c>
      <c r="J19" s="195"/>
      <c r="K19" s="195"/>
    </row>
    <row r="20" spans="1:11" s="194" customFormat="1" ht="14">
      <c r="A20" s="3"/>
      <c r="B20" s="3"/>
      <c r="C20" s="3"/>
      <c r="D20" s="3"/>
      <c r="E20" s="3"/>
      <c r="F20" s="189"/>
      <c r="G20" s="3"/>
      <c r="H20" s="3"/>
      <c r="I20" s="195"/>
      <c r="J20" s="195"/>
      <c r="K20" s="369">
        <f>SUM(I17:I19)</f>
        <v>0</v>
      </c>
    </row>
    <row r="21" spans="1:11" s="194" customFormat="1" ht="9" customHeight="1">
      <c r="A21" s="3"/>
      <c r="B21" s="3"/>
      <c r="C21" s="3"/>
      <c r="D21" s="3"/>
      <c r="E21" s="3"/>
      <c r="F21" s="189"/>
      <c r="G21" s="3"/>
      <c r="H21" s="3"/>
      <c r="I21" s="195"/>
      <c r="J21" s="195"/>
      <c r="K21" s="195"/>
    </row>
    <row r="22" spans="1:11" s="194" customFormat="1" ht="14">
      <c r="A22" s="3"/>
      <c r="B22" s="3" t="s">
        <v>76</v>
      </c>
      <c r="C22" s="3"/>
      <c r="D22" s="3"/>
      <c r="E22" s="3"/>
      <c r="F22" s="189"/>
      <c r="G22" s="3"/>
      <c r="H22" s="3"/>
      <c r="I22" s="195"/>
      <c r="J22" s="195"/>
      <c r="K22" s="195"/>
    </row>
    <row r="23" spans="1:11" s="194" customFormat="1" ht="14">
      <c r="A23" s="3"/>
      <c r="B23" s="3" t="s">
        <v>75</v>
      </c>
      <c r="C23" s="3"/>
      <c r="D23" s="3"/>
      <c r="E23" s="3"/>
      <c r="F23" s="189"/>
      <c r="G23" s="3"/>
      <c r="H23" s="3"/>
      <c r="I23" s="195"/>
      <c r="J23" s="195"/>
      <c r="K23" s="195"/>
    </row>
    <row r="24" spans="1:11" s="194" customFormat="1" ht="5.15" customHeight="1">
      <c r="A24" s="3"/>
      <c r="B24" s="3"/>
      <c r="C24" s="3"/>
      <c r="D24" s="3"/>
      <c r="E24" s="3"/>
      <c r="F24" s="189"/>
      <c r="G24" s="3"/>
      <c r="H24" s="3"/>
      <c r="I24" s="195"/>
      <c r="J24" s="195"/>
      <c r="K24" s="195"/>
    </row>
    <row r="25" spans="1:11" s="194" customFormat="1" ht="15" customHeight="1">
      <c r="A25" s="3"/>
      <c r="B25" s="433"/>
      <c r="C25" s="434"/>
      <c r="D25" s="434"/>
      <c r="E25" s="434"/>
      <c r="F25" s="434"/>
      <c r="G25" s="434"/>
      <c r="H25" s="3"/>
      <c r="I25" s="198"/>
      <c r="J25" s="195"/>
      <c r="K25" s="195"/>
    </row>
    <row r="26" spans="1:11" s="194" customFormat="1" ht="15" customHeight="1">
      <c r="A26" s="3"/>
      <c r="B26" s="433"/>
      <c r="C26" s="434"/>
      <c r="D26" s="434"/>
      <c r="E26" s="434"/>
      <c r="F26" s="434"/>
      <c r="G26" s="434"/>
      <c r="H26" s="3"/>
      <c r="I26" s="63"/>
      <c r="J26" s="195"/>
      <c r="K26" s="195"/>
    </row>
    <row r="27" spans="1:11" s="194" customFormat="1" ht="15" customHeight="1">
      <c r="A27" s="3"/>
      <c r="B27" s="433"/>
      <c r="C27" s="434"/>
      <c r="D27" s="434"/>
      <c r="E27" s="434"/>
      <c r="F27" s="434"/>
      <c r="G27" s="434"/>
      <c r="H27" s="199"/>
      <c r="I27" s="63"/>
      <c r="J27" s="195"/>
      <c r="K27" s="195"/>
    </row>
    <row r="28" spans="1:11" s="194" customFormat="1" ht="15" customHeight="1">
      <c r="A28" s="3"/>
      <c r="B28" s="433"/>
      <c r="C28" s="438"/>
      <c r="D28" s="438"/>
      <c r="E28" s="438"/>
      <c r="F28" s="438"/>
      <c r="G28" s="438"/>
      <c r="H28" s="199"/>
      <c r="I28" s="63"/>
      <c r="J28" s="195"/>
      <c r="K28" s="195"/>
    </row>
    <row r="29" spans="1:11" s="194" customFormat="1" ht="15" customHeight="1">
      <c r="A29" s="3"/>
      <c r="B29" s="435"/>
      <c r="C29" s="436"/>
      <c r="D29" s="436"/>
      <c r="E29" s="436"/>
      <c r="F29" s="436"/>
      <c r="G29" s="437"/>
      <c r="H29" s="3"/>
      <c r="I29" s="63"/>
      <c r="J29" s="195"/>
      <c r="K29" s="195"/>
    </row>
    <row r="30" spans="1:11" s="194" customFormat="1" ht="15" customHeight="1">
      <c r="A30" s="3"/>
      <c r="B30" s="435"/>
      <c r="C30" s="436"/>
      <c r="D30" s="436"/>
      <c r="E30" s="436"/>
      <c r="F30" s="436"/>
      <c r="G30" s="437"/>
      <c r="H30" s="199"/>
      <c r="I30" s="63"/>
      <c r="J30" s="195"/>
      <c r="K30" s="195"/>
    </row>
    <row r="31" spans="1:11" s="194" customFormat="1" ht="15" customHeight="1">
      <c r="A31" s="3"/>
      <c r="B31" s="435"/>
      <c r="C31" s="436"/>
      <c r="D31" s="436"/>
      <c r="E31" s="436"/>
      <c r="F31" s="436"/>
      <c r="G31" s="437"/>
      <c r="H31" s="3"/>
      <c r="I31" s="63"/>
      <c r="J31" s="195"/>
      <c r="K31" s="195"/>
    </row>
    <row r="32" spans="1:11" s="194" customFormat="1" ht="14">
      <c r="A32" s="3"/>
      <c r="B32" s="435"/>
      <c r="C32" s="436"/>
      <c r="D32" s="436"/>
      <c r="E32" s="436"/>
      <c r="F32" s="436"/>
      <c r="G32" s="437"/>
      <c r="H32" s="199"/>
      <c r="I32" s="63"/>
      <c r="J32" s="195"/>
      <c r="K32" s="195"/>
    </row>
    <row r="33" spans="1:11" s="194" customFormat="1" ht="14">
      <c r="A33" s="3"/>
      <c r="B33" s="435"/>
      <c r="C33" s="436"/>
      <c r="D33" s="436"/>
      <c r="E33" s="436"/>
      <c r="F33" s="436"/>
      <c r="G33" s="437"/>
      <c r="H33" s="199"/>
      <c r="I33" s="63"/>
      <c r="J33" s="195"/>
      <c r="K33" s="195"/>
    </row>
    <row r="34" spans="1:11" s="194" customFormat="1" ht="15" customHeight="1">
      <c r="A34" s="3"/>
      <c r="B34" s="435"/>
      <c r="C34" s="436"/>
      <c r="D34" s="436"/>
      <c r="E34" s="436"/>
      <c r="F34" s="436"/>
      <c r="G34" s="437"/>
      <c r="H34" s="3"/>
      <c r="I34" s="63"/>
      <c r="J34" s="195"/>
      <c r="K34" s="195"/>
    </row>
    <row r="35" spans="1:11" s="194" customFormat="1" ht="14">
      <c r="A35" s="3"/>
      <c r="B35" s="3"/>
      <c r="C35" s="3"/>
      <c r="D35" s="3"/>
      <c r="E35" s="3"/>
      <c r="F35" s="189"/>
      <c r="G35" s="3"/>
      <c r="H35" s="3"/>
      <c r="I35" s="195"/>
      <c r="J35" s="195"/>
      <c r="K35" s="369">
        <f>SUM(I25:I34)</f>
        <v>0</v>
      </c>
    </row>
    <row r="36" spans="1:11" s="194" customFormat="1" ht="14">
      <c r="A36" s="3"/>
      <c r="B36" s="3"/>
      <c r="C36" s="3"/>
      <c r="D36" s="3"/>
      <c r="E36" s="3"/>
      <c r="F36" s="3"/>
      <c r="G36" s="3"/>
      <c r="H36" s="3"/>
      <c r="I36" s="193"/>
      <c r="J36" s="195"/>
      <c r="K36" s="195"/>
    </row>
    <row r="37" spans="1:11" s="194" customFormat="1" ht="14.5" thickBot="1">
      <c r="A37" s="3"/>
      <c r="B37" s="3"/>
      <c r="C37" s="191"/>
      <c r="D37" s="191"/>
      <c r="E37" s="3"/>
      <c r="F37" s="189"/>
      <c r="G37" s="203" t="s">
        <v>382</v>
      </c>
      <c r="H37" s="3"/>
      <c r="I37" s="195"/>
      <c r="J37" s="195"/>
      <c r="K37" s="370">
        <f>K12+K20+K35</f>
        <v>0</v>
      </c>
    </row>
    <row r="38" spans="1:11" s="194" customFormat="1" ht="14.5" thickTop="1">
      <c r="A38" s="3"/>
      <c r="B38" s="3"/>
      <c r="C38" s="3"/>
      <c r="D38" s="3"/>
      <c r="E38" s="3"/>
      <c r="F38" s="189"/>
      <c r="G38" s="3"/>
      <c r="H38" s="3"/>
      <c r="I38" s="200"/>
      <c r="J38" s="200"/>
      <c r="K38" s="359"/>
    </row>
    <row r="39" spans="1:11" s="194" customFormat="1" ht="14">
      <c r="A39" s="3"/>
      <c r="B39" s="3"/>
      <c r="C39" s="3"/>
      <c r="D39" s="3"/>
      <c r="E39" s="3"/>
      <c r="F39" s="189"/>
      <c r="G39" s="3"/>
      <c r="H39" s="3"/>
      <c r="I39" s="201"/>
      <c r="J39" s="201"/>
      <c r="K39" s="360"/>
    </row>
    <row r="40" spans="1:11" s="194" customFormat="1" ht="14">
      <c r="A40" s="3"/>
      <c r="B40" s="3"/>
      <c r="C40" s="3"/>
      <c r="D40" s="3"/>
      <c r="E40" s="3"/>
      <c r="F40" s="189"/>
      <c r="G40" s="3"/>
      <c r="H40" s="3"/>
      <c r="I40" s="201"/>
      <c r="J40" s="201"/>
      <c r="K40" s="360"/>
    </row>
    <row r="41" spans="1:11" s="194" customFormat="1" ht="14">
      <c r="A41" s="202" t="s">
        <v>74</v>
      </c>
      <c r="B41" s="3"/>
      <c r="C41" s="3"/>
      <c r="D41" s="3"/>
      <c r="E41" s="3"/>
      <c r="F41" s="189"/>
      <c r="G41" s="3"/>
      <c r="H41" s="3"/>
      <c r="I41" s="201"/>
      <c r="J41" s="201"/>
      <c r="K41" s="360"/>
    </row>
    <row r="42" spans="1:11" ht="14">
      <c r="A42" s="3"/>
      <c r="B42" s="3"/>
      <c r="C42" s="3"/>
      <c r="D42" s="3"/>
      <c r="E42" s="3"/>
      <c r="F42" s="189"/>
      <c r="G42" s="3"/>
      <c r="H42" s="3"/>
      <c r="I42" s="3"/>
      <c r="J42" s="3"/>
      <c r="K42" s="187"/>
    </row>
    <row r="43" spans="1:11" ht="14">
      <c r="A43" s="430"/>
      <c r="B43" s="430"/>
      <c r="C43" s="430"/>
      <c r="D43" s="430"/>
      <c r="E43" s="430"/>
      <c r="F43" s="430"/>
      <c r="G43" s="431"/>
      <c r="H43" s="431"/>
      <c r="I43" s="431"/>
      <c r="J43" s="431"/>
      <c r="K43" s="432"/>
    </row>
    <row r="44" spans="1:11" ht="14">
      <c r="A44" s="430"/>
      <c r="B44" s="430"/>
      <c r="C44" s="430"/>
      <c r="D44" s="430"/>
      <c r="E44" s="430"/>
      <c r="F44" s="430"/>
      <c r="G44" s="431"/>
      <c r="H44" s="431"/>
      <c r="I44" s="431"/>
      <c r="J44" s="431"/>
      <c r="K44" s="432"/>
    </row>
    <row r="45" spans="1:11" ht="14">
      <c r="A45" s="427"/>
      <c r="B45" s="427"/>
      <c r="C45" s="427"/>
      <c r="D45" s="427"/>
      <c r="E45" s="427"/>
      <c r="F45" s="427"/>
      <c r="G45" s="428"/>
      <c r="H45" s="428"/>
      <c r="I45" s="428"/>
      <c r="J45" s="428"/>
      <c r="K45" s="429"/>
    </row>
    <row r="46" spans="1:11" ht="14">
      <c r="A46" s="427"/>
      <c r="B46" s="427"/>
      <c r="C46" s="427"/>
      <c r="D46" s="427"/>
      <c r="E46" s="427"/>
      <c r="F46" s="427"/>
      <c r="G46" s="428"/>
      <c r="H46" s="428"/>
      <c r="I46" s="428"/>
      <c r="J46" s="428"/>
      <c r="K46" s="429"/>
    </row>
    <row r="47" spans="1:11" ht="14">
      <c r="A47" s="427"/>
      <c r="B47" s="427"/>
      <c r="C47" s="427"/>
      <c r="D47" s="427"/>
      <c r="E47" s="427"/>
      <c r="F47" s="427"/>
      <c r="G47" s="428"/>
      <c r="H47" s="428"/>
      <c r="I47" s="428"/>
      <c r="J47" s="428"/>
      <c r="K47" s="429"/>
    </row>
    <row r="48" spans="1:11" ht="14">
      <c r="A48" s="427"/>
      <c r="B48" s="427"/>
      <c r="C48" s="427"/>
      <c r="D48" s="427"/>
      <c r="E48" s="427"/>
      <c r="F48" s="427"/>
      <c r="G48" s="428"/>
      <c r="H48" s="428"/>
      <c r="I48" s="428"/>
      <c r="J48" s="428"/>
      <c r="K48" s="429"/>
    </row>
    <row r="49" spans="1:11" ht="14">
      <c r="A49" s="427"/>
      <c r="B49" s="427"/>
      <c r="C49" s="427"/>
      <c r="D49" s="427"/>
      <c r="E49" s="427"/>
      <c r="F49" s="427"/>
      <c r="G49" s="428"/>
      <c r="H49" s="428"/>
      <c r="I49" s="428"/>
      <c r="J49" s="428"/>
      <c r="K49" s="429"/>
    </row>
    <row r="50" spans="1:11" ht="14">
      <c r="K50" s="358"/>
    </row>
    <row r="51" spans="1:11" ht="14">
      <c r="K51" s="358"/>
    </row>
    <row r="52" spans="1:11" ht="15" customHeight="1">
      <c r="K52" s="358"/>
    </row>
    <row r="53" spans="1:11" ht="15" customHeight="1">
      <c r="K53" s="358"/>
    </row>
    <row r="54" spans="1:11" ht="15" customHeight="1">
      <c r="K54" s="358"/>
    </row>
    <row r="55" spans="1:11" ht="15" customHeight="1">
      <c r="K55" s="358"/>
    </row>
    <row r="56" spans="1:11" ht="15" customHeight="1">
      <c r="K56" s="358"/>
    </row>
    <row r="57" spans="1:11" ht="15" customHeight="1">
      <c r="K57" s="358"/>
    </row>
    <row r="59" spans="1:11" ht="0" hidden="1" customHeight="1">
      <c r="F59" s="169">
        <f>It</f>
        <v>0.5</v>
      </c>
    </row>
    <row r="60" spans="1:11" ht="0" hidden="1" customHeight="1">
      <c r="H60" s="169">
        <f>SUM(F57:F58)*(1+F59/100)*(1+G59/100)</f>
        <v>0</v>
      </c>
    </row>
    <row r="73" spans="6:6" ht="0" hidden="1" customHeight="1">
      <c r="F73" s="169">
        <f>F92</f>
        <v>0</v>
      </c>
    </row>
    <row r="77" spans="6:6" ht="0" hidden="1" customHeight="1">
      <c r="F77" s="169">
        <f>F75*F76</f>
        <v>0</v>
      </c>
    </row>
    <row r="78" spans="6:6" ht="0" hidden="1" customHeight="1">
      <c r="F78" s="169">
        <f>0.01*(F71+F74+F77)*(F66+F67)</f>
        <v>0</v>
      </c>
    </row>
  </sheetData>
  <mergeCells count="17">
    <mergeCell ref="B25:G25"/>
    <mergeCell ref="B26:G26"/>
    <mergeCell ref="B31:G31"/>
    <mergeCell ref="B34:G34"/>
    <mergeCell ref="B30:G30"/>
    <mergeCell ref="B27:G27"/>
    <mergeCell ref="B28:G28"/>
    <mergeCell ref="B29:G29"/>
    <mergeCell ref="B32:G32"/>
    <mergeCell ref="B33:G33"/>
    <mergeCell ref="A48:K48"/>
    <mergeCell ref="A43:K43"/>
    <mergeCell ref="A49:K49"/>
    <mergeCell ref="A44:K44"/>
    <mergeCell ref="A45:K45"/>
    <mergeCell ref="A46:K46"/>
    <mergeCell ref="A47:K47"/>
  </mergeCells>
  <pageMargins left="0.15748031496062992" right="0.15748031496062992" top="0.59055118110236227" bottom="0.59055118110236227" header="0.11811023622047245" footer="0.11811023622047245"/>
  <pageSetup paperSize="9" scale="93" orientation="portrait" r:id="rId1"/>
  <headerFooter alignWithMargins="0">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I79"/>
  <sheetViews>
    <sheetView showGridLines="0" tabSelected="1" view="pageBreakPreview" zoomScaleSheetLayoutView="100" workbookViewId="0">
      <pane ySplit="4" topLeftCell="A5" activePane="bottomLeft" state="frozen"/>
      <selection activeCell="H27" sqref="H27"/>
      <selection pane="bottomLeft" activeCell="C7" sqref="C7"/>
    </sheetView>
  </sheetViews>
  <sheetFormatPr defaultColWidth="0" defaultRowHeight="12.75" customHeight="1" zeroHeight="1"/>
  <cols>
    <col min="1" max="1" width="2.61328125" style="9" customWidth="1"/>
    <col min="2" max="2" width="13.4609375" style="9" bestFit="1" customWidth="1"/>
    <col min="3" max="3" width="65.23046875" style="9" customWidth="1"/>
    <col min="4" max="4" width="13.765625" style="9" customWidth="1"/>
    <col min="5" max="5" width="26.765625" style="9" bestFit="1" customWidth="1"/>
    <col min="6" max="6" width="9" style="20" hidden="1" customWidth="1"/>
    <col min="7" max="9" width="9" style="9" hidden="1" customWidth="1"/>
    <col min="10" max="16384" width="9" style="9" hidden="1"/>
  </cols>
  <sheetData>
    <row r="1" spans="1:9" ht="57" customHeight="1">
      <c r="A1" s="439"/>
      <c r="B1" s="440"/>
      <c r="C1" s="440"/>
    </row>
    <row r="2" spans="1:9" s="5" customFormat="1" ht="17.5">
      <c r="B2" s="4" t="s">
        <v>90</v>
      </c>
      <c r="D2" s="6"/>
      <c r="F2" s="7"/>
    </row>
    <row r="3" spans="1:9" s="5" customFormat="1" ht="17.5">
      <c r="B3" s="4" t="str">
        <f>CompName</f>
        <v>Scottish Hydro Electric Transmission Plc</v>
      </c>
      <c r="D3" s="6"/>
      <c r="F3" s="7"/>
    </row>
    <row r="4" spans="1:9" s="5" customFormat="1" ht="13.5">
      <c r="B4" s="8" t="str">
        <f>'R5 Input page'!F7</f>
        <v>Regulatory Year ending 31 March 2020</v>
      </c>
      <c r="F4" s="7"/>
    </row>
    <row r="5" spans="1:9" ht="15">
      <c r="B5" s="4"/>
      <c r="C5" s="5"/>
      <c r="D5" s="5"/>
      <c r="E5" s="5"/>
      <c r="F5" s="7"/>
      <c r="G5" s="5"/>
      <c r="H5" s="5"/>
      <c r="I5" s="5"/>
    </row>
    <row r="6" spans="1:9" ht="15">
      <c r="B6" s="4" t="s">
        <v>91</v>
      </c>
      <c r="C6" s="10"/>
      <c r="D6" s="10"/>
      <c r="E6" s="11"/>
      <c r="F6" s="12"/>
      <c r="G6" s="13"/>
      <c r="H6" s="10"/>
      <c r="I6" s="10"/>
    </row>
    <row r="7" spans="1:9" ht="14">
      <c r="B7" s="11"/>
      <c r="C7" s="10"/>
      <c r="D7" s="10"/>
      <c r="E7" s="10"/>
      <c r="F7" s="12"/>
      <c r="G7" s="11"/>
      <c r="H7" s="11"/>
      <c r="I7" s="5"/>
    </row>
    <row r="8" spans="1:9" ht="54">
      <c r="B8" s="5"/>
      <c r="C8" s="14" t="s">
        <v>600</v>
      </c>
      <c r="D8" s="10"/>
      <c r="E8" s="10"/>
      <c r="F8" s="15"/>
      <c r="G8" s="10"/>
      <c r="H8" s="10"/>
      <c r="I8" s="5"/>
    </row>
    <row r="9" spans="1:9" ht="94.5">
      <c r="B9" s="5"/>
      <c r="C9" s="16" t="s">
        <v>92</v>
      </c>
      <c r="D9" s="10"/>
      <c r="E9" s="10"/>
      <c r="F9" s="15"/>
      <c r="G9" s="10"/>
      <c r="H9" s="10"/>
      <c r="I9" s="5"/>
    </row>
    <row r="10" spans="1:9" ht="13.5">
      <c r="B10" s="5"/>
      <c r="C10" s="16"/>
      <c r="D10" s="10"/>
      <c r="E10" s="10"/>
      <c r="F10" s="15"/>
      <c r="G10" s="10"/>
      <c r="H10" s="10">
        <f>SSO</f>
        <v>0</v>
      </c>
      <c r="I10" s="5"/>
    </row>
    <row r="11" spans="1:9" ht="14">
      <c r="B11" s="11"/>
      <c r="C11" s="68"/>
      <c r="D11" s="10"/>
      <c r="E11" s="10"/>
      <c r="F11" s="15"/>
      <c r="G11" s="10"/>
      <c r="H11" s="10"/>
      <c r="I11" s="10"/>
    </row>
    <row r="12" spans="1:9" ht="13.5">
      <c r="B12" s="17"/>
      <c r="C12" s="10" t="s">
        <v>93</v>
      </c>
      <c r="D12" s="18"/>
      <c r="E12" s="10" t="s">
        <v>94</v>
      </c>
      <c r="F12" s="7"/>
      <c r="G12" s="10"/>
      <c r="H12" s="10"/>
      <c r="I12" s="10"/>
    </row>
    <row r="13" spans="1:9" ht="13.5">
      <c r="B13" s="77"/>
      <c r="C13" s="10" t="s">
        <v>387</v>
      </c>
      <c r="D13" s="58"/>
      <c r="E13" s="10" t="s">
        <v>95</v>
      </c>
      <c r="F13" s="7"/>
      <c r="G13" s="10"/>
      <c r="H13" s="10"/>
      <c r="I13" s="10"/>
    </row>
    <row r="14" spans="1:9" ht="13.5">
      <c r="A14" s="10"/>
      <c r="B14" s="10"/>
      <c r="C14" s="10"/>
      <c r="D14" s="10"/>
      <c r="E14" s="10"/>
      <c r="F14" s="15"/>
      <c r="G14" s="10"/>
      <c r="H14" s="10"/>
      <c r="I14" s="10"/>
    </row>
    <row r="15" spans="1:9" ht="13.5" hidden="1">
      <c r="B15" s="5"/>
      <c r="C15" s="5"/>
      <c r="D15" s="5"/>
      <c r="E15" s="5"/>
      <c r="F15" s="7"/>
      <c r="G15" s="5"/>
      <c r="H15" s="5"/>
      <c r="I15" s="5"/>
    </row>
    <row r="16" spans="1:9" ht="13.5" hidden="1"/>
    <row r="17" spans="2:8" ht="13.5" hidden="1"/>
    <row r="18" spans="2:8" ht="13.5" hidden="1"/>
    <row r="19" spans="2:8" ht="13.5" hidden="1"/>
    <row r="20" spans="2:8" ht="13.5" hidden="1"/>
    <row r="21" spans="2:8" ht="13.5" hidden="1"/>
    <row r="22" spans="2:8" ht="13.5" hidden="1"/>
    <row r="23" spans="2:8" ht="13.5" hidden="1"/>
    <row r="24" spans="2:8" ht="13.5" hidden="1"/>
    <row r="25" spans="2:8" ht="13.5" hidden="1"/>
    <row r="26" spans="2:8" ht="13.5" hidden="1"/>
    <row r="27" spans="2:8" ht="13.5">
      <c r="B27" s="10"/>
      <c r="C27" s="10"/>
      <c r="D27" s="10"/>
      <c r="E27" s="10"/>
    </row>
    <row r="28" spans="2:8" ht="12.75" customHeight="1">
      <c r="H28" s="9">
        <f>H23*MIN( H24+H25,H26*H27)</f>
        <v>0</v>
      </c>
    </row>
    <row r="58" spans="6:8" ht="12.75" hidden="1" customHeight="1">
      <c r="F58" s="20">
        <f>IF(SER&lt;F69*SERLIMIT,SER,F69*SERLIMIT)</f>
        <v>0</v>
      </c>
    </row>
    <row r="60" spans="6:8" ht="12.75" hidden="1" customHeight="1">
      <c r="F60" s="20">
        <f>It</f>
        <v>0.5</v>
      </c>
    </row>
    <row r="61" spans="6:8" ht="12.75" hidden="1" customHeight="1">
      <c r="H61" s="9">
        <f>SUM(F58:F59)*(1+F60/100)*(1+G60/100)</f>
        <v>0</v>
      </c>
    </row>
    <row r="65" spans="6:6" ht="12.75" customHeight="1"/>
    <row r="74" spans="6:6" ht="12.75" hidden="1" customHeight="1">
      <c r="F74" s="20">
        <f>F93</f>
        <v>0</v>
      </c>
    </row>
    <row r="78" spans="6:6" ht="12.75" hidden="1" customHeight="1">
      <c r="F78" s="20">
        <f>F76*F77</f>
        <v>0</v>
      </c>
    </row>
    <row r="79" spans="6:6" ht="12.75" hidden="1" customHeight="1">
      <c r="F79" s="20">
        <f>0.01*(F72+F75+F78)*(F67+F68)</f>
        <v>0</v>
      </c>
    </row>
  </sheetData>
  <sheetProtection formatCells="0" formatColumns="0" formatRows="0" insertHyperlinks="0" autoFilter="0" pivotTables="0"/>
  <mergeCells count="1">
    <mergeCell ref="A1:C1"/>
  </mergeCells>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N81"/>
  <sheetViews>
    <sheetView topLeftCell="A7" workbookViewId="0"/>
  </sheetViews>
  <sheetFormatPr defaultColWidth="0" defaultRowHeight="12.75" customHeight="1" zeroHeight="1"/>
  <cols>
    <col min="1" max="1" width="20.3828125" style="27" customWidth="1"/>
    <col min="2" max="4" width="9" style="27" customWidth="1"/>
    <col min="5" max="5" width="9" style="28" customWidth="1"/>
    <col min="6" max="14" width="9" style="27" customWidth="1"/>
    <col min="15" max="16384" width="9" style="27" hidden="1"/>
  </cols>
  <sheetData>
    <row r="1" spans="1:14" s="22" customFormat="1" ht="17.5">
      <c r="A1" s="21" t="s">
        <v>96</v>
      </c>
      <c r="C1" s="23"/>
      <c r="E1" s="24"/>
    </row>
    <row r="2" spans="1:14" s="22" customFormat="1" ht="17.5">
      <c r="A2" s="21" t="str">
        <f>CompName</f>
        <v>Scottish Hydro Electric Transmission Plc</v>
      </c>
      <c r="C2" s="23"/>
      <c r="E2" s="24"/>
    </row>
    <row r="3" spans="1:14" s="22" customFormat="1" ht="13.5">
      <c r="A3" s="8" t="str">
        <f>'R5 Input page'!F7</f>
        <v>Regulatory Year ending 31 March 2020</v>
      </c>
      <c r="E3" s="24"/>
    </row>
    <row r="4" spans="1:14" ht="13.5">
      <c r="A4" s="25"/>
      <c r="B4" s="25"/>
      <c r="C4" s="25"/>
      <c r="D4" s="25"/>
      <c r="E4" s="26"/>
      <c r="F4" s="25"/>
      <c r="G4" s="25"/>
      <c r="H4" s="25"/>
      <c r="I4" s="25"/>
      <c r="J4" s="25"/>
      <c r="K4" s="25"/>
      <c r="L4" s="25"/>
      <c r="M4" s="25"/>
      <c r="N4" s="25"/>
    </row>
    <row r="5" spans="1:14" ht="13.5">
      <c r="A5" s="25"/>
      <c r="B5" s="25"/>
      <c r="C5" s="25"/>
      <c r="D5" s="25"/>
      <c r="E5" s="26"/>
      <c r="F5" s="25"/>
      <c r="G5" s="25"/>
      <c r="H5" s="25"/>
      <c r="I5" s="25"/>
      <c r="J5" s="25"/>
      <c r="K5" s="25"/>
      <c r="L5" s="25"/>
      <c r="M5" s="25"/>
      <c r="N5" s="25"/>
    </row>
    <row r="6" spans="1:14" ht="13.5">
      <c r="A6" s="25"/>
      <c r="B6" s="25"/>
      <c r="C6" s="25"/>
      <c r="D6" s="25"/>
      <c r="E6" s="26"/>
      <c r="F6" s="25"/>
      <c r="G6" s="25"/>
      <c r="H6" s="25"/>
      <c r="I6" s="25"/>
      <c r="J6" s="25"/>
      <c r="K6" s="25"/>
      <c r="L6" s="25"/>
      <c r="M6" s="25"/>
      <c r="N6" s="25"/>
    </row>
    <row r="7" spans="1:14" ht="13.5">
      <c r="A7" s="25"/>
      <c r="B7" s="25"/>
      <c r="C7" s="25"/>
      <c r="D7" s="25"/>
      <c r="E7" s="26"/>
      <c r="F7" s="25"/>
      <c r="G7" s="25"/>
      <c r="H7" s="25"/>
      <c r="I7" s="25"/>
      <c r="J7" s="25"/>
      <c r="K7" s="25"/>
      <c r="L7" s="25"/>
      <c r="M7" s="25"/>
      <c r="N7" s="25"/>
    </row>
    <row r="8" spans="1:14" ht="13.5">
      <c r="A8" s="25"/>
      <c r="B8" s="25"/>
      <c r="C8" s="25"/>
      <c r="D8" s="25"/>
      <c r="E8" s="26"/>
      <c r="F8" s="25"/>
      <c r="G8" s="25"/>
      <c r="H8" s="25"/>
      <c r="I8" s="25"/>
      <c r="J8" s="25"/>
      <c r="K8" s="25"/>
      <c r="L8" s="25"/>
      <c r="M8" s="25"/>
      <c r="N8" s="25"/>
    </row>
    <row r="9" spans="1:14" ht="13.5">
      <c r="A9" s="25"/>
      <c r="B9" s="25"/>
      <c r="C9" s="25"/>
      <c r="D9" s="25"/>
      <c r="E9" s="26"/>
      <c r="F9" s="25"/>
      <c r="G9" s="25"/>
      <c r="H9" s="25"/>
      <c r="I9" s="25"/>
      <c r="J9" s="25"/>
      <c r="K9" s="25"/>
      <c r="L9" s="25"/>
      <c r="M9" s="25"/>
      <c r="N9" s="25"/>
    </row>
    <row r="10" spans="1:14" ht="13.5">
      <c r="A10" s="25"/>
      <c r="B10" s="25"/>
      <c r="C10" s="25"/>
      <c r="D10" s="25"/>
      <c r="E10" s="26"/>
      <c r="F10" s="25"/>
      <c r="G10" s="25"/>
      <c r="H10" s="25"/>
      <c r="I10" s="25"/>
      <c r="J10" s="25"/>
      <c r="K10" s="25"/>
      <c r="L10" s="25"/>
      <c r="M10" s="25"/>
      <c r="N10" s="25"/>
    </row>
    <row r="11" spans="1:14" ht="13.5">
      <c r="A11" s="25"/>
      <c r="B11" s="25"/>
      <c r="C11" s="25"/>
      <c r="D11" s="25"/>
      <c r="E11" s="26"/>
      <c r="F11" s="25"/>
      <c r="G11" s="25"/>
      <c r="H11" s="25"/>
      <c r="I11" s="25"/>
      <c r="J11" s="25"/>
      <c r="K11" s="25"/>
      <c r="L11" s="25"/>
      <c r="M11" s="25"/>
      <c r="N11" s="25"/>
    </row>
    <row r="12" spans="1:14" ht="13.5">
      <c r="A12" s="25"/>
      <c r="B12" s="25"/>
      <c r="C12" s="25"/>
      <c r="D12" s="25"/>
      <c r="E12" s="26"/>
      <c r="F12" s="25"/>
      <c r="G12" s="25"/>
      <c r="H12" s="25"/>
      <c r="I12" s="25"/>
      <c r="J12" s="25"/>
      <c r="K12" s="25"/>
      <c r="L12" s="25"/>
      <c r="M12" s="25"/>
      <c r="N12" s="25"/>
    </row>
    <row r="13" spans="1:14" ht="13.5">
      <c r="A13" s="25"/>
      <c r="B13" s="25"/>
      <c r="C13" s="25"/>
      <c r="D13" s="25"/>
      <c r="E13" s="26"/>
      <c r="F13" s="25"/>
      <c r="G13" s="25"/>
      <c r="H13" s="25"/>
      <c r="I13" s="25"/>
      <c r="J13" s="25"/>
      <c r="K13" s="25"/>
      <c r="L13" s="25"/>
      <c r="M13" s="25"/>
      <c r="N13" s="25"/>
    </row>
    <row r="14" spans="1:14" ht="13.5">
      <c r="A14" s="25"/>
      <c r="B14" s="25"/>
      <c r="C14" s="25"/>
      <c r="D14" s="25"/>
      <c r="E14" s="26"/>
      <c r="F14" s="25"/>
      <c r="G14" s="25"/>
      <c r="H14" s="25"/>
      <c r="I14" s="25"/>
      <c r="J14" s="25"/>
      <c r="K14" s="25"/>
      <c r="L14" s="25"/>
      <c r="M14" s="25"/>
      <c r="N14" s="25"/>
    </row>
    <row r="15" spans="1:14" ht="13.5">
      <c r="A15" s="25"/>
      <c r="B15" s="25"/>
      <c r="C15" s="25"/>
      <c r="D15" s="25"/>
      <c r="E15" s="26"/>
      <c r="F15" s="25"/>
      <c r="G15" s="25"/>
      <c r="H15" s="25"/>
      <c r="I15" s="25"/>
      <c r="J15" s="25"/>
      <c r="K15" s="25"/>
      <c r="L15" s="25"/>
      <c r="M15" s="25"/>
      <c r="N15" s="25"/>
    </row>
    <row r="16" spans="1:14" ht="13.5">
      <c r="A16" s="25"/>
      <c r="B16" s="25"/>
      <c r="C16" s="25"/>
      <c r="D16" s="25"/>
      <c r="E16" s="26"/>
      <c r="F16" s="25"/>
      <c r="G16" s="25"/>
      <c r="H16" s="25"/>
      <c r="I16" s="25"/>
      <c r="J16" s="25"/>
      <c r="K16" s="25"/>
      <c r="L16" s="25"/>
      <c r="M16" s="25"/>
      <c r="N16" s="25"/>
    </row>
    <row r="17" spans="1:14" ht="23">
      <c r="A17" s="25"/>
      <c r="B17" s="25"/>
      <c r="C17" s="25"/>
      <c r="D17" s="25"/>
      <c r="E17" s="26"/>
      <c r="F17" s="25"/>
      <c r="G17" s="25"/>
      <c r="H17" s="25"/>
      <c r="I17" s="25"/>
      <c r="J17" s="25"/>
      <c r="K17" s="52"/>
      <c r="L17" s="25"/>
      <c r="M17" s="25"/>
      <c r="N17" s="25"/>
    </row>
    <row r="18" spans="1:14" ht="13.5">
      <c r="A18" s="25"/>
      <c r="B18" s="25"/>
      <c r="C18" s="25"/>
      <c r="D18" s="25"/>
      <c r="E18" s="26"/>
      <c r="F18" s="25"/>
      <c r="G18" s="25"/>
      <c r="H18" s="25"/>
      <c r="I18" s="25"/>
      <c r="J18" s="25"/>
      <c r="K18" s="25"/>
      <c r="L18" s="25"/>
      <c r="M18" s="25"/>
      <c r="N18" s="25"/>
    </row>
    <row r="19" spans="1:14" ht="13.5">
      <c r="A19" s="25"/>
      <c r="B19" s="25"/>
      <c r="C19" s="25"/>
      <c r="D19" s="25"/>
      <c r="E19" s="26"/>
      <c r="F19" s="25"/>
      <c r="G19" s="25"/>
      <c r="H19" s="25"/>
      <c r="I19" s="25"/>
      <c r="J19" s="25"/>
      <c r="K19" s="25"/>
      <c r="L19" s="25"/>
      <c r="M19" s="25"/>
      <c r="N19" s="25"/>
    </row>
    <row r="20" spans="1:14" ht="13.5">
      <c r="A20" s="25"/>
      <c r="B20" s="25"/>
      <c r="C20" s="25"/>
      <c r="D20" s="25"/>
      <c r="E20" s="26"/>
      <c r="F20" s="25"/>
      <c r="G20" s="25"/>
      <c r="H20" s="25"/>
      <c r="I20" s="25"/>
      <c r="J20" s="25"/>
      <c r="K20" s="25"/>
      <c r="L20" s="25"/>
      <c r="M20" s="25"/>
      <c r="N20" s="25"/>
    </row>
    <row r="21" spans="1:14" ht="13.5">
      <c r="A21" s="25"/>
      <c r="B21" s="25"/>
      <c r="C21" s="25"/>
      <c r="D21" s="25"/>
      <c r="E21" s="26"/>
      <c r="F21" s="25"/>
      <c r="G21" s="25"/>
      <c r="H21" s="25"/>
      <c r="I21" s="25"/>
      <c r="J21" s="25"/>
      <c r="K21" s="25"/>
      <c r="L21" s="25"/>
      <c r="M21" s="25"/>
      <c r="N21" s="25"/>
    </row>
    <row r="22" spans="1:14" ht="13.5">
      <c r="A22" s="25"/>
      <c r="B22" s="25"/>
      <c r="C22" s="25"/>
      <c r="D22" s="25"/>
      <c r="E22" s="26"/>
      <c r="F22" s="25"/>
      <c r="G22" s="25"/>
      <c r="H22" s="25"/>
      <c r="I22" s="25"/>
      <c r="J22" s="25"/>
      <c r="K22" s="25"/>
      <c r="L22" s="25"/>
      <c r="M22" s="25"/>
      <c r="N22" s="25"/>
    </row>
    <row r="23" spans="1:14" ht="13.5">
      <c r="A23" s="25"/>
      <c r="B23" s="25"/>
      <c r="C23" s="25"/>
      <c r="D23" s="25"/>
      <c r="E23" s="26"/>
      <c r="F23" s="25"/>
      <c r="G23" s="25"/>
      <c r="H23" s="25"/>
      <c r="I23" s="25"/>
      <c r="J23" s="25"/>
      <c r="K23" s="25"/>
      <c r="L23" s="25"/>
      <c r="M23" s="25"/>
      <c r="N23" s="25"/>
    </row>
    <row r="24" spans="1:14" ht="13.5">
      <c r="A24" s="25"/>
      <c r="B24" s="25"/>
      <c r="C24" s="25"/>
      <c r="D24" s="25"/>
      <c r="E24" s="26"/>
      <c r="F24" s="25"/>
      <c r="G24" s="25"/>
      <c r="H24" s="25"/>
      <c r="I24" s="25"/>
      <c r="J24" s="25"/>
      <c r="K24" s="25"/>
      <c r="L24" s="25"/>
      <c r="M24" s="25"/>
      <c r="N24" s="25"/>
    </row>
    <row r="25" spans="1:14" ht="13.5">
      <c r="A25" s="25"/>
      <c r="B25" s="25"/>
      <c r="C25" s="25"/>
      <c r="D25" s="25"/>
      <c r="E25" s="26"/>
      <c r="F25" s="25"/>
      <c r="G25" s="25"/>
      <c r="H25" s="25"/>
      <c r="I25" s="25"/>
      <c r="J25" s="25"/>
      <c r="K25" s="25"/>
      <c r="L25" s="25"/>
      <c r="M25" s="25"/>
      <c r="N25" s="25"/>
    </row>
    <row r="26" spans="1:14" ht="13.5">
      <c r="A26" s="25"/>
      <c r="B26" s="25"/>
      <c r="C26" s="25"/>
      <c r="D26" s="25"/>
      <c r="E26" s="26"/>
      <c r="F26" s="25"/>
      <c r="G26" s="25"/>
      <c r="H26" s="25"/>
      <c r="I26" s="25"/>
      <c r="J26" s="25"/>
      <c r="K26" s="25"/>
      <c r="L26" s="25"/>
      <c r="M26" s="25"/>
      <c r="N26" s="25"/>
    </row>
    <row r="27" spans="1:14" ht="13.5">
      <c r="A27" s="25"/>
      <c r="B27" s="25"/>
      <c r="C27" s="25"/>
      <c r="D27" s="25"/>
      <c r="E27" s="26"/>
      <c r="F27" s="25"/>
      <c r="G27" s="25"/>
      <c r="H27" s="25"/>
      <c r="I27" s="25"/>
      <c r="J27" s="25"/>
      <c r="K27" s="25"/>
      <c r="L27" s="25"/>
      <c r="M27" s="25"/>
      <c r="N27" s="25"/>
    </row>
    <row r="28" spans="1:14" ht="13.5">
      <c r="A28" s="25"/>
      <c r="B28" s="25"/>
      <c r="C28" s="25"/>
      <c r="D28" s="25"/>
      <c r="E28" s="26"/>
      <c r="F28" s="25"/>
      <c r="G28" s="25"/>
      <c r="H28" s="25"/>
      <c r="I28" s="25"/>
      <c r="J28" s="25"/>
      <c r="K28" s="25"/>
      <c r="L28" s="25"/>
      <c r="M28" s="25"/>
      <c r="N28" s="25"/>
    </row>
    <row r="29" spans="1:14" ht="13.5">
      <c r="A29" s="25"/>
      <c r="B29" s="25"/>
      <c r="C29" s="25"/>
      <c r="D29" s="25"/>
      <c r="E29" s="26"/>
      <c r="F29" s="25"/>
      <c r="G29" s="25"/>
      <c r="H29" s="25"/>
      <c r="I29" s="25"/>
      <c r="J29" s="25"/>
      <c r="K29" s="25"/>
      <c r="L29" s="25"/>
      <c r="M29" s="25"/>
      <c r="N29" s="25"/>
    </row>
    <row r="30" spans="1:14" ht="13.5" hidden="1">
      <c r="A30" s="25"/>
      <c r="B30" s="25"/>
      <c r="C30" s="25"/>
      <c r="D30" s="25"/>
      <c r="E30" s="26"/>
      <c r="F30" s="25"/>
      <c r="G30" s="25"/>
      <c r="H30" s="25"/>
      <c r="I30" s="25"/>
      <c r="J30" s="25"/>
      <c r="K30" s="25"/>
      <c r="L30" s="25"/>
      <c r="M30" s="25"/>
      <c r="N30" s="25"/>
    </row>
    <row r="31" spans="1:14" ht="13.5" hidden="1">
      <c r="A31" s="25"/>
      <c r="B31" s="25"/>
      <c r="C31" s="25"/>
      <c r="D31" s="25"/>
      <c r="E31" s="26"/>
      <c r="F31" s="25"/>
      <c r="G31" s="25"/>
      <c r="H31" s="25"/>
      <c r="I31" s="25"/>
      <c r="J31" s="25"/>
      <c r="K31" s="25"/>
      <c r="L31" s="25"/>
      <c r="M31" s="25"/>
      <c r="N31" s="25"/>
    </row>
    <row r="32" spans="1:14" ht="13.5" hidden="1">
      <c r="A32" s="25"/>
      <c r="B32" s="25"/>
      <c r="C32" s="25"/>
      <c r="D32" s="25"/>
      <c r="E32" s="26"/>
      <c r="F32" s="25"/>
      <c r="G32" s="25"/>
      <c r="H32" s="25"/>
      <c r="I32" s="25"/>
      <c r="J32" s="25"/>
      <c r="K32" s="25"/>
      <c r="L32" s="25"/>
      <c r="M32" s="25"/>
      <c r="N32" s="25"/>
    </row>
    <row r="33" spans="1:14" ht="13.5" hidden="1">
      <c r="A33" s="25"/>
      <c r="B33" s="25"/>
      <c r="C33" s="25"/>
      <c r="D33" s="25"/>
      <c r="E33" s="26"/>
      <c r="F33" s="25"/>
      <c r="G33" s="25"/>
      <c r="H33" s="25"/>
      <c r="I33" s="25"/>
      <c r="J33" s="25"/>
      <c r="K33" s="25"/>
      <c r="L33" s="25"/>
      <c r="M33" s="25"/>
      <c r="N33" s="25"/>
    </row>
    <row r="34" spans="1:14" ht="13.5" hidden="1">
      <c r="A34" s="25"/>
      <c r="B34" s="25"/>
      <c r="C34" s="25"/>
      <c r="D34" s="25"/>
      <c r="E34" s="26"/>
      <c r="F34" s="25"/>
      <c r="G34" s="25"/>
      <c r="H34" s="25"/>
      <c r="I34" s="25"/>
      <c r="J34" s="25"/>
      <c r="K34" s="25"/>
      <c r="L34" s="25"/>
      <c r="M34" s="25"/>
      <c r="N34" s="25"/>
    </row>
    <row r="35" spans="1:14" ht="13.5" hidden="1">
      <c r="A35" s="25"/>
      <c r="B35" s="25"/>
      <c r="C35" s="25"/>
      <c r="D35" s="25"/>
      <c r="E35" s="26"/>
      <c r="F35" s="25"/>
      <c r="G35" s="25"/>
      <c r="H35" s="25"/>
      <c r="I35" s="25"/>
      <c r="J35" s="25"/>
      <c r="K35" s="25"/>
      <c r="L35" s="25"/>
      <c r="M35" s="25"/>
      <c r="N35" s="25"/>
    </row>
    <row r="36" spans="1:14" ht="13.5" hidden="1">
      <c r="A36" s="25"/>
      <c r="B36" s="25"/>
      <c r="C36" s="25"/>
      <c r="D36" s="25"/>
      <c r="E36" s="26"/>
      <c r="F36" s="25"/>
      <c r="G36" s="25"/>
      <c r="H36" s="25"/>
      <c r="I36" s="25"/>
      <c r="J36" s="25"/>
      <c r="K36" s="25"/>
      <c r="L36" s="25"/>
      <c r="M36" s="25"/>
      <c r="N36" s="25"/>
    </row>
    <row r="37" spans="1:14" ht="13.5" hidden="1">
      <c r="A37" s="25"/>
      <c r="B37" s="25"/>
      <c r="C37" s="25"/>
      <c r="D37" s="25"/>
      <c r="E37" s="26"/>
      <c r="F37" s="25"/>
      <c r="G37" s="25"/>
      <c r="H37" s="25"/>
      <c r="I37" s="25"/>
      <c r="J37" s="25"/>
      <c r="K37" s="25"/>
      <c r="L37" s="25"/>
      <c r="M37" s="25"/>
      <c r="N37" s="25"/>
    </row>
    <row r="38" spans="1:14" ht="13.5" hidden="1">
      <c r="A38" s="25"/>
      <c r="B38" s="25"/>
      <c r="C38" s="25"/>
      <c r="D38" s="25"/>
      <c r="E38" s="26"/>
      <c r="F38" s="25"/>
      <c r="G38" s="25"/>
      <c r="H38" s="25"/>
      <c r="I38" s="25"/>
      <c r="J38" s="25"/>
      <c r="K38" s="25"/>
      <c r="L38" s="25"/>
      <c r="M38" s="25"/>
      <c r="N38" s="25"/>
    </row>
    <row r="39" spans="1:14" ht="13.5" hidden="1">
      <c r="A39" s="25"/>
      <c r="B39" s="25"/>
      <c r="C39" s="25"/>
      <c r="D39" s="25"/>
      <c r="E39" s="26"/>
      <c r="F39" s="25"/>
      <c r="G39" s="25"/>
      <c r="H39" s="25"/>
      <c r="I39" s="25"/>
      <c r="J39" s="25"/>
      <c r="K39" s="25"/>
      <c r="L39" s="25"/>
      <c r="M39" s="25"/>
      <c r="N39" s="25"/>
    </row>
    <row r="40" spans="1:14" ht="13.5" hidden="1">
      <c r="A40" s="25"/>
      <c r="B40" s="25"/>
      <c r="C40" s="25"/>
      <c r="D40" s="25"/>
      <c r="E40" s="26"/>
      <c r="F40" s="25"/>
      <c r="G40" s="25"/>
      <c r="H40" s="25"/>
      <c r="I40" s="25"/>
      <c r="J40" s="25"/>
      <c r="K40" s="25"/>
      <c r="L40" s="25"/>
      <c r="M40" s="25"/>
      <c r="N40" s="25"/>
    </row>
    <row r="41" spans="1:14" ht="13.5" hidden="1">
      <c r="A41" s="25"/>
      <c r="B41" s="25"/>
      <c r="C41" s="25"/>
      <c r="D41" s="25"/>
      <c r="E41" s="26"/>
      <c r="F41" s="25"/>
      <c r="G41" s="25"/>
      <c r="H41" s="25"/>
      <c r="I41" s="25"/>
      <c r="J41" s="25"/>
      <c r="K41" s="25"/>
      <c r="L41" s="25"/>
      <c r="M41" s="25"/>
      <c r="N41" s="25"/>
    </row>
    <row r="42" spans="1:14" ht="13.5" hidden="1">
      <c r="A42" s="25"/>
      <c r="B42" s="25"/>
      <c r="C42" s="25"/>
      <c r="D42" s="25"/>
      <c r="E42" s="26"/>
      <c r="F42" s="25"/>
      <c r="G42" s="25"/>
      <c r="H42" s="25"/>
      <c r="I42" s="25"/>
      <c r="J42" s="25"/>
      <c r="K42" s="25"/>
      <c r="L42" s="25"/>
      <c r="M42" s="25"/>
      <c r="N42" s="25"/>
    </row>
    <row r="43" spans="1:14" ht="13.5" hidden="1">
      <c r="A43" s="25"/>
      <c r="B43" s="25"/>
      <c r="C43" s="25"/>
      <c r="D43" s="25"/>
      <c r="E43" s="26"/>
      <c r="F43" s="25"/>
      <c r="G43" s="25"/>
      <c r="H43" s="25"/>
      <c r="I43" s="25"/>
      <c r="J43" s="25"/>
      <c r="K43" s="25"/>
      <c r="L43" s="25"/>
      <c r="M43" s="25"/>
      <c r="N43" s="25"/>
    </row>
    <row r="44" spans="1:14" ht="13.5" hidden="1">
      <c r="A44" s="25"/>
      <c r="B44" s="25"/>
      <c r="C44" s="25"/>
      <c r="D44" s="25"/>
      <c r="E44" s="26"/>
      <c r="F44" s="25"/>
      <c r="G44" s="25"/>
      <c r="H44" s="25"/>
      <c r="I44" s="25"/>
      <c r="J44" s="25"/>
      <c r="K44" s="25"/>
      <c r="L44" s="25"/>
      <c r="M44" s="25"/>
      <c r="N44" s="25"/>
    </row>
    <row r="45" spans="1:14" ht="13.5" hidden="1">
      <c r="A45" s="25"/>
      <c r="B45" s="25"/>
      <c r="C45" s="25"/>
      <c r="D45" s="25"/>
      <c r="E45" s="26"/>
      <c r="F45" s="25"/>
      <c r="G45" s="25"/>
      <c r="H45" s="25"/>
      <c r="I45" s="25"/>
      <c r="J45" s="25"/>
      <c r="K45" s="25"/>
      <c r="L45" s="25"/>
      <c r="M45" s="25"/>
      <c r="N45" s="25"/>
    </row>
    <row r="46" spans="1:14" ht="13.5" hidden="1">
      <c r="A46" s="25"/>
      <c r="B46" s="25"/>
      <c r="C46" s="25"/>
      <c r="D46" s="25"/>
      <c r="E46" s="26"/>
      <c r="F46" s="25"/>
      <c r="G46" s="25"/>
      <c r="H46" s="25"/>
      <c r="I46" s="25"/>
      <c r="J46" s="25"/>
      <c r="K46" s="25"/>
      <c r="L46" s="25"/>
      <c r="M46" s="25"/>
      <c r="N46" s="25"/>
    </row>
    <row r="47" spans="1:14" ht="13.5" hidden="1">
      <c r="A47" s="25"/>
      <c r="B47" s="25"/>
      <c r="C47" s="25"/>
      <c r="D47" s="25"/>
      <c r="E47" s="26"/>
      <c r="F47" s="25"/>
      <c r="G47" s="25"/>
      <c r="H47" s="25"/>
      <c r="I47" s="25"/>
      <c r="J47" s="25"/>
      <c r="K47" s="25"/>
      <c r="L47" s="25"/>
      <c r="M47" s="25"/>
      <c r="N47" s="25"/>
    </row>
    <row r="48" spans="1:14" ht="13.5" hidden="1">
      <c r="A48" s="25"/>
      <c r="B48" s="25"/>
      <c r="C48" s="25"/>
      <c r="D48" s="25"/>
      <c r="E48" s="26"/>
      <c r="F48" s="25"/>
      <c r="G48" s="25"/>
      <c r="H48" s="25"/>
      <c r="I48" s="25"/>
      <c r="J48" s="25"/>
      <c r="K48" s="25"/>
      <c r="L48" s="25"/>
      <c r="M48" s="25"/>
      <c r="N48" s="25"/>
    </row>
    <row r="49" spans="1:14" ht="13.5" hidden="1">
      <c r="A49" s="25"/>
      <c r="B49" s="25"/>
      <c r="C49" s="25"/>
      <c r="D49" s="25"/>
      <c r="E49" s="26"/>
      <c r="F49" s="25"/>
      <c r="G49" s="25"/>
      <c r="H49" s="25"/>
      <c r="I49" s="25"/>
      <c r="J49" s="25"/>
      <c r="K49" s="25"/>
      <c r="L49" s="25"/>
      <c r="M49" s="25"/>
      <c r="N49" s="25"/>
    </row>
    <row r="50" spans="1:14" ht="13.5" hidden="1">
      <c r="A50" s="25"/>
      <c r="B50" s="25"/>
      <c r="C50" s="25"/>
      <c r="D50" s="25"/>
      <c r="E50" s="26"/>
      <c r="F50" s="25"/>
      <c r="G50" s="25"/>
      <c r="H50" s="25"/>
      <c r="I50" s="25"/>
      <c r="J50" s="25"/>
      <c r="K50" s="25"/>
      <c r="L50" s="25"/>
      <c r="M50" s="25"/>
      <c r="N50" s="25"/>
    </row>
    <row r="51" spans="1:14" ht="13.5" hidden="1">
      <c r="A51" s="25"/>
      <c r="B51" s="25"/>
      <c r="C51" s="25"/>
      <c r="D51" s="25"/>
      <c r="E51" s="26"/>
      <c r="F51" s="25"/>
      <c r="G51" s="25"/>
      <c r="H51" s="25"/>
      <c r="I51" s="25"/>
      <c r="J51" s="25"/>
      <c r="K51" s="25"/>
      <c r="L51" s="25"/>
      <c r="M51" s="25"/>
      <c r="N51" s="25"/>
    </row>
    <row r="52" spans="1:14" ht="13.5" hidden="1">
      <c r="A52" s="25"/>
      <c r="B52" s="25"/>
      <c r="C52" s="25"/>
      <c r="D52" s="25"/>
      <c r="E52" s="26"/>
      <c r="F52" s="25"/>
      <c r="G52" s="25"/>
      <c r="H52" s="25"/>
      <c r="I52" s="25"/>
      <c r="J52" s="25"/>
      <c r="K52" s="25"/>
      <c r="L52" s="25"/>
      <c r="M52" s="25"/>
      <c r="N52" s="25"/>
    </row>
    <row r="53" spans="1:14" ht="13.5" hidden="1">
      <c r="A53" s="25"/>
      <c r="B53" s="25"/>
      <c r="C53" s="25"/>
      <c r="D53" s="25"/>
      <c r="E53" s="26"/>
      <c r="F53" s="25"/>
      <c r="G53" s="25"/>
      <c r="H53" s="25"/>
      <c r="I53" s="25"/>
      <c r="J53" s="25"/>
      <c r="K53" s="25"/>
      <c r="L53" s="25"/>
      <c r="M53" s="25"/>
      <c r="N53" s="25"/>
    </row>
    <row r="54" spans="1:14" ht="13.5" hidden="1">
      <c r="A54" s="25"/>
      <c r="B54" s="25"/>
      <c r="C54" s="25"/>
      <c r="D54" s="25"/>
      <c r="E54" s="26"/>
      <c r="F54" s="25"/>
      <c r="G54" s="25"/>
      <c r="H54" s="25"/>
      <c r="I54" s="25"/>
      <c r="J54" s="25"/>
      <c r="K54" s="25"/>
      <c r="L54" s="25"/>
      <c r="M54" s="25"/>
      <c r="N54" s="25"/>
    </row>
    <row r="55" spans="1:14" ht="13.5" hidden="1">
      <c r="A55" s="25"/>
      <c r="B55" s="25"/>
      <c r="C55" s="25"/>
      <c r="D55" s="25"/>
      <c r="E55" s="26"/>
      <c r="F55" s="25"/>
      <c r="G55" s="25"/>
      <c r="H55" s="25"/>
      <c r="I55" s="25"/>
      <c r="J55" s="25"/>
      <c r="K55" s="25"/>
      <c r="L55" s="25"/>
      <c r="M55" s="25"/>
      <c r="N55" s="25"/>
    </row>
    <row r="56" spans="1:14" ht="13.5" hidden="1">
      <c r="A56" s="25"/>
      <c r="B56" s="25"/>
      <c r="C56" s="25"/>
      <c r="D56" s="25"/>
      <c r="E56" s="26"/>
      <c r="F56" s="25"/>
      <c r="G56" s="25"/>
      <c r="H56" s="25"/>
      <c r="I56" s="25"/>
      <c r="J56" s="25"/>
      <c r="K56" s="25"/>
      <c r="L56" s="25"/>
      <c r="M56" s="25"/>
      <c r="N56" s="25"/>
    </row>
    <row r="57" spans="1:14" ht="13.5" hidden="1">
      <c r="A57" s="25"/>
      <c r="B57" s="25"/>
      <c r="C57" s="25"/>
      <c r="D57" s="25"/>
      <c r="E57" s="26"/>
      <c r="F57" s="25">
        <f>IF(SER&lt;F68*SERLIMIT,SER,F68*SERLIMIT)</f>
        <v>0</v>
      </c>
      <c r="G57" s="25"/>
      <c r="H57" s="25"/>
      <c r="I57" s="25"/>
      <c r="J57" s="25"/>
      <c r="K57" s="25"/>
      <c r="L57" s="25"/>
      <c r="M57" s="25"/>
      <c r="N57" s="25"/>
    </row>
    <row r="58" spans="1:14" ht="13.5" hidden="1">
      <c r="A58" s="25"/>
      <c r="B58" s="25"/>
      <c r="C58" s="25"/>
      <c r="D58" s="25"/>
      <c r="E58" s="26"/>
      <c r="F58" s="25"/>
      <c r="G58" s="25"/>
      <c r="H58" s="25"/>
      <c r="I58" s="25"/>
      <c r="J58" s="25"/>
      <c r="K58" s="25"/>
      <c r="L58" s="25"/>
      <c r="M58" s="25"/>
      <c r="N58" s="25"/>
    </row>
    <row r="59" spans="1:14" ht="13.5" hidden="1">
      <c r="A59" s="25"/>
      <c r="B59" s="25"/>
      <c r="C59" s="25"/>
      <c r="D59" s="25"/>
      <c r="E59" s="26"/>
      <c r="F59" s="25">
        <f>It</f>
        <v>0.5</v>
      </c>
      <c r="G59" s="25"/>
      <c r="H59" s="25"/>
      <c r="I59" s="25"/>
      <c r="J59" s="25"/>
      <c r="K59" s="25"/>
      <c r="L59" s="25"/>
      <c r="M59" s="25"/>
      <c r="N59" s="25"/>
    </row>
    <row r="60" spans="1:14" ht="13.5" hidden="1">
      <c r="A60" s="25"/>
      <c r="B60" s="25"/>
      <c r="C60" s="25"/>
      <c r="D60" s="25"/>
      <c r="E60" s="26"/>
      <c r="F60" s="25"/>
      <c r="G60" s="25"/>
      <c r="H60" s="25">
        <f>SUM(F57:F58)*(1+F59/100)*(1+G59/100)</f>
        <v>0</v>
      </c>
      <c r="I60" s="25"/>
      <c r="J60" s="25"/>
      <c r="K60" s="25"/>
      <c r="L60" s="25"/>
      <c r="M60" s="25"/>
      <c r="N60" s="25"/>
    </row>
    <row r="61" spans="1:14" ht="13.5" hidden="1">
      <c r="A61" s="25"/>
      <c r="B61" s="25"/>
      <c r="C61" s="25"/>
      <c r="D61" s="25"/>
      <c r="E61" s="26"/>
      <c r="F61" s="25"/>
      <c r="G61" s="25"/>
      <c r="H61" s="25"/>
      <c r="I61" s="25"/>
      <c r="J61" s="25"/>
      <c r="K61" s="25"/>
      <c r="L61" s="25"/>
      <c r="M61" s="25"/>
      <c r="N61" s="25"/>
    </row>
    <row r="62" spans="1:14" ht="13.5" hidden="1">
      <c r="A62" s="25"/>
      <c r="B62" s="25"/>
      <c r="C62" s="25"/>
      <c r="D62" s="25"/>
      <c r="E62" s="26"/>
      <c r="F62" s="25"/>
      <c r="G62" s="25"/>
      <c r="H62" s="25"/>
      <c r="I62" s="25"/>
      <c r="J62" s="25"/>
      <c r="K62" s="25"/>
      <c r="L62" s="25"/>
      <c r="M62" s="25"/>
      <c r="N62" s="25"/>
    </row>
    <row r="63" spans="1:14" ht="13.5" hidden="1">
      <c r="A63" s="25"/>
      <c r="B63" s="25"/>
      <c r="C63" s="25"/>
      <c r="D63" s="25"/>
      <c r="E63" s="26"/>
      <c r="F63" s="25"/>
      <c r="G63" s="25"/>
      <c r="H63" s="25"/>
      <c r="I63" s="25"/>
      <c r="J63" s="25"/>
      <c r="K63" s="25"/>
      <c r="L63" s="25"/>
      <c r="M63" s="25"/>
      <c r="N63" s="25"/>
    </row>
    <row r="64" spans="1:14" ht="13.5" hidden="1">
      <c r="A64" s="25"/>
      <c r="B64" s="25"/>
      <c r="C64" s="25"/>
      <c r="D64" s="25"/>
      <c r="E64" s="26"/>
      <c r="F64" s="25"/>
      <c r="G64" s="25"/>
      <c r="H64" s="25"/>
      <c r="I64" s="25"/>
      <c r="J64" s="25"/>
      <c r="K64" s="25"/>
      <c r="L64" s="25"/>
      <c r="M64" s="25"/>
      <c r="N64" s="25"/>
    </row>
    <row r="65" spans="1:14" ht="13.5" hidden="1">
      <c r="A65" s="25"/>
      <c r="B65" s="25"/>
      <c r="C65" s="25"/>
      <c r="D65" s="25"/>
      <c r="E65" s="26"/>
      <c r="F65" s="25"/>
      <c r="G65" s="25"/>
      <c r="H65" s="25"/>
      <c r="I65" s="25"/>
      <c r="J65" s="25"/>
      <c r="K65" s="25"/>
      <c r="L65" s="25"/>
      <c r="M65" s="25"/>
      <c r="N65" s="25"/>
    </row>
    <row r="66" spans="1:14" ht="13.5" hidden="1">
      <c r="A66" s="25"/>
      <c r="B66" s="25"/>
      <c r="C66" s="25"/>
      <c r="D66" s="25"/>
      <c r="E66" s="26"/>
      <c r="F66" s="25"/>
      <c r="G66" s="25"/>
      <c r="H66" s="25"/>
      <c r="I66" s="25"/>
      <c r="J66" s="25"/>
      <c r="K66" s="25"/>
      <c r="L66" s="25"/>
      <c r="M66" s="25"/>
      <c r="N66" s="25"/>
    </row>
    <row r="67" spans="1:14" ht="13.5" hidden="1">
      <c r="A67" s="25"/>
      <c r="B67" s="25"/>
      <c r="C67" s="25"/>
      <c r="D67" s="25"/>
      <c r="E67" s="26"/>
      <c r="F67" s="25"/>
      <c r="G67" s="25"/>
      <c r="H67" s="25"/>
      <c r="I67" s="25"/>
      <c r="J67" s="25"/>
      <c r="K67" s="25"/>
      <c r="L67" s="25"/>
      <c r="M67" s="25"/>
      <c r="N67" s="25"/>
    </row>
    <row r="68" spans="1:14" ht="13.5" hidden="1">
      <c r="A68" s="25"/>
      <c r="B68" s="25"/>
      <c r="C68" s="25"/>
      <c r="D68" s="25"/>
      <c r="E68" s="26"/>
      <c r="F68" s="25"/>
      <c r="G68" s="25"/>
      <c r="H68" s="25"/>
      <c r="I68" s="25"/>
      <c r="J68" s="25"/>
      <c r="K68" s="25"/>
      <c r="L68" s="25"/>
      <c r="M68" s="25"/>
      <c r="N68" s="25"/>
    </row>
    <row r="69" spans="1:14" ht="13.5" hidden="1">
      <c r="A69" s="25"/>
      <c r="B69" s="25"/>
      <c r="C69" s="25"/>
      <c r="D69" s="25"/>
      <c r="E69" s="26"/>
      <c r="F69" s="25"/>
      <c r="G69" s="25"/>
      <c r="H69" s="25"/>
      <c r="I69" s="25"/>
      <c r="J69" s="25"/>
      <c r="K69" s="25"/>
      <c r="L69" s="25"/>
      <c r="M69" s="25"/>
      <c r="N69" s="25"/>
    </row>
    <row r="70" spans="1:14" ht="13.5" hidden="1">
      <c r="A70" s="25"/>
      <c r="B70" s="25"/>
      <c r="C70" s="25"/>
      <c r="D70" s="25"/>
      <c r="E70" s="26"/>
      <c r="F70" s="25"/>
      <c r="G70" s="25"/>
      <c r="H70" s="25"/>
      <c r="I70" s="25"/>
      <c r="J70" s="25"/>
      <c r="K70" s="25"/>
      <c r="L70" s="25"/>
      <c r="M70" s="25"/>
      <c r="N70" s="25"/>
    </row>
    <row r="71" spans="1:14" ht="13.5" hidden="1">
      <c r="A71" s="25"/>
      <c r="B71" s="25"/>
      <c r="C71" s="25"/>
      <c r="D71" s="25"/>
      <c r="E71" s="26"/>
      <c r="F71" s="25"/>
      <c r="G71" s="25"/>
      <c r="H71" s="25"/>
      <c r="I71" s="25"/>
      <c r="J71" s="25"/>
      <c r="K71" s="25"/>
      <c r="L71" s="25"/>
      <c r="M71" s="25"/>
      <c r="N71" s="25"/>
    </row>
    <row r="72" spans="1:14" ht="13.5" hidden="1">
      <c r="A72" s="25"/>
      <c r="B72" s="25"/>
      <c r="C72" s="25"/>
      <c r="D72" s="25"/>
      <c r="E72" s="26"/>
      <c r="F72" s="25"/>
      <c r="G72" s="25"/>
      <c r="H72" s="25"/>
      <c r="I72" s="25"/>
      <c r="J72" s="25"/>
      <c r="K72" s="25"/>
      <c r="L72" s="25"/>
      <c r="M72" s="25"/>
      <c r="N72" s="25"/>
    </row>
    <row r="73" spans="1:14" ht="13.5" hidden="1">
      <c r="A73" s="25"/>
      <c r="B73" s="25"/>
      <c r="C73" s="25"/>
      <c r="D73" s="25"/>
      <c r="E73" s="26"/>
      <c r="F73" s="25">
        <f>F92</f>
        <v>0</v>
      </c>
      <c r="G73" s="25"/>
      <c r="H73" s="25"/>
      <c r="I73" s="25"/>
      <c r="J73" s="25"/>
      <c r="K73" s="25"/>
      <c r="L73" s="25"/>
      <c r="M73" s="25"/>
      <c r="N73" s="25"/>
    </row>
    <row r="74" spans="1:14" ht="13.5" hidden="1">
      <c r="A74" s="25"/>
      <c r="B74" s="25"/>
      <c r="C74" s="25"/>
      <c r="D74" s="25"/>
      <c r="E74" s="26"/>
      <c r="F74" s="25"/>
      <c r="G74" s="25"/>
      <c r="H74" s="25"/>
      <c r="I74" s="25"/>
      <c r="J74" s="25"/>
      <c r="K74" s="25"/>
      <c r="L74" s="25"/>
      <c r="M74" s="25"/>
      <c r="N74" s="25"/>
    </row>
    <row r="75" spans="1:14" ht="13.5" hidden="1">
      <c r="A75" s="25"/>
      <c r="B75" s="25"/>
      <c r="C75" s="25"/>
      <c r="D75" s="25"/>
      <c r="E75" s="26"/>
      <c r="F75" s="25"/>
      <c r="G75" s="25"/>
      <c r="H75" s="25"/>
      <c r="I75" s="25"/>
      <c r="J75" s="25"/>
      <c r="K75" s="25"/>
      <c r="L75" s="25"/>
      <c r="M75" s="25"/>
      <c r="N75" s="25"/>
    </row>
    <row r="76" spans="1:14" ht="13.5" hidden="1">
      <c r="A76" s="25"/>
      <c r="B76" s="25"/>
      <c r="C76" s="25"/>
      <c r="D76" s="25"/>
      <c r="E76" s="26"/>
      <c r="F76" s="25"/>
      <c r="G76" s="25"/>
      <c r="H76" s="25"/>
      <c r="I76" s="25"/>
      <c r="J76" s="25"/>
      <c r="K76" s="25"/>
      <c r="L76" s="25"/>
      <c r="M76" s="25"/>
      <c r="N76" s="25"/>
    </row>
    <row r="77" spans="1:14" ht="13.5" hidden="1">
      <c r="A77" s="25"/>
      <c r="B77" s="25"/>
      <c r="C77" s="25"/>
      <c r="D77" s="25"/>
      <c r="E77" s="26"/>
      <c r="F77" s="25">
        <f>F75*F76</f>
        <v>0</v>
      </c>
      <c r="G77" s="25"/>
      <c r="H77" s="25"/>
      <c r="I77" s="25"/>
      <c r="J77" s="25"/>
      <c r="K77" s="25"/>
      <c r="L77" s="25"/>
      <c r="M77" s="25"/>
      <c r="N77" s="25"/>
    </row>
    <row r="78" spans="1:14" ht="13.5" hidden="1">
      <c r="A78" s="25"/>
      <c r="B78" s="25"/>
      <c r="C78" s="25"/>
      <c r="D78" s="25"/>
      <c r="E78" s="26"/>
      <c r="F78" s="25">
        <f>0.01*(F71+F74+F77)*(F66+F67)</f>
        <v>0</v>
      </c>
      <c r="G78" s="25"/>
      <c r="H78" s="25"/>
      <c r="I78" s="25"/>
      <c r="J78" s="25"/>
      <c r="K78" s="25"/>
      <c r="L78" s="25"/>
      <c r="M78" s="25"/>
      <c r="N78" s="25"/>
    </row>
    <row r="79" spans="1:14" ht="13.5" hidden="1">
      <c r="A79" s="25"/>
      <c r="B79" s="25"/>
      <c r="C79" s="25"/>
      <c r="D79" s="25"/>
      <c r="E79" s="26"/>
      <c r="F79" s="25"/>
      <c r="G79" s="25"/>
      <c r="H79" s="25"/>
      <c r="I79" s="25"/>
      <c r="J79" s="25"/>
      <c r="K79" s="25"/>
      <c r="L79" s="25"/>
      <c r="M79" s="25"/>
      <c r="N79" s="25"/>
    </row>
    <row r="80" spans="1:14" ht="13.5" hidden="1">
      <c r="A80" s="25"/>
      <c r="B80" s="25"/>
      <c r="C80" s="25"/>
      <c r="D80" s="25"/>
      <c r="E80" s="26"/>
      <c r="F80" s="25"/>
      <c r="G80" s="25"/>
      <c r="H80" s="25"/>
      <c r="I80" s="25"/>
      <c r="J80" s="25"/>
      <c r="K80" s="25"/>
      <c r="L80" s="25"/>
      <c r="M80" s="25"/>
      <c r="N80" s="25"/>
    </row>
    <row r="81" spans="1:14" ht="13.5" hidden="1">
      <c r="A81" s="25"/>
      <c r="B81" s="25"/>
      <c r="C81" s="25"/>
      <c r="D81" s="25"/>
      <c r="E81" s="26"/>
      <c r="F81" s="25"/>
      <c r="G81" s="25"/>
      <c r="H81" s="25"/>
      <c r="I81" s="25"/>
      <c r="J81" s="25"/>
      <c r="K81" s="25"/>
      <c r="L81" s="25"/>
      <c r="M81" s="25"/>
      <c r="N81" s="25"/>
    </row>
  </sheetData>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H88"/>
  <sheetViews>
    <sheetView topLeftCell="A13" zoomScaleNormal="100" workbookViewId="0">
      <selection activeCell="C23" sqref="C23"/>
    </sheetView>
  </sheetViews>
  <sheetFormatPr defaultColWidth="0" defaultRowHeight="12.75" customHeight="1" zeroHeight="1"/>
  <cols>
    <col min="1" max="1" width="10.3828125" style="27" bestFit="1" customWidth="1"/>
    <col min="2" max="2" width="9.3828125" style="27" bestFit="1" customWidth="1"/>
    <col min="3" max="3" width="80.61328125" style="27" customWidth="1"/>
    <col min="4" max="4" width="2.61328125" style="25" customWidth="1"/>
    <col min="5" max="5" width="9" style="28" hidden="1" customWidth="1"/>
    <col min="6" max="16384" width="9" style="27" hidden="1"/>
  </cols>
  <sheetData>
    <row r="1" spans="1:8" s="21" customFormat="1" ht="15">
      <c r="A1" s="21" t="s">
        <v>97</v>
      </c>
      <c r="E1" s="29"/>
    </row>
    <row r="2" spans="1:8" s="21" customFormat="1" ht="15">
      <c r="A2" s="21" t="str">
        <f>CompName</f>
        <v>Scottish Hydro Electric Transmission Plc</v>
      </c>
      <c r="E2" s="29"/>
    </row>
    <row r="3" spans="1:8" s="21" customFormat="1" ht="15">
      <c r="A3" s="8" t="str">
        <f>'R5 Input page'!F7</f>
        <v>Regulatory Year ending 31 March 2020</v>
      </c>
      <c r="B3" s="30"/>
      <c r="C3" s="30"/>
      <c r="D3" s="30"/>
      <c r="E3" s="29"/>
    </row>
    <row r="4" spans="1:8" s="21" customFormat="1" ht="15">
      <c r="A4" s="30"/>
      <c r="B4" s="30"/>
      <c r="C4" s="30"/>
      <c r="D4" s="30"/>
      <c r="E4" s="29"/>
    </row>
    <row r="5" spans="1:8" s="21" customFormat="1" ht="15">
      <c r="A5" s="30"/>
      <c r="B5" s="30"/>
      <c r="C5" s="30"/>
      <c r="D5" s="30"/>
      <c r="E5" s="29"/>
    </row>
    <row r="6" spans="1:8" s="21" customFormat="1" ht="15">
      <c r="A6" s="21" t="s">
        <v>98</v>
      </c>
      <c r="B6" s="21" t="s">
        <v>99</v>
      </c>
      <c r="C6" s="21" t="s">
        <v>100</v>
      </c>
      <c r="E6" s="29"/>
    </row>
    <row r="7" spans="1:8" ht="54">
      <c r="A7" s="81">
        <v>42788</v>
      </c>
      <c r="B7" s="19" t="s">
        <v>505</v>
      </c>
      <c r="C7" s="316" t="s">
        <v>574</v>
      </c>
    </row>
    <row r="8" spans="1:8" ht="67.5">
      <c r="A8" s="81">
        <v>42837</v>
      </c>
      <c r="B8" s="19" t="s">
        <v>575</v>
      </c>
      <c r="C8" s="316" t="s">
        <v>576</v>
      </c>
    </row>
    <row r="9" spans="1:8" ht="13.5">
      <c r="A9" s="81">
        <v>42859</v>
      </c>
      <c r="B9" s="19" t="s">
        <v>577</v>
      </c>
      <c r="C9" s="31" t="s">
        <v>578</v>
      </c>
      <c r="H9" s="27">
        <f>SSO</f>
        <v>0</v>
      </c>
    </row>
    <row r="10" spans="1:8" ht="364.5">
      <c r="A10" s="81">
        <v>43139</v>
      </c>
      <c r="B10" s="328" t="s">
        <v>598</v>
      </c>
      <c r="C10" s="316" t="s">
        <v>599</v>
      </c>
    </row>
    <row r="11" spans="1:8" ht="27">
      <c r="A11" s="81">
        <v>43173</v>
      </c>
      <c r="B11" s="328" t="s">
        <v>601</v>
      </c>
      <c r="C11" s="316" t="s">
        <v>602</v>
      </c>
    </row>
    <row r="12" spans="1:8" ht="108">
      <c r="A12" s="81">
        <v>43508</v>
      </c>
      <c r="B12" s="328" t="s">
        <v>603</v>
      </c>
      <c r="C12" s="316" t="s">
        <v>604</v>
      </c>
    </row>
    <row r="13" spans="1:8" ht="13.5">
      <c r="A13" s="385">
        <v>43518</v>
      </c>
      <c r="B13" s="328" t="s">
        <v>603</v>
      </c>
      <c r="C13" s="386" t="s">
        <v>605</v>
      </c>
    </row>
    <row r="14" spans="1:8" ht="13.5">
      <c r="A14" s="385">
        <v>43572</v>
      </c>
      <c r="B14" s="328" t="s">
        <v>606</v>
      </c>
      <c r="C14" s="31" t="s">
        <v>607</v>
      </c>
    </row>
    <row r="15" spans="1:8" ht="27">
      <c r="A15" s="81">
        <v>43633</v>
      </c>
      <c r="B15" s="19" t="s">
        <v>606</v>
      </c>
      <c r="C15" s="387" t="s">
        <v>608</v>
      </c>
    </row>
    <row r="16" spans="1:8" ht="13.5">
      <c r="A16" s="81">
        <v>43881</v>
      </c>
      <c r="B16" s="19" t="s">
        <v>609</v>
      </c>
      <c r="C16" s="31" t="s">
        <v>611</v>
      </c>
    </row>
    <row r="17" spans="1:5" ht="13.5">
      <c r="A17" s="385">
        <v>43943</v>
      </c>
      <c r="B17" s="19" t="s">
        <v>609</v>
      </c>
      <c r="C17" s="386" t="s">
        <v>612</v>
      </c>
    </row>
    <row r="18" spans="1:5" ht="13.5">
      <c r="A18" s="385">
        <v>44245</v>
      </c>
      <c r="B18" s="19" t="s">
        <v>638</v>
      </c>
      <c r="C18" s="386" t="s">
        <v>630</v>
      </c>
    </row>
    <row r="19" spans="1:5" ht="54">
      <c r="A19" s="385">
        <v>44245</v>
      </c>
      <c r="B19" s="19" t="s">
        <v>638</v>
      </c>
      <c r="C19" s="386" t="s">
        <v>631</v>
      </c>
    </row>
    <row r="20" spans="1:5" ht="40.5">
      <c r="A20" s="385">
        <v>44245</v>
      </c>
      <c r="B20" s="19" t="s">
        <v>638</v>
      </c>
      <c r="C20" s="386" t="s">
        <v>632</v>
      </c>
    </row>
    <row r="21" spans="1:5" ht="27">
      <c r="A21" s="385">
        <v>44245</v>
      </c>
      <c r="B21" s="19" t="s">
        <v>638</v>
      </c>
      <c r="C21" s="386" t="s">
        <v>633</v>
      </c>
    </row>
    <row r="22" spans="1:5" ht="13.5">
      <c r="A22" s="385">
        <v>44245</v>
      </c>
      <c r="B22" s="19" t="s">
        <v>638</v>
      </c>
      <c r="C22" s="386" t="s">
        <v>634</v>
      </c>
    </row>
    <row r="23" spans="1:5" ht="27">
      <c r="A23" s="385">
        <v>44245</v>
      </c>
      <c r="B23" s="19" t="s">
        <v>638</v>
      </c>
      <c r="C23" s="386" t="s">
        <v>635</v>
      </c>
    </row>
    <row r="24" spans="1:5" ht="13.5">
      <c r="A24" s="385">
        <v>44245</v>
      </c>
      <c r="B24" s="19" t="s">
        <v>638</v>
      </c>
      <c r="C24" s="386" t="s">
        <v>636</v>
      </c>
    </row>
    <row r="25" spans="1:5" ht="13.5">
      <c r="A25" s="385">
        <v>44245</v>
      </c>
      <c r="B25" s="19" t="s">
        <v>638</v>
      </c>
      <c r="C25" s="386" t="s">
        <v>637</v>
      </c>
    </row>
    <row r="26" spans="1:5" ht="27">
      <c r="A26" s="385">
        <v>44312</v>
      </c>
      <c r="B26" s="19" t="s">
        <v>640</v>
      </c>
      <c r="C26" s="386" t="s">
        <v>642</v>
      </c>
    </row>
    <row r="27" spans="1:5" ht="13.5">
      <c r="A27" s="402"/>
      <c r="B27" s="403"/>
      <c r="C27" s="404"/>
    </row>
    <row r="28" spans="1:5" s="25" customFormat="1" ht="13.5">
      <c r="E28" s="26"/>
    </row>
    <row r="31" spans="1:5" ht="13.5" hidden="1">
      <c r="A31" s="25"/>
    </row>
    <row r="37" spans="8:8" ht="12.75" hidden="1" customHeight="1">
      <c r="H37" s="27">
        <f>H32*MIN( H33+H34,H35*H36)</f>
        <v>0</v>
      </c>
    </row>
    <row r="49" ht="12.75" customHeight="1"/>
    <row r="50" ht="12.75" customHeight="1"/>
    <row r="51" ht="12.75"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spans="6:8" ht="12.75" hidden="1" customHeight="1"/>
    <row r="66" spans="6:8" ht="12.75" hidden="1" customHeight="1"/>
    <row r="67" spans="6:8" ht="12.75" hidden="1" customHeight="1">
      <c r="F67" s="27">
        <f>IF(SER&lt;F78*SERLIMIT,SER,F78*SERLIMIT)</f>
        <v>0</v>
      </c>
    </row>
    <row r="68" spans="6:8" ht="12.75" hidden="1" customHeight="1"/>
    <row r="69" spans="6:8" ht="12.75" hidden="1" customHeight="1">
      <c r="F69" s="27">
        <f>It</f>
        <v>0.5</v>
      </c>
    </row>
    <row r="70" spans="6:8" ht="12.75" hidden="1" customHeight="1">
      <c r="H70" s="27">
        <f>SUM(F67:F68)*(1+F69/100)*(1+G69/100)</f>
        <v>0</v>
      </c>
    </row>
    <row r="71" spans="6:8" ht="12.75" hidden="1" customHeight="1"/>
    <row r="72" spans="6:8" ht="12.75" hidden="1" customHeight="1"/>
    <row r="73" spans="6:8" ht="12.75" hidden="1" customHeight="1"/>
    <row r="74" spans="6:8" ht="12.75" hidden="1" customHeight="1"/>
    <row r="75" spans="6:8" ht="12.75" hidden="1" customHeight="1"/>
    <row r="76" spans="6:8" ht="12.75" hidden="1" customHeight="1"/>
    <row r="77" spans="6:8" ht="12.75" hidden="1" customHeight="1"/>
    <row r="78" spans="6:8" ht="12.75" hidden="1" customHeight="1"/>
    <row r="79" spans="6:8" ht="12.75" hidden="1" customHeight="1"/>
    <row r="80" spans="6:8" ht="12.75" hidden="1" customHeight="1"/>
    <row r="81" spans="6:6" ht="12.75" hidden="1" customHeight="1"/>
    <row r="82" spans="6:6" ht="12.75" hidden="1" customHeight="1"/>
    <row r="83" spans="6:6" ht="12.75" hidden="1" customHeight="1">
      <c r="F83" s="27">
        <f>F102</f>
        <v>0</v>
      </c>
    </row>
    <row r="84" spans="6:6" ht="12.75" hidden="1" customHeight="1"/>
    <row r="85" spans="6:6" ht="12.75" hidden="1" customHeight="1"/>
    <row r="86" spans="6:6" ht="12.75" hidden="1" customHeight="1"/>
    <row r="87" spans="6:6" ht="12.75" hidden="1" customHeight="1">
      <c r="F87" s="27">
        <f>F85*F86</f>
        <v>0</v>
      </c>
    </row>
    <row r="88" spans="6:6" ht="12.75" hidden="1" customHeight="1">
      <c r="F88" s="27">
        <f>0.01*(F81+F84+F87)*(F76+F77)</f>
        <v>0</v>
      </c>
    </row>
  </sheetData>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pageSetUpPr fitToPage="1"/>
  </sheetPr>
  <dimension ref="A1:Q277"/>
  <sheetViews>
    <sheetView showGridLines="0" topLeftCell="B1" zoomScale="85" zoomScaleNormal="85" zoomScaleSheetLayoutView="100" workbookViewId="0">
      <selection activeCell="E86" sqref="E86:M86"/>
    </sheetView>
  </sheetViews>
  <sheetFormatPr defaultColWidth="9" defaultRowHeight="12.75" customHeight="1" zeroHeight="1"/>
  <cols>
    <col min="1" max="1" width="50.3828125" style="37" customWidth="1"/>
    <col min="2" max="2" width="11.15234375" style="37" customWidth="1"/>
    <col min="3" max="3" width="7.84375" style="43" customWidth="1"/>
    <col min="4" max="4" width="7" style="43" customWidth="1"/>
    <col min="5" max="5" width="8.15234375" style="43" customWidth="1"/>
    <col min="6" max="6" width="9.765625" style="37" customWidth="1"/>
    <col min="7" max="7" width="11.15234375" style="37" bestFit="1" customWidth="1"/>
    <col min="8" max="13" width="8.23046875" style="37" customWidth="1"/>
    <col min="14" max="14" width="13.3828125" style="37" bestFit="1" customWidth="1"/>
    <col min="15" max="28" width="9" style="37" customWidth="1"/>
    <col min="29" max="16384" width="9" style="37"/>
  </cols>
  <sheetData>
    <row r="1" spans="1:17" s="33" customFormat="1" ht="15">
      <c r="A1" s="32" t="s">
        <v>101</v>
      </c>
      <c r="C1" s="34"/>
      <c r="D1" s="34"/>
      <c r="E1" s="34"/>
      <c r="N1" s="361"/>
    </row>
    <row r="2" spans="1:17" s="33" customFormat="1" ht="15">
      <c r="A2" s="32" t="str">
        <f>CompName</f>
        <v>Scottish Hydro Electric Transmission Plc</v>
      </c>
      <c r="B2" s="214"/>
      <c r="C2" s="34"/>
      <c r="D2" s="34"/>
      <c r="E2" s="34"/>
      <c r="N2" s="361"/>
    </row>
    <row r="3" spans="1:17" s="33" customFormat="1" ht="13.5">
      <c r="A3" s="35" t="str">
        <f>'R5 Input page'!F7</f>
        <v>Regulatory Year ending 31 March 2020</v>
      </c>
      <c r="C3" s="34"/>
      <c r="D3" s="34"/>
      <c r="E3" s="34"/>
      <c r="N3" s="361"/>
    </row>
    <row r="4" spans="1:17" ht="15">
      <c r="A4" s="32"/>
      <c r="B4" s="33"/>
      <c r="C4" s="36"/>
      <c r="D4" s="36"/>
      <c r="E4" s="36"/>
      <c r="F4" s="36"/>
      <c r="G4" s="36"/>
      <c r="H4" s="36"/>
      <c r="I4" s="410" t="s">
        <v>102</v>
      </c>
      <c r="J4" s="410"/>
      <c r="K4" s="411"/>
      <c r="L4" s="36"/>
      <c r="M4" s="36"/>
      <c r="N4" s="349"/>
    </row>
    <row r="5" spans="1:17" ht="15">
      <c r="A5" s="32" t="s">
        <v>103</v>
      </c>
      <c r="B5" s="211"/>
      <c r="C5" s="212" t="s">
        <v>0</v>
      </c>
      <c r="D5" s="48">
        <v>2012</v>
      </c>
      <c r="E5" s="48">
        <v>2013</v>
      </c>
      <c r="F5" s="48">
        <v>2014</v>
      </c>
      <c r="G5" s="48">
        <v>2015</v>
      </c>
      <c r="H5" s="48">
        <v>2016</v>
      </c>
      <c r="I5" s="48">
        <v>2017</v>
      </c>
      <c r="J5" s="48">
        <v>2018</v>
      </c>
      <c r="K5" s="48">
        <v>2019</v>
      </c>
      <c r="L5" s="48">
        <v>2020</v>
      </c>
      <c r="M5" s="48">
        <v>2021</v>
      </c>
      <c r="N5" s="349" t="s">
        <v>104</v>
      </c>
    </row>
    <row r="6" spans="1:17" s="40" customFormat="1" ht="13.5">
      <c r="A6" s="38"/>
      <c r="B6" s="38"/>
      <c r="C6" s="38"/>
      <c r="D6" s="38"/>
      <c r="E6" s="38"/>
      <c r="F6" s="38"/>
      <c r="G6" s="38"/>
      <c r="H6" s="38"/>
      <c r="I6" s="38"/>
      <c r="J6" s="38"/>
      <c r="K6" s="38"/>
      <c r="L6" s="38"/>
      <c r="M6" s="38"/>
      <c r="N6" s="362"/>
      <c r="O6" s="38"/>
      <c r="P6" s="39"/>
      <c r="Q6" s="38"/>
    </row>
    <row r="7" spans="1:17" ht="13.5">
      <c r="B7" s="41"/>
      <c r="C7" s="42"/>
      <c r="D7" s="42"/>
      <c r="E7" s="42"/>
      <c r="F7" s="41"/>
      <c r="G7" s="41"/>
      <c r="I7" s="36"/>
      <c r="J7" s="36"/>
      <c r="K7" s="36"/>
      <c r="L7" s="36"/>
      <c r="M7" s="36"/>
      <c r="N7" s="349"/>
    </row>
    <row r="8" spans="1:17" ht="15">
      <c r="A8" s="32" t="s">
        <v>106</v>
      </c>
      <c r="B8" s="41"/>
      <c r="C8" s="42"/>
      <c r="D8" s="42"/>
      <c r="E8" s="42"/>
      <c r="F8" s="41"/>
      <c r="G8" s="41"/>
      <c r="I8" s="36"/>
      <c r="J8" s="36"/>
      <c r="K8" s="36"/>
      <c r="L8" s="36"/>
      <c r="M8" s="36"/>
      <c r="N8" s="349"/>
    </row>
    <row r="9" spans="1:17" ht="13.5">
      <c r="A9" s="33" t="s">
        <v>485</v>
      </c>
      <c r="B9" s="33" t="s">
        <v>107</v>
      </c>
      <c r="C9" s="34" t="s">
        <v>1</v>
      </c>
      <c r="D9" s="34"/>
      <c r="E9" s="34"/>
      <c r="F9" s="69">
        <v>104.539</v>
      </c>
      <c r="G9" s="69">
        <v>111.515</v>
      </c>
      <c r="H9" s="69">
        <v>124.139</v>
      </c>
      <c r="I9" s="69">
        <v>123.63500000000001</v>
      </c>
      <c r="J9" s="69">
        <v>119.59699999999999</v>
      </c>
      <c r="K9" s="69">
        <v>120</v>
      </c>
      <c r="L9" s="69">
        <v>122.09699999999999</v>
      </c>
      <c r="M9" s="69">
        <v>122.52500000000001</v>
      </c>
      <c r="N9" s="349" t="s">
        <v>107</v>
      </c>
      <c r="O9" s="35"/>
      <c r="P9" s="35"/>
      <c r="Q9" s="35"/>
    </row>
    <row r="10" spans="1:17" ht="13.5">
      <c r="A10" s="33"/>
      <c r="B10" s="33"/>
      <c r="C10" s="34"/>
      <c r="F10" s="43"/>
      <c r="G10" s="43"/>
      <c r="H10" s="43"/>
      <c r="I10" s="43"/>
      <c r="J10" s="43"/>
      <c r="K10" s="43"/>
      <c r="L10" s="43"/>
      <c r="M10" s="43"/>
      <c r="N10" s="350"/>
    </row>
    <row r="11" spans="1:17" ht="15">
      <c r="A11" s="32" t="s">
        <v>108</v>
      </c>
      <c r="B11" s="33"/>
      <c r="C11" s="34"/>
      <c r="D11" s="34"/>
      <c r="E11" s="34"/>
      <c r="F11" s="33"/>
      <c r="G11" s="33"/>
      <c r="H11" s="33"/>
      <c r="I11" s="33"/>
      <c r="J11" s="33"/>
      <c r="K11" s="33"/>
      <c r="L11" s="33"/>
      <c r="M11" s="33"/>
      <c r="N11" s="349"/>
    </row>
    <row r="12" spans="1:17" ht="13.5">
      <c r="A12" s="33" t="s">
        <v>484</v>
      </c>
      <c r="B12" s="33" t="s">
        <v>121</v>
      </c>
      <c r="C12" s="44" t="s">
        <v>1</v>
      </c>
      <c r="D12" s="34"/>
      <c r="E12" s="34"/>
      <c r="F12" s="69">
        <v>9.4</v>
      </c>
      <c r="G12" s="69">
        <v>9.4</v>
      </c>
      <c r="H12" s="69">
        <v>12.7</v>
      </c>
      <c r="I12" s="69">
        <v>12.7</v>
      </c>
      <c r="J12" s="69">
        <v>12.7</v>
      </c>
      <c r="K12" s="69">
        <v>12.7</v>
      </c>
      <c r="L12" s="69">
        <v>12.7</v>
      </c>
      <c r="M12" s="69">
        <v>12.7</v>
      </c>
      <c r="N12" s="349" t="s">
        <v>121</v>
      </c>
    </row>
    <row r="13" spans="1:17" ht="13.5">
      <c r="A13" s="33"/>
      <c r="B13" s="33"/>
      <c r="C13" s="44"/>
      <c r="D13" s="34"/>
      <c r="E13" s="34"/>
      <c r="F13" s="34"/>
      <c r="G13" s="34"/>
      <c r="H13" s="34"/>
      <c r="I13" s="34"/>
      <c r="J13" s="34"/>
      <c r="K13" s="34"/>
      <c r="L13" s="34"/>
      <c r="M13" s="34"/>
      <c r="N13" s="349"/>
    </row>
    <row r="14" spans="1:17" ht="13.5" hidden="1">
      <c r="A14" s="33"/>
      <c r="B14" s="33"/>
      <c r="C14" s="45"/>
      <c r="D14" s="34"/>
      <c r="E14" s="34"/>
      <c r="F14" s="34"/>
      <c r="G14" s="34"/>
      <c r="H14" s="34"/>
      <c r="I14" s="34"/>
      <c r="J14" s="34"/>
      <c r="K14" s="34"/>
      <c r="L14" s="34"/>
      <c r="M14" s="34"/>
      <c r="N14" s="349"/>
    </row>
    <row r="15" spans="1:17" ht="13.5" hidden="1">
      <c r="A15" s="38"/>
      <c r="B15" s="33"/>
      <c r="C15" s="45"/>
      <c r="D15" s="34"/>
      <c r="E15" s="34"/>
      <c r="F15" s="34"/>
      <c r="G15" s="34"/>
      <c r="H15" s="34"/>
      <c r="I15" s="34"/>
      <c r="J15" s="34"/>
      <c r="K15" s="34"/>
      <c r="L15" s="34"/>
      <c r="M15" s="34"/>
      <c r="N15" s="349"/>
    </row>
    <row r="16" spans="1:17" ht="13.5" hidden="1">
      <c r="A16" s="33"/>
      <c r="B16" s="33"/>
      <c r="D16" s="34"/>
      <c r="E16" s="34"/>
      <c r="F16" s="33"/>
      <c r="G16" s="33"/>
      <c r="H16" s="33"/>
      <c r="I16" s="33"/>
      <c r="J16" s="33"/>
      <c r="K16" s="33"/>
      <c r="L16" s="33"/>
      <c r="M16" s="33"/>
      <c r="N16" s="349"/>
    </row>
    <row r="17" spans="1:17" ht="13.5" hidden="1">
      <c r="A17" s="33"/>
      <c r="B17" s="46"/>
      <c r="F17" s="33"/>
      <c r="G17" s="33"/>
      <c r="H17" s="33"/>
      <c r="I17" s="33"/>
      <c r="J17" s="33"/>
      <c r="K17" s="33"/>
      <c r="L17" s="33"/>
      <c r="M17" s="33"/>
      <c r="N17" s="349"/>
    </row>
    <row r="18" spans="1:17" ht="12.75" customHeight="1">
      <c r="N18" s="335"/>
    </row>
    <row r="19" spans="1:17" ht="12.75" customHeight="1">
      <c r="A19" s="56" t="s">
        <v>197</v>
      </c>
      <c r="N19" s="335"/>
    </row>
    <row r="20" spans="1:17" ht="12.75" customHeight="1">
      <c r="N20" s="335"/>
    </row>
    <row r="21" spans="1:17" ht="12.75" customHeight="1">
      <c r="A21" s="55" t="s">
        <v>486</v>
      </c>
      <c r="N21" s="335"/>
    </row>
    <row r="22" spans="1:17" ht="12.75" customHeight="1">
      <c r="A22" s="57" t="s">
        <v>199</v>
      </c>
      <c r="B22" s="57" t="s">
        <v>198</v>
      </c>
      <c r="C22" s="59" t="s">
        <v>1</v>
      </c>
      <c r="F22" s="70">
        <v>1.6E-2</v>
      </c>
      <c r="G22" s="70">
        <v>1.6E-2</v>
      </c>
      <c r="H22" s="70">
        <v>1.6E-2</v>
      </c>
      <c r="I22" s="70">
        <v>1.6E-2</v>
      </c>
      <c r="J22" s="70">
        <v>1.6E-2</v>
      </c>
      <c r="K22" s="70">
        <v>1.6E-2</v>
      </c>
      <c r="L22" s="70">
        <v>1.6E-2</v>
      </c>
      <c r="M22" s="70">
        <v>1.6E-2</v>
      </c>
      <c r="N22" s="352" t="s">
        <v>198</v>
      </c>
    </row>
    <row r="23" spans="1:17" s="50" customFormat="1" ht="13.5">
      <c r="A23" t="s">
        <v>65</v>
      </c>
      <c r="B23" t="s">
        <v>201</v>
      </c>
      <c r="C23" s="51" t="s">
        <v>200</v>
      </c>
      <c r="D23" s="43"/>
      <c r="E23" s="43"/>
      <c r="F23" s="71">
        <v>120</v>
      </c>
      <c r="G23" s="71">
        <v>120</v>
      </c>
      <c r="H23" s="71">
        <v>120</v>
      </c>
      <c r="I23" s="71">
        <v>120</v>
      </c>
      <c r="J23" s="71">
        <v>120</v>
      </c>
      <c r="K23" s="71">
        <v>120</v>
      </c>
      <c r="L23" s="71">
        <v>120</v>
      </c>
      <c r="M23" s="71">
        <v>120</v>
      </c>
      <c r="N23" s="351" t="s">
        <v>201</v>
      </c>
      <c r="O23" s="47"/>
      <c r="P23" s="47"/>
      <c r="Q23" s="47"/>
    </row>
    <row r="24" spans="1:17" s="50" customFormat="1" ht="13.5">
      <c r="A24" t="s">
        <v>64</v>
      </c>
      <c r="B24" t="s">
        <v>202</v>
      </c>
      <c r="C24" s="51" t="s">
        <v>105</v>
      </c>
      <c r="D24" s="51"/>
      <c r="E24" s="43"/>
      <c r="F24" s="72">
        <v>0.03</v>
      </c>
      <c r="G24" s="72">
        <v>0.03</v>
      </c>
      <c r="H24" s="72">
        <v>0.03</v>
      </c>
      <c r="I24" s="72">
        <v>0.03</v>
      </c>
      <c r="J24" s="72">
        <v>0.03</v>
      </c>
      <c r="K24" s="72">
        <v>0.03</v>
      </c>
      <c r="L24" s="72">
        <v>0.03</v>
      </c>
      <c r="M24" s="72">
        <v>0.03</v>
      </c>
      <c r="N24" s="351" t="s">
        <v>202</v>
      </c>
      <c r="O24" s="47"/>
      <c r="P24" s="47"/>
      <c r="Q24" s="47"/>
    </row>
    <row r="25" spans="1:17" ht="12.75" customHeight="1">
      <c r="N25" s="335"/>
    </row>
    <row r="26" spans="1:17" s="1" customFormat="1" ht="14">
      <c r="A26" s="82" t="s">
        <v>390</v>
      </c>
      <c r="E26" s="78"/>
      <c r="F26" s="78"/>
      <c r="G26" s="78"/>
      <c r="N26" s="363"/>
      <c r="P26" s="83"/>
    </row>
    <row r="27" spans="1:17" s="1" customFormat="1" ht="14">
      <c r="E27" s="78"/>
      <c r="F27" s="78"/>
      <c r="G27" s="78"/>
      <c r="H27" s="78"/>
      <c r="I27" s="78"/>
      <c r="J27" s="78"/>
      <c r="K27" s="78"/>
      <c r="N27" s="363"/>
      <c r="P27" s="83"/>
    </row>
    <row r="28" spans="1:17" s="1" customFormat="1" ht="14">
      <c r="A28" s="54" t="s">
        <v>391</v>
      </c>
      <c r="B28" s="84" t="s">
        <v>392</v>
      </c>
      <c r="C28" s="80" t="s">
        <v>416</v>
      </c>
      <c r="D28" s="54"/>
      <c r="E28" s="54"/>
      <c r="F28" s="85">
        <v>10</v>
      </c>
      <c r="G28" s="78"/>
      <c r="H28" s="78"/>
      <c r="I28" s="78"/>
      <c r="J28" s="78"/>
      <c r="K28" s="78"/>
      <c r="N28" s="363"/>
      <c r="P28" s="83" t="s">
        <v>392</v>
      </c>
    </row>
    <row r="29" spans="1:17" s="1" customFormat="1" ht="14">
      <c r="A29" s="54" t="s">
        <v>393</v>
      </c>
      <c r="B29" s="84" t="s">
        <v>394</v>
      </c>
      <c r="C29" s="80" t="s">
        <v>416</v>
      </c>
      <c r="D29" s="54"/>
      <c r="E29" s="54"/>
      <c r="F29" s="85">
        <v>12</v>
      </c>
      <c r="G29" s="78"/>
      <c r="H29" s="78"/>
      <c r="I29" s="78"/>
      <c r="J29" s="78"/>
      <c r="K29" s="78"/>
      <c r="N29" s="363"/>
      <c r="P29" s="83" t="s">
        <v>394</v>
      </c>
    </row>
    <row r="30" spans="1:17" s="1" customFormat="1" ht="14">
      <c r="A30" s="86"/>
      <c r="B30" s="87"/>
      <c r="C30" s="80"/>
      <c r="D30" s="54"/>
      <c r="E30" s="54"/>
      <c r="F30" s="54"/>
      <c r="G30" s="78"/>
      <c r="H30" s="78"/>
      <c r="I30" s="78"/>
      <c r="J30" s="78"/>
      <c r="K30" s="78"/>
      <c r="N30" s="363"/>
      <c r="P30" s="83"/>
    </row>
    <row r="31" spans="1:17" s="1" customFormat="1" ht="14">
      <c r="A31" s="54" t="s">
        <v>395</v>
      </c>
      <c r="B31" s="84" t="s">
        <v>396</v>
      </c>
      <c r="C31" s="80" t="s">
        <v>105</v>
      </c>
      <c r="D31" s="54"/>
      <c r="E31" s="54"/>
      <c r="F31" s="372">
        <f>0.5/100</f>
        <v>5.0000000000000001E-3</v>
      </c>
      <c r="G31" s="78"/>
      <c r="H31" s="78"/>
      <c r="I31" s="78"/>
      <c r="J31" s="78"/>
      <c r="K31" s="78"/>
      <c r="N31" s="363"/>
      <c r="P31" s="83" t="s">
        <v>396</v>
      </c>
    </row>
    <row r="32" spans="1:17" s="1" customFormat="1" ht="14">
      <c r="A32" s="54" t="s">
        <v>397</v>
      </c>
      <c r="B32" s="84" t="s">
        <v>202</v>
      </c>
      <c r="C32" s="80" t="s">
        <v>105</v>
      </c>
      <c r="D32" s="54"/>
      <c r="E32" s="54"/>
      <c r="F32" s="372">
        <f>-0.75/100</f>
        <v>-7.4999999999999997E-3</v>
      </c>
      <c r="G32" s="78"/>
      <c r="H32" s="78"/>
      <c r="I32" s="78"/>
      <c r="J32" s="78"/>
      <c r="K32" s="78"/>
      <c r="N32" s="363"/>
      <c r="P32" s="83" t="s">
        <v>202</v>
      </c>
    </row>
    <row r="33" spans="1:16" s="1" customFormat="1" ht="14">
      <c r="A33" s="54"/>
      <c r="B33" s="87"/>
      <c r="C33" s="80"/>
      <c r="D33" s="54"/>
      <c r="E33" s="54"/>
      <c r="F33" s="54"/>
      <c r="G33" s="78"/>
      <c r="H33" s="78"/>
      <c r="I33" s="78"/>
      <c r="J33" s="78"/>
      <c r="K33" s="78"/>
      <c r="N33" s="363"/>
      <c r="P33" s="83"/>
    </row>
    <row r="34" spans="1:16" s="1" customFormat="1" ht="14">
      <c r="A34" s="54" t="s">
        <v>398</v>
      </c>
      <c r="B34" s="84" t="s">
        <v>399</v>
      </c>
      <c r="C34" s="80" t="s">
        <v>416</v>
      </c>
      <c r="D34" s="54"/>
      <c r="E34" s="54"/>
      <c r="F34" s="85">
        <v>27</v>
      </c>
      <c r="G34" s="78"/>
      <c r="H34" s="78"/>
      <c r="I34" s="78"/>
      <c r="J34" s="78"/>
      <c r="K34" s="78"/>
      <c r="N34" s="363"/>
      <c r="P34" s="83" t="s">
        <v>399</v>
      </c>
    </row>
    <row r="35" spans="1:16" s="33" customFormat="1" ht="12.75" customHeight="1">
      <c r="C35" s="34"/>
      <c r="D35" s="34"/>
      <c r="E35" s="34"/>
      <c r="N35" s="361"/>
    </row>
    <row r="36" spans="1:16" ht="12.75" customHeight="1">
      <c r="N36" s="335"/>
    </row>
    <row r="37" spans="1:16" ht="12.75" customHeight="1">
      <c r="A37" s="57" t="s">
        <v>487</v>
      </c>
      <c r="B37" s="57" t="s">
        <v>213</v>
      </c>
      <c r="C37" s="80" t="s">
        <v>105</v>
      </c>
      <c r="F37" s="72">
        <v>0.5</v>
      </c>
      <c r="G37" s="72">
        <v>0.5</v>
      </c>
      <c r="H37" s="72">
        <v>0.5</v>
      </c>
      <c r="I37" s="72">
        <v>0.5</v>
      </c>
      <c r="J37" s="72">
        <v>0.5</v>
      </c>
      <c r="K37" s="72">
        <v>0.5</v>
      </c>
      <c r="L37" s="72">
        <v>0.5</v>
      </c>
      <c r="M37" s="72">
        <v>0.5</v>
      </c>
      <c r="N37" s="352" t="s">
        <v>213</v>
      </c>
    </row>
    <row r="38" spans="1:16" ht="12.75" customHeight="1">
      <c r="A38" s="57"/>
      <c r="N38" s="335"/>
    </row>
    <row r="39" spans="1:16" ht="12.75" customHeight="1">
      <c r="A39" s="57"/>
      <c r="N39" s="335"/>
    </row>
    <row r="40" spans="1:16" ht="12.75" customHeight="1">
      <c r="A40" t="s">
        <v>60</v>
      </c>
      <c r="B40" t="s">
        <v>57</v>
      </c>
      <c r="C40" s="80" t="s">
        <v>105</v>
      </c>
      <c r="D40"/>
      <c r="E40"/>
      <c r="F40" s="72">
        <v>7.0000000000000001E-3</v>
      </c>
      <c r="G40" s="72">
        <v>7.0000000000000001E-3</v>
      </c>
      <c r="H40" s="72">
        <v>7.0000000000000001E-3</v>
      </c>
      <c r="I40" s="72">
        <v>7.0000000000000001E-3</v>
      </c>
      <c r="J40" s="72">
        <v>7.0000000000000001E-3</v>
      </c>
      <c r="K40" s="72">
        <v>7.0000000000000001E-3</v>
      </c>
      <c r="L40" s="72">
        <v>7.0000000000000001E-3</v>
      </c>
      <c r="M40" s="72">
        <v>7.0000000000000001E-3</v>
      </c>
      <c r="N40" s="352" t="s">
        <v>57</v>
      </c>
    </row>
    <row r="41" spans="1:16" ht="12.75" customHeight="1">
      <c r="A41" s="333"/>
      <c r="B41"/>
      <c r="C41"/>
      <c r="D41"/>
      <c r="E41"/>
      <c r="F41" s="64"/>
      <c r="G41" s="64"/>
      <c r="H41" s="64"/>
      <c r="I41" s="64"/>
      <c r="J41" s="64"/>
      <c r="K41" s="64"/>
      <c r="L41" s="64"/>
      <c r="M41" s="64"/>
      <c r="N41" s="352"/>
    </row>
    <row r="42" spans="1:16" ht="12.75" customHeight="1">
      <c r="A42" s="334" t="s">
        <v>374</v>
      </c>
      <c r="B42"/>
      <c r="C42"/>
      <c r="D42"/>
      <c r="E42"/>
      <c r="F42" s="64"/>
      <c r="G42" s="64"/>
      <c r="H42" s="64"/>
      <c r="I42" s="64"/>
      <c r="J42" s="64"/>
      <c r="K42" s="64"/>
      <c r="L42" s="64"/>
      <c r="M42" s="64"/>
      <c r="N42" s="352"/>
    </row>
    <row r="43" spans="1:16" ht="12.75" customHeight="1">
      <c r="A43" s="335" t="s">
        <v>536</v>
      </c>
      <c r="B43" s="57" t="s">
        <v>537</v>
      </c>
      <c r="C43" s="34" t="s">
        <v>538</v>
      </c>
      <c r="E43"/>
      <c r="F43" s="69">
        <v>0</v>
      </c>
      <c r="G43" s="69">
        <v>0</v>
      </c>
      <c r="H43" s="69">
        <v>0</v>
      </c>
      <c r="I43" s="69">
        <v>7.4</v>
      </c>
      <c r="J43" s="69">
        <v>7.4</v>
      </c>
      <c r="K43" s="69">
        <v>7.4</v>
      </c>
      <c r="L43" s="69">
        <v>7.4</v>
      </c>
      <c r="M43" s="69">
        <v>7.4</v>
      </c>
      <c r="N43" s="352" t="s">
        <v>537</v>
      </c>
    </row>
    <row r="44" spans="1:16" ht="12.75" customHeight="1">
      <c r="A44" s="335" t="s">
        <v>539</v>
      </c>
      <c r="B44" s="57" t="s">
        <v>540</v>
      </c>
      <c r="C44" s="34" t="s">
        <v>538</v>
      </c>
      <c r="E44"/>
      <c r="F44" s="69">
        <v>0</v>
      </c>
      <c r="G44" s="69">
        <v>0</v>
      </c>
      <c r="H44" s="69">
        <v>0</v>
      </c>
      <c r="I44" s="69">
        <v>9</v>
      </c>
      <c r="J44" s="69">
        <v>9</v>
      </c>
      <c r="K44" s="69">
        <v>9</v>
      </c>
      <c r="L44" s="69">
        <v>9</v>
      </c>
      <c r="M44" s="69">
        <v>9</v>
      </c>
      <c r="N44" s="352" t="s">
        <v>540</v>
      </c>
    </row>
    <row r="45" spans="1:16" ht="12.75" customHeight="1">
      <c r="A45" s="335" t="s">
        <v>541</v>
      </c>
      <c r="B45" s="57" t="s">
        <v>542</v>
      </c>
      <c r="C45" s="34" t="s">
        <v>538</v>
      </c>
      <c r="E45"/>
      <c r="F45" s="69">
        <v>0</v>
      </c>
      <c r="G45" s="69">
        <v>0</v>
      </c>
      <c r="H45" s="69">
        <v>0</v>
      </c>
      <c r="I45" s="69">
        <v>5.8</v>
      </c>
      <c r="J45" s="69">
        <v>5.8</v>
      </c>
      <c r="K45" s="69">
        <v>5.8</v>
      </c>
      <c r="L45" s="69">
        <v>5.8</v>
      </c>
      <c r="M45" s="69">
        <v>5.8</v>
      </c>
      <c r="N45" s="352" t="s">
        <v>542</v>
      </c>
    </row>
    <row r="46" spans="1:16" ht="12.75" customHeight="1">
      <c r="A46" s="335" t="s">
        <v>543</v>
      </c>
      <c r="B46" s="57" t="s">
        <v>544</v>
      </c>
      <c r="C46" s="34" t="s">
        <v>573</v>
      </c>
      <c r="E46"/>
      <c r="F46" s="329">
        <v>1</v>
      </c>
      <c r="G46" s="329">
        <v>1</v>
      </c>
      <c r="H46" s="329">
        <v>1</v>
      </c>
      <c r="I46" s="329">
        <v>1</v>
      </c>
      <c r="J46" s="329">
        <v>1</v>
      </c>
      <c r="K46" s="329">
        <v>1</v>
      </c>
      <c r="L46" s="329">
        <v>1</v>
      </c>
      <c r="M46" s="329">
        <v>1</v>
      </c>
      <c r="N46" s="352" t="s">
        <v>544</v>
      </c>
    </row>
    <row r="47" spans="1:16" ht="12.75" customHeight="1">
      <c r="A47" s="335" t="s">
        <v>545</v>
      </c>
      <c r="B47" s="57" t="s">
        <v>546</v>
      </c>
      <c r="C47" s="34" t="s">
        <v>573</v>
      </c>
      <c r="E47"/>
      <c r="F47" s="329">
        <v>-1</v>
      </c>
      <c r="G47" s="329">
        <v>-1</v>
      </c>
      <c r="H47" s="329">
        <v>-1</v>
      </c>
      <c r="I47" s="329">
        <v>-1</v>
      </c>
      <c r="J47" s="329">
        <v>-1</v>
      </c>
      <c r="K47" s="329">
        <v>-1</v>
      </c>
      <c r="L47" s="329">
        <v>-1</v>
      </c>
      <c r="M47" s="329">
        <v>-1</v>
      </c>
      <c r="N47" s="352" t="s">
        <v>546</v>
      </c>
    </row>
    <row r="48" spans="1:16" s="33" customFormat="1" ht="12.75" customHeight="1">
      <c r="A48" s="336" t="s">
        <v>488</v>
      </c>
      <c r="B48" s="318" t="s">
        <v>550</v>
      </c>
      <c r="C48" s="34" t="s">
        <v>118</v>
      </c>
      <c r="D48" s="34"/>
      <c r="E48" s="34"/>
      <c r="F48" s="88">
        <v>5.0000000000000001E-3</v>
      </c>
      <c r="G48" s="88">
        <v>5.0000000000000001E-3</v>
      </c>
      <c r="H48" s="88">
        <v>5.0000000000000001E-3</v>
      </c>
      <c r="I48" s="88">
        <v>5.0000000000000001E-3</v>
      </c>
      <c r="J48" s="88">
        <v>5.0000000000000001E-3</v>
      </c>
      <c r="K48" s="88">
        <v>5.0000000000000001E-3</v>
      </c>
      <c r="L48" s="88">
        <v>5.0000000000000001E-3</v>
      </c>
      <c r="M48" s="88">
        <v>5.0000000000000001E-3</v>
      </c>
      <c r="N48" s="352" t="s">
        <v>549</v>
      </c>
    </row>
    <row r="49" spans="1:14" ht="12.75" customHeight="1">
      <c r="A49" s="336" t="s">
        <v>547</v>
      </c>
      <c r="B49" s="33" t="s">
        <v>548</v>
      </c>
      <c r="C49" s="34" t="s">
        <v>105</v>
      </c>
      <c r="F49" s="72">
        <v>0</v>
      </c>
      <c r="G49" s="72">
        <v>0</v>
      </c>
      <c r="H49" s="72">
        <v>0</v>
      </c>
      <c r="I49" s="72">
        <v>0.6</v>
      </c>
      <c r="J49" s="72">
        <v>0.6</v>
      </c>
      <c r="K49" s="72">
        <v>0.6</v>
      </c>
      <c r="L49" s="72">
        <v>0.6</v>
      </c>
      <c r="M49" s="72">
        <v>0.6</v>
      </c>
      <c r="N49" s="352" t="s">
        <v>548</v>
      </c>
    </row>
    <row r="50" spans="1:14" s="33" customFormat="1" ht="12.75" customHeight="1">
      <c r="A50" s="336"/>
      <c r="B50" s="53"/>
      <c r="C50" s="53"/>
      <c r="D50" s="53"/>
      <c r="E50" s="53"/>
      <c r="F50" s="64"/>
      <c r="G50" s="64"/>
      <c r="H50" s="64"/>
      <c r="I50" s="64"/>
      <c r="J50" s="64"/>
      <c r="K50" s="64"/>
      <c r="L50" s="64"/>
      <c r="M50" s="64"/>
      <c r="N50" s="361"/>
    </row>
    <row r="51" spans="1:14" s="33" customFormat="1" ht="12.75" customHeight="1">
      <c r="A51" s="331" t="s">
        <v>551</v>
      </c>
      <c r="B51" s="121" t="s">
        <v>552</v>
      </c>
      <c r="C51" s="34" t="s">
        <v>538</v>
      </c>
      <c r="D51" s="43"/>
      <c r="E51" s="43"/>
      <c r="F51" s="69">
        <v>0</v>
      </c>
      <c r="G51" s="69">
        <v>0</v>
      </c>
      <c r="H51" s="69">
        <v>0</v>
      </c>
      <c r="I51" s="69">
        <v>89</v>
      </c>
      <c r="J51" s="69">
        <v>89</v>
      </c>
      <c r="K51" s="69">
        <v>89</v>
      </c>
      <c r="L51" s="69">
        <v>89</v>
      </c>
      <c r="M51" s="69">
        <v>89</v>
      </c>
      <c r="N51" s="377" t="s">
        <v>552</v>
      </c>
    </row>
    <row r="52" spans="1:14" s="33" customFormat="1" ht="12.75" customHeight="1">
      <c r="A52" s="331" t="s">
        <v>553</v>
      </c>
      <c r="B52" s="121" t="s">
        <v>554</v>
      </c>
      <c r="C52" s="34" t="s">
        <v>538</v>
      </c>
      <c r="D52" s="43"/>
      <c r="E52" s="43"/>
      <c r="F52" s="69">
        <v>0</v>
      </c>
      <c r="G52" s="69">
        <v>0</v>
      </c>
      <c r="H52" s="69">
        <v>0</v>
      </c>
      <c r="I52" s="69">
        <v>100</v>
      </c>
      <c r="J52" s="69">
        <v>100</v>
      </c>
      <c r="K52" s="69">
        <v>100</v>
      </c>
      <c r="L52" s="69">
        <v>100</v>
      </c>
      <c r="M52" s="69">
        <v>100</v>
      </c>
      <c r="N52" s="377" t="s">
        <v>554</v>
      </c>
    </row>
    <row r="53" spans="1:14" s="33" customFormat="1" ht="12.75" customHeight="1">
      <c r="A53" s="331" t="s">
        <v>555</v>
      </c>
      <c r="B53" s="131" t="s">
        <v>556</v>
      </c>
      <c r="C53" s="34" t="s">
        <v>573</v>
      </c>
      <c r="D53" s="43"/>
      <c r="E53" s="43"/>
      <c r="F53" s="329">
        <v>1</v>
      </c>
      <c r="G53" s="329">
        <v>1</v>
      </c>
      <c r="H53" s="329">
        <v>1</v>
      </c>
      <c r="I53" s="329">
        <v>1</v>
      </c>
      <c r="J53" s="329">
        <v>1</v>
      </c>
      <c r="K53" s="329">
        <v>1</v>
      </c>
      <c r="L53" s="329">
        <v>1</v>
      </c>
      <c r="M53" s="329">
        <v>1</v>
      </c>
      <c r="N53" s="343" t="s">
        <v>556</v>
      </c>
    </row>
    <row r="54" spans="1:14" s="33" customFormat="1" ht="12.75" customHeight="1">
      <c r="A54" s="331" t="s">
        <v>557</v>
      </c>
      <c r="B54" s="121" t="s">
        <v>558</v>
      </c>
      <c r="C54" s="34" t="s">
        <v>538</v>
      </c>
      <c r="D54" s="43"/>
      <c r="E54" s="43"/>
      <c r="F54" s="69">
        <v>0</v>
      </c>
      <c r="G54" s="69">
        <v>0</v>
      </c>
      <c r="H54" s="69">
        <v>0</v>
      </c>
      <c r="I54" s="69">
        <v>78</v>
      </c>
      <c r="J54" s="69">
        <v>78</v>
      </c>
      <c r="K54" s="69">
        <v>78</v>
      </c>
      <c r="L54" s="69">
        <v>78</v>
      </c>
      <c r="M54" s="69">
        <v>78</v>
      </c>
      <c r="N54" s="377" t="s">
        <v>558</v>
      </c>
    </row>
    <row r="55" spans="1:14" s="33" customFormat="1" ht="12.75" customHeight="1">
      <c r="A55" s="331" t="s">
        <v>559</v>
      </c>
      <c r="B55" s="121" t="s">
        <v>560</v>
      </c>
      <c r="C55" s="34" t="s">
        <v>573</v>
      </c>
      <c r="D55" s="43"/>
      <c r="E55" s="43"/>
      <c r="F55" s="329">
        <v>-1</v>
      </c>
      <c r="G55" s="329">
        <v>-1</v>
      </c>
      <c r="H55" s="329">
        <v>-1</v>
      </c>
      <c r="I55" s="329">
        <v>-1</v>
      </c>
      <c r="J55" s="329">
        <v>-1</v>
      </c>
      <c r="K55" s="329">
        <v>-1</v>
      </c>
      <c r="L55" s="329">
        <v>-1</v>
      </c>
      <c r="M55" s="329">
        <v>-1</v>
      </c>
      <c r="N55" s="377" t="s">
        <v>560</v>
      </c>
    </row>
    <row r="56" spans="1:14" s="33" customFormat="1" ht="12.75" customHeight="1">
      <c r="A56" s="331" t="s">
        <v>561</v>
      </c>
      <c r="B56" s="121" t="s">
        <v>562</v>
      </c>
      <c r="C56" s="34" t="s">
        <v>105</v>
      </c>
      <c r="D56" s="43"/>
      <c r="E56" s="43"/>
      <c r="F56" s="72">
        <v>0</v>
      </c>
      <c r="G56" s="72">
        <v>0</v>
      </c>
      <c r="H56" s="72">
        <v>0</v>
      </c>
      <c r="I56" s="72">
        <v>0.3</v>
      </c>
      <c r="J56" s="72">
        <v>0.3</v>
      </c>
      <c r="K56" s="72">
        <v>0.3</v>
      </c>
      <c r="L56" s="72">
        <v>0.3</v>
      </c>
      <c r="M56" s="72">
        <v>0.3</v>
      </c>
      <c r="N56" s="377" t="s">
        <v>562</v>
      </c>
    </row>
    <row r="57" spans="1:14" s="33" customFormat="1" ht="12.75" customHeight="1">
      <c r="A57" s="336"/>
      <c r="C57" s="34"/>
      <c r="D57" s="43"/>
      <c r="E57" s="43"/>
      <c r="F57" s="92"/>
      <c r="G57" s="92"/>
      <c r="H57" s="92"/>
      <c r="I57" s="92"/>
      <c r="J57" s="92"/>
      <c r="K57" s="92"/>
      <c r="L57" s="92"/>
      <c r="M57" s="92"/>
      <c r="N57" s="335"/>
    </row>
    <row r="58" spans="1:14" s="33" customFormat="1" ht="12.75" customHeight="1">
      <c r="A58" s="336" t="s">
        <v>563</v>
      </c>
      <c r="B58" s="33" t="s">
        <v>564</v>
      </c>
      <c r="C58" s="34" t="s">
        <v>105</v>
      </c>
      <c r="D58" s="43"/>
      <c r="E58" s="43"/>
      <c r="F58" s="72">
        <v>0.1</v>
      </c>
      <c r="G58" s="72">
        <v>0.1</v>
      </c>
      <c r="H58" s="72">
        <v>0.1</v>
      </c>
      <c r="I58" s="72">
        <v>0.1</v>
      </c>
      <c r="J58" s="72">
        <v>0.1</v>
      </c>
      <c r="K58" s="72">
        <v>0.1</v>
      </c>
      <c r="L58" s="72">
        <v>0.1</v>
      </c>
      <c r="M58" s="72">
        <v>0.1</v>
      </c>
      <c r="N58" s="352" t="s">
        <v>564</v>
      </c>
    </row>
    <row r="59" spans="1:14" s="33" customFormat="1" ht="12.75" customHeight="1">
      <c r="A59" s="53"/>
      <c r="B59" s="53"/>
      <c r="C59" s="53"/>
      <c r="D59" s="53"/>
      <c r="E59" s="53"/>
      <c r="F59" s="64"/>
      <c r="G59" s="64"/>
      <c r="H59" s="64"/>
      <c r="I59" s="64"/>
      <c r="J59" s="64"/>
      <c r="K59" s="64"/>
      <c r="L59" s="64"/>
      <c r="M59" s="64"/>
      <c r="N59" s="361"/>
    </row>
    <row r="60" spans="1:14" s="33" customFormat="1" ht="12.75" customHeight="1">
      <c r="A60" s="60" t="s">
        <v>489</v>
      </c>
      <c r="B60" s="53"/>
      <c r="C60" s="53"/>
      <c r="D60" s="53"/>
      <c r="E60" s="53"/>
      <c r="F60" s="64"/>
      <c r="G60" s="64"/>
      <c r="H60" s="64"/>
      <c r="I60" s="64"/>
      <c r="J60" s="64"/>
      <c r="K60" s="64"/>
      <c r="L60" s="64"/>
      <c r="M60" s="64"/>
      <c r="N60" s="361"/>
    </row>
    <row r="61" spans="1:14" s="53" customFormat="1" ht="13.5">
      <c r="A61" s="53" t="s">
        <v>49</v>
      </c>
      <c r="B61" s="53" t="s">
        <v>46</v>
      </c>
      <c r="C61" s="53" t="s">
        <v>118</v>
      </c>
      <c r="F61" s="89">
        <v>23.9</v>
      </c>
      <c r="G61" s="89">
        <f t="shared" ref="G61:M61" si="0">F61</f>
        <v>23.9</v>
      </c>
      <c r="H61" s="89">
        <f t="shared" si="0"/>
        <v>23.9</v>
      </c>
      <c r="I61" s="89">
        <f t="shared" si="0"/>
        <v>23.9</v>
      </c>
      <c r="J61" s="89">
        <f t="shared" si="0"/>
        <v>23.9</v>
      </c>
      <c r="K61" s="89">
        <f t="shared" si="0"/>
        <v>23.9</v>
      </c>
      <c r="L61" s="89">
        <f t="shared" si="0"/>
        <v>23.9</v>
      </c>
      <c r="M61" s="89">
        <f t="shared" si="0"/>
        <v>23.9</v>
      </c>
      <c r="N61" s="351" t="s">
        <v>46</v>
      </c>
    </row>
    <row r="62" spans="1:14" s="33" customFormat="1" ht="12.75" customHeight="1">
      <c r="A62" s="33" t="s">
        <v>221</v>
      </c>
      <c r="B62" s="79" t="s">
        <v>220</v>
      </c>
      <c r="C62" s="51" t="s">
        <v>376</v>
      </c>
      <c r="D62" s="79"/>
      <c r="E62" s="79"/>
      <c r="F62" s="76">
        <v>50</v>
      </c>
      <c r="G62" s="76">
        <v>51</v>
      </c>
      <c r="H62" s="76">
        <v>52</v>
      </c>
      <c r="I62" s="76">
        <v>53</v>
      </c>
      <c r="J62" s="76">
        <v>54</v>
      </c>
      <c r="K62" s="76">
        <v>55</v>
      </c>
      <c r="L62" s="76">
        <v>56</v>
      </c>
      <c r="M62" s="76">
        <v>57</v>
      </c>
      <c r="N62" s="351" t="s">
        <v>220</v>
      </c>
    </row>
    <row r="63" spans="1:14" s="111" customFormat="1" ht="13.5">
      <c r="A63" s="121" t="s">
        <v>218</v>
      </c>
      <c r="B63" s="210" t="s">
        <v>51</v>
      </c>
      <c r="C63" s="257" t="s">
        <v>490</v>
      </c>
      <c r="D63" s="131"/>
      <c r="E63" s="131"/>
      <c r="F63" s="244">
        <v>150.69999999999999</v>
      </c>
      <c r="G63" s="244">
        <v>173.1</v>
      </c>
      <c r="H63" s="244">
        <v>210.7</v>
      </c>
      <c r="I63" s="244">
        <v>226.1</v>
      </c>
      <c r="J63" s="244">
        <v>245.3</v>
      </c>
      <c r="K63" s="244">
        <v>261.39999999999998</v>
      </c>
      <c r="L63" s="244">
        <v>270.89999999999998</v>
      </c>
      <c r="M63" s="244">
        <v>274.7</v>
      </c>
      <c r="N63" s="343" t="s">
        <v>51</v>
      </c>
    </row>
    <row r="64" spans="1:14" s="33" customFormat="1" ht="12.75" customHeight="1">
      <c r="B64" s="79"/>
      <c r="C64" s="51"/>
      <c r="D64" s="90"/>
      <c r="E64" s="90"/>
      <c r="F64" s="91"/>
      <c r="G64" s="91"/>
      <c r="H64" s="91"/>
      <c r="I64" s="91"/>
      <c r="J64" s="91"/>
      <c r="K64" s="91"/>
      <c r="L64" s="91"/>
      <c r="M64" s="91"/>
      <c r="N64" s="378"/>
    </row>
    <row r="65" spans="1:15" s="33" customFormat="1" ht="12.75" customHeight="1">
      <c r="A65" s="2" t="s">
        <v>375</v>
      </c>
      <c r="C65" s="34"/>
      <c r="D65" s="34"/>
      <c r="E65" s="34"/>
      <c r="F65" s="92"/>
      <c r="G65" s="92"/>
      <c r="H65" s="92"/>
      <c r="I65" s="92"/>
      <c r="J65" s="92"/>
      <c r="K65" s="92"/>
      <c r="L65" s="92"/>
      <c r="M65" s="92"/>
      <c r="N65" s="361"/>
    </row>
    <row r="66" spans="1:15" s="53" customFormat="1" ht="13.5">
      <c r="A66" s="336" t="s">
        <v>491</v>
      </c>
      <c r="B66" s="53" t="s">
        <v>55</v>
      </c>
      <c r="C66" s="53" t="s">
        <v>118</v>
      </c>
      <c r="F66" s="89">
        <v>0.9</v>
      </c>
      <c r="G66" s="89">
        <f t="shared" ref="G66:M66" si="1">F66</f>
        <v>0.9</v>
      </c>
      <c r="H66" s="89">
        <f t="shared" si="1"/>
        <v>0.9</v>
      </c>
      <c r="I66" s="89">
        <f t="shared" si="1"/>
        <v>0.9</v>
      </c>
      <c r="J66" s="89">
        <f t="shared" si="1"/>
        <v>0.9</v>
      </c>
      <c r="K66" s="89">
        <f t="shared" si="1"/>
        <v>0.9</v>
      </c>
      <c r="L66" s="89">
        <f t="shared" si="1"/>
        <v>0.9</v>
      </c>
      <c r="M66" s="89">
        <f t="shared" si="1"/>
        <v>0.9</v>
      </c>
      <c r="N66" s="343" t="s">
        <v>55</v>
      </c>
    </row>
    <row r="67" spans="1:15" s="65" customFormat="1" ht="13.5">
      <c r="A67" s="374"/>
      <c r="F67" s="66"/>
      <c r="G67" s="66"/>
      <c r="H67" s="66"/>
      <c r="I67" s="66"/>
      <c r="J67" s="66"/>
      <c r="K67" s="66"/>
      <c r="L67" s="66"/>
      <c r="M67" s="66"/>
      <c r="N67" s="374"/>
    </row>
    <row r="68" spans="1:15" ht="12.75" customHeight="1">
      <c r="A68" s="335"/>
      <c r="N68" s="335"/>
    </row>
    <row r="69" spans="1:15" ht="21" customHeight="1">
      <c r="A69" s="375" t="s">
        <v>492</v>
      </c>
      <c r="N69" s="335"/>
    </row>
    <row r="70" spans="1:15" ht="12.75" customHeight="1">
      <c r="A70" s="376" t="s">
        <v>366</v>
      </c>
      <c r="O70" s="335"/>
    </row>
    <row r="71" spans="1:15" s="33" customFormat="1" ht="12.75" customHeight="1">
      <c r="A71" s="361" t="s">
        <v>383</v>
      </c>
      <c r="B71" s="33" t="s">
        <v>150</v>
      </c>
      <c r="C71" s="257" t="s">
        <v>1</v>
      </c>
      <c r="D71" s="34"/>
      <c r="E71" s="69"/>
      <c r="F71" s="69"/>
      <c r="G71" s="69"/>
      <c r="H71" s="69"/>
      <c r="I71" s="69"/>
      <c r="J71" s="69"/>
      <c r="K71" s="69"/>
      <c r="L71" s="69"/>
      <c r="M71" s="69"/>
      <c r="N71" s="69"/>
      <c r="O71" s="352" t="s">
        <v>143</v>
      </c>
    </row>
    <row r="72" spans="1:15" ht="12.75" customHeight="1">
      <c r="A72" s="355" t="s">
        <v>251</v>
      </c>
      <c r="B72" s="37" t="s">
        <v>138</v>
      </c>
      <c r="C72" s="257" t="s">
        <v>1</v>
      </c>
      <c r="E72" s="69">
        <v>213.8</v>
      </c>
      <c r="F72" s="69">
        <v>257.22300000000001</v>
      </c>
      <c r="G72" s="69">
        <v>249.18199999999999</v>
      </c>
      <c r="H72" s="69">
        <v>235.12299999999999</v>
      </c>
      <c r="I72" s="69">
        <v>0</v>
      </c>
      <c r="J72" s="69">
        <v>0</v>
      </c>
      <c r="K72" s="69">
        <v>0</v>
      </c>
      <c r="L72" s="69">
        <v>0</v>
      </c>
      <c r="M72" s="69">
        <v>0</v>
      </c>
      <c r="N72" s="69">
        <v>0</v>
      </c>
      <c r="O72" s="352" t="s">
        <v>138</v>
      </c>
    </row>
    <row r="73" spans="1:15" ht="12.75" customHeight="1">
      <c r="A73" s="355" t="s">
        <v>252</v>
      </c>
      <c r="B73" s="37" t="s">
        <v>139</v>
      </c>
      <c r="C73" s="257" t="s">
        <v>1</v>
      </c>
      <c r="E73" s="69">
        <v>8.6120000000000001</v>
      </c>
      <c r="F73" s="69">
        <v>13.486000000000001</v>
      </c>
      <c r="G73" s="69">
        <v>14.060000000000002</v>
      </c>
      <c r="H73" s="69">
        <v>14.06</v>
      </c>
      <c r="I73" s="69">
        <v>0</v>
      </c>
      <c r="J73" s="69">
        <v>0</v>
      </c>
      <c r="K73" s="69">
        <v>0</v>
      </c>
      <c r="L73" s="69">
        <v>0</v>
      </c>
      <c r="M73" s="69">
        <v>0</v>
      </c>
      <c r="N73" s="69">
        <v>0</v>
      </c>
      <c r="O73" s="352" t="s">
        <v>139</v>
      </c>
    </row>
    <row r="74" spans="1:15" ht="12.75" customHeight="1">
      <c r="A74" s="355" t="s">
        <v>253</v>
      </c>
      <c r="B74" s="37" t="s">
        <v>140</v>
      </c>
      <c r="C74" s="257" t="s">
        <v>1</v>
      </c>
      <c r="E74" s="69">
        <v>0</v>
      </c>
      <c r="F74" s="69">
        <v>0</v>
      </c>
      <c r="G74" s="69">
        <v>0</v>
      </c>
      <c r="H74" s="69">
        <v>0</v>
      </c>
      <c r="I74" s="69">
        <v>0</v>
      </c>
      <c r="J74" s="69">
        <v>454.19499999999999</v>
      </c>
      <c r="K74" s="69">
        <v>0</v>
      </c>
      <c r="L74" s="69">
        <v>0</v>
      </c>
      <c r="M74" s="69">
        <v>0</v>
      </c>
      <c r="N74" s="69">
        <v>0</v>
      </c>
      <c r="O74" s="352" t="s">
        <v>140</v>
      </c>
    </row>
    <row r="75" spans="1:15" ht="12.75" customHeight="1">
      <c r="A75" s="355" t="s">
        <v>254</v>
      </c>
      <c r="B75" s="57" t="s">
        <v>141</v>
      </c>
      <c r="C75" s="257" t="s">
        <v>1</v>
      </c>
      <c r="E75" s="69">
        <v>0</v>
      </c>
      <c r="F75" s="69">
        <v>0</v>
      </c>
      <c r="G75" s="69">
        <v>0</v>
      </c>
      <c r="H75" s="69">
        <v>0</v>
      </c>
      <c r="I75" s="69">
        <v>0</v>
      </c>
      <c r="J75" s="69">
        <v>27.538</v>
      </c>
      <c r="K75" s="69">
        <v>27.538</v>
      </c>
      <c r="L75" s="69">
        <v>27.538</v>
      </c>
      <c r="M75" s="69">
        <v>27.538</v>
      </c>
      <c r="N75" s="69">
        <v>27.538</v>
      </c>
      <c r="O75" s="352" t="s">
        <v>141</v>
      </c>
    </row>
    <row r="76" spans="1:15" ht="12.75" customHeight="1">
      <c r="A76" s="355" t="s">
        <v>255</v>
      </c>
      <c r="B76" s="57" t="s">
        <v>144</v>
      </c>
      <c r="C76" s="257" t="s">
        <v>1</v>
      </c>
      <c r="E76" s="69">
        <v>0</v>
      </c>
      <c r="F76" s="69">
        <v>0</v>
      </c>
      <c r="G76" s="69">
        <v>0</v>
      </c>
      <c r="H76" s="69">
        <v>0</v>
      </c>
      <c r="I76" s="69">
        <v>0</v>
      </c>
      <c r="J76" s="69">
        <v>440.42599999999999</v>
      </c>
      <c r="K76" s="69">
        <v>412.887</v>
      </c>
      <c r="L76" s="69">
        <v>385.34899999999999</v>
      </c>
      <c r="M76" s="69">
        <v>357.81099999999998</v>
      </c>
      <c r="N76" s="69">
        <v>357.81099999999998</v>
      </c>
      <c r="O76" s="352" t="s">
        <v>144</v>
      </c>
    </row>
    <row r="77" spans="1:15" ht="12.75" customHeight="1">
      <c r="A77" s="335"/>
      <c r="G77" s="292"/>
      <c r="O77" s="335"/>
    </row>
    <row r="78" spans="1:15" ht="12.75" customHeight="1">
      <c r="A78" s="355" t="s">
        <v>493</v>
      </c>
      <c r="B78" s="57" t="s">
        <v>142</v>
      </c>
      <c r="C78" s="80" t="s">
        <v>105</v>
      </c>
      <c r="D78" s="72">
        <v>8.7999999999999995E-2</v>
      </c>
      <c r="E78" s="72">
        <v>8.7999999999999995E-2</v>
      </c>
      <c r="F78" s="72">
        <v>8.7999999999999995E-2</v>
      </c>
      <c r="G78" s="72">
        <v>8.7999999999999995E-2</v>
      </c>
      <c r="H78" s="72">
        <v>8.7999999999999995E-2</v>
      </c>
      <c r="I78" s="72">
        <v>8.7999999999999995E-2</v>
      </c>
      <c r="J78" s="72">
        <v>8.7999999999999995E-2</v>
      </c>
      <c r="K78" s="72">
        <v>8.7999999999999995E-2</v>
      </c>
      <c r="L78" s="72">
        <v>8.7999999999999995E-2</v>
      </c>
      <c r="M78" s="72">
        <v>8.7999999999999995E-2</v>
      </c>
      <c r="N78" s="72">
        <v>8.7999999999999995E-2</v>
      </c>
      <c r="O78" s="352" t="s">
        <v>142</v>
      </c>
    </row>
    <row r="79" spans="1:15" ht="12.75" customHeight="1">
      <c r="A79" s="335"/>
      <c r="O79" s="335"/>
    </row>
    <row r="80" spans="1:15" ht="12.75" customHeight="1">
      <c r="A80" s="335"/>
      <c r="O80" s="335"/>
    </row>
    <row r="81" spans="1:15" ht="12.75" customHeight="1">
      <c r="A81" s="376" t="s">
        <v>367</v>
      </c>
      <c r="O81" s="335"/>
    </row>
    <row r="82" spans="1:15" s="33" customFormat="1" ht="12.75" customHeight="1">
      <c r="A82" s="361" t="s">
        <v>383</v>
      </c>
      <c r="B82" s="33" t="s">
        <v>150</v>
      </c>
      <c r="C82" s="257" t="s">
        <v>1</v>
      </c>
      <c r="D82" s="34"/>
      <c r="E82" s="69"/>
      <c r="F82" s="69"/>
      <c r="G82" s="69"/>
      <c r="H82" s="69"/>
      <c r="I82" s="69"/>
      <c r="J82" s="69"/>
      <c r="K82" s="69"/>
      <c r="L82" s="69"/>
      <c r="M82" s="69"/>
      <c r="N82" s="69"/>
      <c r="O82" s="352" t="s">
        <v>143</v>
      </c>
    </row>
    <row r="83" spans="1:15" ht="12.75" customHeight="1">
      <c r="A83" s="355" t="s">
        <v>251</v>
      </c>
      <c r="B83" s="37" t="s">
        <v>138</v>
      </c>
      <c r="C83" s="257" t="s">
        <v>1</v>
      </c>
      <c r="E83" s="69"/>
      <c r="F83" s="69"/>
      <c r="G83" s="69"/>
      <c r="H83" s="69"/>
      <c r="I83" s="69"/>
      <c r="J83" s="69"/>
      <c r="K83" s="69"/>
      <c r="L83" s="69"/>
      <c r="M83" s="69"/>
      <c r="N83" s="69"/>
      <c r="O83" s="352" t="s">
        <v>369</v>
      </c>
    </row>
    <row r="84" spans="1:15" ht="12.75" customHeight="1">
      <c r="A84" s="355" t="s">
        <v>252</v>
      </c>
      <c r="B84" s="37" t="s">
        <v>139</v>
      </c>
      <c r="C84" s="257" t="s">
        <v>1</v>
      </c>
      <c r="E84" s="69"/>
      <c r="F84" s="69"/>
      <c r="G84" s="69"/>
      <c r="H84" s="69"/>
      <c r="I84" s="69"/>
      <c r="J84" s="69"/>
      <c r="K84" s="69"/>
      <c r="L84" s="69"/>
      <c r="M84" s="69"/>
      <c r="N84" s="69"/>
      <c r="O84" s="352" t="s">
        <v>370</v>
      </c>
    </row>
    <row r="85" spans="1:15" ht="12.75" customHeight="1">
      <c r="A85" s="355" t="s">
        <v>253</v>
      </c>
      <c r="B85" s="37" t="s">
        <v>140</v>
      </c>
      <c r="C85" s="257" t="s">
        <v>1</v>
      </c>
      <c r="E85" s="69"/>
      <c r="F85" s="69"/>
      <c r="G85" s="69"/>
      <c r="H85" s="69"/>
      <c r="I85" s="69"/>
      <c r="J85" s="69"/>
      <c r="K85" s="69"/>
      <c r="L85" s="69"/>
      <c r="M85" s="69"/>
      <c r="N85" s="69"/>
      <c r="O85" s="352" t="s">
        <v>140</v>
      </c>
    </row>
    <row r="86" spans="1:15" ht="12.75" customHeight="1">
      <c r="A86" s="355" t="s">
        <v>254</v>
      </c>
      <c r="B86" s="57" t="s">
        <v>141</v>
      </c>
      <c r="C86" s="257" t="s">
        <v>1</v>
      </c>
      <c r="E86" s="73">
        <v>0.39300000000000002</v>
      </c>
      <c r="F86" s="73">
        <v>0.39300000000000002</v>
      </c>
      <c r="G86" s="73">
        <v>0.74299999999999999</v>
      </c>
      <c r="H86" s="69">
        <v>0.74299999999999999</v>
      </c>
      <c r="I86" s="69"/>
      <c r="J86" s="69"/>
      <c r="K86" s="69"/>
      <c r="L86" s="69"/>
      <c r="M86" s="69"/>
      <c r="N86" s="69"/>
      <c r="O86" s="352" t="s">
        <v>585</v>
      </c>
    </row>
    <row r="87" spans="1:15" ht="12.75" customHeight="1">
      <c r="A87" s="355" t="s">
        <v>255</v>
      </c>
      <c r="B87" s="57" t="s">
        <v>144</v>
      </c>
      <c r="C87" s="257" t="s">
        <v>1</v>
      </c>
      <c r="E87" s="73">
        <v>6.8739999999999997</v>
      </c>
      <c r="F87" s="73">
        <v>6.48</v>
      </c>
      <c r="G87" s="73">
        <v>13</v>
      </c>
      <c r="H87" s="69">
        <v>12.257999999999999</v>
      </c>
      <c r="I87" s="69"/>
      <c r="J87" s="69"/>
      <c r="K87" s="69"/>
      <c r="L87" s="69"/>
      <c r="M87" s="69"/>
      <c r="N87" s="69"/>
      <c r="O87" s="352" t="s">
        <v>368</v>
      </c>
    </row>
    <row r="88" spans="1:15" ht="12.75" customHeight="1">
      <c r="A88" s="335"/>
      <c r="O88" s="335"/>
    </row>
    <row r="89" spans="1:15" ht="12.75" customHeight="1">
      <c r="A89" s="355" t="s">
        <v>493</v>
      </c>
      <c r="B89" s="57" t="s">
        <v>142</v>
      </c>
      <c r="C89" s="80" t="s">
        <v>105</v>
      </c>
      <c r="D89" s="72">
        <v>8.7999999999999995E-2</v>
      </c>
      <c r="E89" s="72">
        <v>8.7999999999999995E-2</v>
      </c>
      <c r="F89" s="72">
        <v>8.7999999999999995E-2</v>
      </c>
      <c r="G89" s="72">
        <v>8.7999999999999995E-2</v>
      </c>
      <c r="H89" s="72">
        <v>8.7999999999999995E-2</v>
      </c>
      <c r="I89" s="72">
        <v>8.7999999999999995E-2</v>
      </c>
      <c r="J89" s="72">
        <v>8.7999999999999995E-2</v>
      </c>
      <c r="K89" s="72">
        <v>8.7999999999999995E-2</v>
      </c>
      <c r="L89" s="72">
        <v>8.7999999999999995E-2</v>
      </c>
      <c r="M89" s="72">
        <v>8.7999999999999995E-2</v>
      </c>
      <c r="N89" s="72">
        <v>8.7999999999999995E-2</v>
      </c>
      <c r="O89" s="352" t="s">
        <v>142</v>
      </c>
    </row>
    <row r="90" spans="1:15" ht="12.75" customHeight="1">
      <c r="O90" s="335"/>
    </row>
    <row r="91" spans="1:15" ht="12.75" customHeight="1">
      <c r="N91" s="335"/>
    </row>
    <row r="92" spans="1:15" ht="12.75" customHeight="1">
      <c r="N92" s="335"/>
    </row>
    <row r="93" spans="1:15" ht="12.75" customHeight="1">
      <c r="N93" s="335"/>
    </row>
    <row r="94" spans="1:15" ht="12.75" customHeight="1">
      <c r="N94" s="335"/>
    </row>
    <row r="95" spans="1:15" ht="12.75" customHeight="1">
      <c r="N95" s="335"/>
    </row>
    <row r="96" spans="1:15" ht="12.75" customHeight="1">
      <c r="N96" s="335"/>
    </row>
    <row r="97" spans="14:14" ht="12.75" customHeight="1">
      <c r="N97" s="335"/>
    </row>
    <row r="98" spans="14:14" ht="12.75" customHeight="1"/>
    <row r="99" spans="14:14" ht="12.75" customHeight="1"/>
    <row r="100" spans="14:14" ht="12.75" customHeight="1"/>
    <row r="101" spans="14:14" ht="12.75" customHeight="1"/>
    <row r="102" spans="14:14" ht="12.75" customHeight="1"/>
    <row r="103" spans="14:14" ht="12.75" customHeight="1"/>
    <row r="104" spans="14:14" ht="12.75" customHeight="1"/>
    <row r="105" spans="14:14" ht="12.75" customHeight="1"/>
    <row r="106" spans="14:14" ht="12.75" customHeight="1"/>
    <row r="107" spans="14:14" ht="12.75" customHeight="1"/>
    <row r="108" spans="14:14" ht="12.75" customHeight="1"/>
    <row r="109" spans="14:14" ht="12.75" customHeight="1"/>
    <row r="110" spans="14:14" ht="12.75" customHeight="1"/>
    <row r="111" spans="14:14" ht="12.75" customHeight="1"/>
    <row r="112" spans="14:1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sheetData>
  <sheetProtection formatCells="0" formatColumns="0" formatRows="0" insertHyperlinks="0" autoFilter="0" pivotTables="0"/>
  <mergeCells count="1">
    <mergeCell ref="I4:K4"/>
  </mergeCells>
  <pageMargins left="0.45" right="0.33" top="0.62" bottom="0.56999999999999995" header="0.31496062992125984" footer="0.31496062992125984"/>
  <pageSetup paperSize="8" orientation="landscape" r:id="rId1"/>
  <headerFooter>
    <oddHeader>&amp;C&amp;A</oddHeader>
    <oddFooter>&amp;L&amp;D &amp;T&amp;C&amp;Z&amp;R&amp;F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99"/>
    <pageSetUpPr fitToPage="1"/>
  </sheetPr>
  <dimension ref="A1:Y449"/>
  <sheetViews>
    <sheetView showGridLines="0" zoomScale="85" zoomScaleNormal="85" zoomScaleSheetLayoutView="90" workbookViewId="0">
      <pane xSplit="1" ySplit="4" topLeftCell="B5" activePane="bottomRight" state="frozen"/>
      <selection activeCell="H27" sqref="H27"/>
      <selection pane="topRight" activeCell="H27" sqref="H27"/>
      <selection pane="bottomLeft" activeCell="H27" sqref="H27"/>
      <selection pane="bottomRight" activeCell="L87" sqref="L87"/>
    </sheetView>
  </sheetViews>
  <sheetFormatPr defaultColWidth="9" defaultRowHeight="12.75" customHeight="1" zeroHeight="1"/>
  <cols>
    <col min="1" max="1" width="62.61328125" style="101" customWidth="1"/>
    <col min="2" max="2" width="13.765625" style="96" customWidth="1"/>
    <col min="3" max="5" width="9.15234375" style="114" customWidth="1"/>
    <col min="6" max="6" width="11.765625" style="101" bestFit="1" customWidth="1"/>
    <col min="7" max="13" width="9.3828125" style="101" customWidth="1"/>
    <col min="14" max="14" width="13.765625" style="96" bestFit="1" customWidth="1"/>
    <col min="15" max="15" width="11.4609375" style="96" customWidth="1"/>
    <col min="16" max="16" width="6.61328125" style="96" customWidth="1"/>
    <col min="17" max="17" width="18.23046875" style="96" customWidth="1"/>
    <col min="18" max="18" width="18.23046875" style="101" customWidth="1"/>
    <col min="19" max="19" width="11.4609375" style="101" customWidth="1"/>
    <col min="20" max="20" width="6.61328125" style="101" customWidth="1"/>
    <col min="21" max="28" width="18.23046875" style="101" customWidth="1"/>
    <col min="29" max="16384" width="9" style="101"/>
  </cols>
  <sheetData>
    <row r="1" spans="1:25" s="96" customFormat="1" ht="15">
      <c r="A1" s="93" t="s">
        <v>109</v>
      </c>
      <c r="B1" s="94"/>
      <c r="C1" s="95"/>
      <c r="D1" s="95"/>
      <c r="E1" s="95"/>
      <c r="N1" s="338"/>
    </row>
    <row r="2" spans="1:25" s="96" customFormat="1" ht="13.5">
      <c r="A2" s="97" t="str">
        <f>CompName</f>
        <v>Scottish Hydro Electric Transmission Plc</v>
      </c>
      <c r="C2" s="95"/>
      <c r="D2" s="95"/>
      <c r="E2" s="95"/>
      <c r="N2" s="338"/>
    </row>
    <row r="3" spans="1:25" ht="30" customHeight="1">
      <c r="A3" s="98" t="str">
        <f>'R5 Input page'!F7</f>
        <v>Regulatory Year ending 31 March 2020</v>
      </c>
      <c r="B3" s="99"/>
      <c r="C3" s="100"/>
      <c r="D3" s="100"/>
      <c r="E3" s="100"/>
      <c r="G3" s="412" t="s">
        <v>102</v>
      </c>
      <c r="H3" s="412"/>
      <c r="I3" s="102"/>
      <c r="J3" s="102"/>
      <c r="K3" s="102"/>
      <c r="L3" s="102"/>
      <c r="M3" s="102"/>
      <c r="N3" s="379"/>
      <c r="P3" s="99"/>
    </row>
    <row r="4" spans="1:25" s="96" customFormat="1" ht="13.5">
      <c r="B4" s="213"/>
      <c r="C4" s="213" t="s">
        <v>0</v>
      </c>
      <c r="D4" s="105">
        <v>2012</v>
      </c>
      <c r="E4" s="105">
        <v>2013</v>
      </c>
      <c r="F4" s="105">
        <v>2014</v>
      </c>
      <c r="G4" s="105">
        <v>2015</v>
      </c>
      <c r="H4" s="105">
        <v>2016</v>
      </c>
      <c r="I4" s="105">
        <v>2017</v>
      </c>
      <c r="J4" s="105">
        <v>2018</v>
      </c>
      <c r="K4" s="105">
        <v>2019</v>
      </c>
      <c r="L4" s="105">
        <v>2020</v>
      </c>
      <c r="M4" s="105">
        <v>2021</v>
      </c>
      <c r="N4" s="405">
        <v>2022</v>
      </c>
      <c r="O4" s="407">
        <v>2023</v>
      </c>
      <c r="Q4" s="344" t="s">
        <v>104</v>
      </c>
      <c r="R4" s="101"/>
      <c r="S4" s="101"/>
      <c r="T4" s="101"/>
      <c r="U4" s="101"/>
      <c r="V4" s="101"/>
      <c r="W4" s="101"/>
    </row>
    <row r="5" spans="1:25" ht="15">
      <c r="A5" s="93" t="s">
        <v>110</v>
      </c>
      <c r="B5" s="106"/>
      <c r="C5" s="107"/>
      <c r="D5" s="107"/>
      <c r="E5" s="107"/>
      <c r="F5" s="108"/>
      <c r="G5" s="108"/>
      <c r="H5" s="108"/>
      <c r="I5" s="108"/>
      <c r="J5" s="108"/>
      <c r="K5" s="108"/>
      <c r="L5" s="108"/>
      <c r="M5" s="108"/>
      <c r="P5" s="99"/>
      <c r="Q5" s="344"/>
    </row>
    <row r="6" spans="1:25" ht="15">
      <c r="A6" s="96" t="s">
        <v>261</v>
      </c>
      <c r="C6" s="95"/>
      <c r="D6" s="95"/>
      <c r="E6" s="416" t="s">
        <v>308</v>
      </c>
      <c r="F6" s="417"/>
      <c r="G6" s="417"/>
      <c r="H6" s="417"/>
      <c r="I6" s="417"/>
      <c r="J6" s="418"/>
      <c r="K6" s="109"/>
      <c r="L6" s="109"/>
      <c r="M6" s="109"/>
      <c r="Q6" s="344" t="s">
        <v>111</v>
      </c>
    </row>
    <row r="7" spans="1:25" ht="15">
      <c r="A7" s="96" t="s">
        <v>112</v>
      </c>
      <c r="C7" s="95"/>
      <c r="D7" s="95"/>
      <c r="E7" s="95"/>
      <c r="F7" s="413" t="s">
        <v>610</v>
      </c>
      <c r="G7" s="414"/>
      <c r="H7" s="414"/>
      <c r="I7" s="415"/>
      <c r="J7" s="109"/>
      <c r="K7" s="109"/>
      <c r="L7" s="109"/>
      <c r="M7" s="109"/>
      <c r="Q7" s="344" t="s">
        <v>136</v>
      </c>
    </row>
    <row r="8" spans="1:25" s="96" customFormat="1" ht="13.5">
      <c r="A8" s="97"/>
      <c r="C8" s="95"/>
      <c r="D8" s="95"/>
      <c r="E8" s="95"/>
      <c r="F8" s="103"/>
      <c r="N8" s="344"/>
      <c r="R8" s="101"/>
      <c r="S8" s="101"/>
      <c r="T8" s="101"/>
      <c r="U8" s="101"/>
      <c r="V8" s="101"/>
      <c r="W8" s="101"/>
    </row>
    <row r="9" spans="1:25" s="96" customFormat="1" ht="13.5">
      <c r="A9" s="97"/>
      <c r="N9" s="344"/>
      <c r="R9" s="101"/>
      <c r="S9" s="101"/>
      <c r="T9" s="101"/>
      <c r="U9" s="101"/>
      <c r="V9" s="101"/>
      <c r="W9" s="101"/>
    </row>
    <row r="10" spans="1:25" s="96" customFormat="1" ht="13.5">
      <c r="A10" s="97" t="s">
        <v>125</v>
      </c>
      <c r="C10" s="95" t="s">
        <v>118</v>
      </c>
      <c r="D10" s="125">
        <f t="shared" ref="D10:O10" si="0">D11/$B$11</f>
        <v>1.0999921211306642</v>
      </c>
      <c r="E10" s="125">
        <f t="shared" si="0"/>
        <v>1.1339778557425371</v>
      </c>
      <c r="F10" s="125">
        <f t="shared" si="0"/>
        <v>1.1666890673736021</v>
      </c>
      <c r="G10" s="125">
        <f t="shared" si="0"/>
        <v>1.1895563269638081</v>
      </c>
      <c r="H10" s="125">
        <f t="shared" si="0"/>
        <v>1.2023757108362261</v>
      </c>
      <c r="I10" s="125">
        <f t="shared" si="0"/>
        <v>1.2281396135646323</v>
      </c>
      <c r="J10" s="125">
        <f t="shared" si="0"/>
        <v>1.2740965949380583</v>
      </c>
      <c r="K10" s="125">
        <f t="shared" si="0"/>
        <v>1.3130274787154661</v>
      </c>
      <c r="L10" s="125">
        <f t="shared" si="0"/>
        <v>1.3470178479563604</v>
      </c>
      <c r="M10" s="125">
        <f t="shared" si="0"/>
        <v>1.3633924218822251</v>
      </c>
      <c r="N10" s="125">
        <f t="shared" si="0"/>
        <v>1.3826022242047395</v>
      </c>
      <c r="O10" s="125">
        <f t="shared" si="0"/>
        <v>1.4083624000314041</v>
      </c>
      <c r="Q10" s="344" t="s">
        <v>123</v>
      </c>
      <c r="T10" s="101"/>
      <c r="U10" s="101"/>
      <c r="V10" s="101"/>
      <c r="W10" s="101"/>
      <c r="X10" s="101"/>
      <c r="Y10" s="101"/>
    </row>
    <row r="11" spans="1:25" s="96" customFormat="1" ht="13.5">
      <c r="A11" s="97" t="s">
        <v>126</v>
      </c>
      <c r="B11" s="75">
        <v>215.767</v>
      </c>
      <c r="C11" s="75">
        <v>226.47499999999999</v>
      </c>
      <c r="D11" s="75">
        <v>237.34200000000001</v>
      </c>
      <c r="E11" s="75">
        <v>244.67500000000001</v>
      </c>
      <c r="F11" s="75">
        <v>251.733</v>
      </c>
      <c r="G11" s="75">
        <v>256.66699999999997</v>
      </c>
      <c r="H11" s="75">
        <v>259.43299999999999</v>
      </c>
      <c r="I11" s="75">
        <v>264.99200000000002</v>
      </c>
      <c r="J11" s="75">
        <v>274.90800000000002</v>
      </c>
      <c r="K11" s="75">
        <v>283.30799999999999</v>
      </c>
      <c r="L11" s="75">
        <v>290.642</v>
      </c>
      <c r="M11" s="75">
        <v>294.17509269226207</v>
      </c>
      <c r="N11" s="75">
        <v>298.31993410998405</v>
      </c>
      <c r="O11" s="75">
        <v>303.87812996757594</v>
      </c>
      <c r="Q11" s="395" t="s">
        <v>641</v>
      </c>
      <c r="T11" s="101"/>
      <c r="U11" s="101"/>
      <c r="V11" s="101"/>
      <c r="W11" s="101"/>
      <c r="X11" s="101"/>
      <c r="Y11" s="101"/>
    </row>
    <row r="12" spans="1:25" s="96" customFormat="1" ht="13.5">
      <c r="A12" s="97"/>
      <c r="C12" s="95"/>
      <c r="D12" s="103"/>
      <c r="E12" s="103"/>
      <c r="F12" s="103"/>
      <c r="G12" s="280"/>
      <c r="H12" s="280"/>
      <c r="I12" s="279"/>
      <c r="J12" s="279"/>
      <c r="K12" s="279"/>
      <c r="L12" s="371"/>
      <c r="M12" s="371"/>
      <c r="N12" s="394"/>
      <c r="O12" s="394"/>
      <c r="P12" s="344"/>
      <c r="T12" s="101"/>
      <c r="U12" s="101"/>
      <c r="V12" s="101"/>
      <c r="W12" s="101"/>
      <c r="X12" s="101"/>
      <c r="Y12" s="101"/>
    </row>
    <row r="13" spans="1:25" s="111" customFormat="1" ht="13.5">
      <c r="A13" s="110" t="s">
        <v>177</v>
      </c>
      <c r="L13" s="273"/>
      <c r="M13" s="273"/>
      <c r="N13" s="273"/>
      <c r="O13" s="273"/>
      <c r="P13" s="332"/>
    </row>
    <row r="14" spans="1:25" s="111" customFormat="1" ht="14.5">
      <c r="C14" s="110" t="s">
        <v>178</v>
      </c>
      <c r="D14" s="112">
        <v>2012</v>
      </c>
      <c r="E14" s="112">
        <v>2013</v>
      </c>
      <c r="F14" s="112">
        <v>2014</v>
      </c>
      <c r="G14" s="112">
        <v>2015</v>
      </c>
      <c r="H14" s="112">
        <v>2016</v>
      </c>
      <c r="I14" s="112">
        <v>2017</v>
      </c>
      <c r="J14" s="112">
        <v>2018</v>
      </c>
      <c r="K14" s="112">
        <v>2019</v>
      </c>
      <c r="L14" s="112">
        <v>2020</v>
      </c>
      <c r="M14" s="112">
        <v>2021</v>
      </c>
      <c r="N14" s="405">
        <v>2022</v>
      </c>
      <c r="O14" s="408">
        <v>2023</v>
      </c>
      <c r="P14" s="332"/>
    </row>
    <row r="15" spans="1:25" s="111" customFormat="1" ht="13.5">
      <c r="A15" s="111" t="s">
        <v>179</v>
      </c>
      <c r="B15" s="111" t="s">
        <v>180</v>
      </c>
      <c r="D15" s="74">
        <v>3.3000000000000002E-2</v>
      </c>
      <c r="E15" s="74">
        <v>2.5999999999999999E-2</v>
      </c>
      <c r="N15" s="273"/>
      <c r="O15" s="273"/>
      <c r="P15" s="332"/>
    </row>
    <row r="16" spans="1:25" s="111" customFormat="1" ht="13.5">
      <c r="A16" s="111" t="s">
        <v>179</v>
      </c>
      <c r="B16" s="111" t="s">
        <v>181</v>
      </c>
      <c r="D16" s="74">
        <v>3.1E-2</v>
      </c>
      <c r="E16" s="74">
        <v>2.7E-2</v>
      </c>
      <c r="F16" s="74">
        <v>2.5000000000000001E-2</v>
      </c>
      <c r="G16" s="273"/>
      <c r="H16" s="273"/>
      <c r="I16" s="273"/>
      <c r="J16" s="273"/>
      <c r="K16" s="273"/>
      <c r="L16" s="273"/>
      <c r="N16" s="273"/>
      <c r="O16" s="273"/>
      <c r="P16" s="332"/>
    </row>
    <row r="17" spans="1:25" s="111" customFormat="1" ht="13.5">
      <c r="A17" s="111" t="s">
        <v>179</v>
      </c>
      <c r="B17" s="111" t="s">
        <v>182</v>
      </c>
      <c r="D17" s="273"/>
      <c r="E17" s="74">
        <v>3.1E-2</v>
      </c>
      <c r="F17" s="74">
        <v>3.1E-2</v>
      </c>
      <c r="G17" s="74">
        <v>0.03</v>
      </c>
      <c r="H17" s="273"/>
      <c r="I17" s="273"/>
      <c r="J17" s="273"/>
      <c r="K17" s="273"/>
      <c r="L17" s="273"/>
      <c r="N17" s="273"/>
      <c r="O17" s="273"/>
      <c r="P17" s="332"/>
    </row>
    <row r="18" spans="1:25" s="111" customFormat="1" ht="13.5">
      <c r="A18" s="111" t="s">
        <v>179</v>
      </c>
      <c r="B18" s="111" t="s">
        <v>183</v>
      </c>
      <c r="D18" s="273"/>
      <c r="E18" s="273"/>
      <c r="F18" s="74">
        <v>2.5000000000000001E-2</v>
      </c>
      <c r="G18" s="74">
        <v>2.4E-2</v>
      </c>
      <c r="H18" s="74">
        <v>3.2000000000000001E-2</v>
      </c>
      <c r="I18" s="273"/>
      <c r="J18" s="273"/>
      <c r="K18" s="273"/>
      <c r="L18" s="273"/>
      <c r="N18" s="273"/>
      <c r="O18" s="273"/>
      <c r="P18" s="332"/>
    </row>
    <row r="19" spans="1:25" s="111" customFormat="1" ht="13.5">
      <c r="A19" s="111" t="s">
        <v>179</v>
      </c>
      <c r="B19" s="111" t="s">
        <v>184</v>
      </c>
      <c r="D19" s="273"/>
      <c r="E19" s="273"/>
      <c r="F19" s="273"/>
      <c r="G19" s="74">
        <v>0.01</v>
      </c>
      <c r="H19" s="74">
        <v>2.1000000000000001E-2</v>
      </c>
      <c r="I19" s="74">
        <v>0.03</v>
      </c>
      <c r="J19" s="273"/>
      <c r="K19" s="273"/>
      <c r="L19" s="273"/>
      <c r="N19" s="273"/>
      <c r="O19" s="273"/>
      <c r="P19" s="332"/>
    </row>
    <row r="20" spans="1:25" s="111" customFormat="1" ht="13.5">
      <c r="A20" s="111" t="s">
        <v>179</v>
      </c>
      <c r="B20" s="111" t="s">
        <v>185</v>
      </c>
      <c r="D20" s="273"/>
      <c r="E20" s="273"/>
      <c r="F20" s="273"/>
      <c r="G20" s="273"/>
      <c r="H20" s="74">
        <v>1.7999999999999999E-2</v>
      </c>
      <c r="I20" s="74">
        <v>3.5000000000000003E-2</v>
      </c>
      <c r="J20" s="74">
        <v>3.1E-2</v>
      </c>
      <c r="K20" s="273"/>
      <c r="L20" s="273"/>
      <c r="N20" s="273"/>
      <c r="O20" s="273"/>
      <c r="P20" s="332"/>
    </row>
    <row r="21" spans="1:25" s="111" customFormat="1" ht="13.5">
      <c r="A21" s="111" t="s">
        <v>179</v>
      </c>
      <c r="B21" s="111" t="s">
        <v>186</v>
      </c>
      <c r="D21" s="273"/>
      <c r="E21" s="273"/>
      <c r="F21" s="273"/>
      <c r="G21" s="273"/>
      <c r="H21" s="273"/>
      <c r="I21" s="74">
        <v>3.5999999999999997E-2</v>
      </c>
      <c r="J21" s="74">
        <v>3.4000000000000002E-2</v>
      </c>
      <c r="K21" s="74">
        <v>3.1E-2</v>
      </c>
      <c r="L21" s="273"/>
      <c r="N21" s="273"/>
      <c r="O21" s="273"/>
      <c r="P21" s="332"/>
    </row>
    <row r="22" spans="1:25" s="111" customFormat="1" ht="13.5">
      <c r="A22" s="111" t="s">
        <v>179</v>
      </c>
      <c r="B22" s="111" t="s">
        <v>187</v>
      </c>
      <c r="D22" s="273"/>
      <c r="E22" s="273"/>
      <c r="F22" s="273"/>
      <c r="G22" s="273"/>
      <c r="H22" s="273"/>
      <c r="I22" s="273"/>
      <c r="J22" s="74">
        <v>3.4000000000000002E-2</v>
      </c>
      <c r="K22" s="74">
        <v>3.2000000000000001E-2</v>
      </c>
      <c r="L22" s="74">
        <v>3.1E-2</v>
      </c>
      <c r="N22" s="273"/>
      <c r="O22" s="273"/>
      <c r="P22" s="332"/>
    </row>
    <row r="23" spans="1:25" s="111" customFormat="1" ht="13.5">
      <c r="A23" s="111" t="s">
        <v>179</v>
      </c>
      <c r="B23" s="111" t="s">
        <v>188</v>
      </c>
      <c r="K23" s="74">
        <v>2.5999999999999999E-2</v>
      </c>
      <c r="L23" s="74">
        <v>2.4E-2</v>
      </c>
      <c r="M23" s="74">
        <v>2.7E-2</v>
      </c>
      <c r="N23" s="273"/>
      <c r="O23" s="273"/>
      <c r="P23" s="332"/>
    </row>
    <row r="24" spans="1:25" s="273" customFormat="1" ht="13.5">
      <c r="A24" s="273" t="s">
        <v>179</v>
      </c>
      <c r="B24" s="273" t="s">
        <v>613</v>
      </c>
      <c r="L24" s="74">
        <v>1.4999999999999999E-2</v>
      </c>
      <c r="M24" s="74">
        <v>2.3E-2</v>
      </c>
      <c r="N24" s="74">
        <v>2.7E-2</v>
      </c>
      <c r="Q24" s="396" t="s">
        <v>639</v>
      </c>
    </row>
    <row r="25" spans="1:25" s="273" customFormat="1" ht="13.5">
      <c r="A25" s="273" t="s">
        <v>179</v>
      </c>
      <c r="B25" s="273" t="s">
        <v>614</v>
      </c>
      <c r="L25" s="397"/>
      <c r="M25" s="74">
        <v>2.3E-2</v>
      </c>
      <c r="N25" s="74">
        <v>2.7E-2</v>
      </c>
      <c r="O25" s="74">
        <v>2.8000000000000001E-2</v>
      </c>
      <c r="Q25" s="396" t="s">
        <v>639</v>
      </c>
    </row>
    <row r="26" spans="1:25" s="111" customFormat="1" ht="13.5">
      <c r="N26" s="273"/>
      <c r="O26" s="273"/>
      <c r="Q26" s="332"/>
    </row>
    <row r="27" spans="1:25" s="96" customFormat="1" ht="13.5">
      <c r="A27" s="97" t="s">
        <v>119</v>
      </c>
      <c r="B27" s="96" t="s">
        <v>286</v>
      </c>
      <c r="C27" s="95" t="s">
        <v>1</v>
      </c>
      <c r="D27" s="111"/>
      <c r="E27" s="111"/>
      <c r="F27" s="284">
        <v>0</v>
      </c>
      <c r="G27" s="284">
        <v>8.7129999999999992</v>
      </c>
      <c r="H27" s="284">
        <v>85.16</v>
      </c>
      <c r="I27" s="284">
        <v>87.611999999999995</v>
      </c>
      <c r="J27" s="284">
        <v>52.688000000000002</v>
      </c>
      <c r="K27" s="284">
        <v>76.257999999999996</v>
      </c>
      <c r="L27" s="284">
        <v>76.828000000000003</v>
      </c>
      <c r="M27" s="284">
        <v>88.6</v>
      </c>
      <c r="N27" s="284">
        <v>-11.531881316877682</v>
      </c>
      <c r="O27" s="284">
        <v>14.273564554049569</v>
      </c>
      <c r="Q27" s="396" t="s">
        <v>617</v>
      </c>
      <c r="T27" s="101"/>
      <c r="U27" s="101"/>
      <c r="V27" s="101"/>
      <c r="W27" s="101"/>
      <c r="X27" s="101"/>
      <c r="Y27" s="101"/>
    </row>
    <row r="28" spans="1:25" s="96" customFormat="1" ht="13.5">
      <c r="A28" s="97"/>
      <c r="C28" s="95"/>
      <c r="D28" s="103"/>
      <c r="E28" s="103"/>
      <c r="F28" s="103"/>
      <c r="G28" s="103"/>
      <c r="H28" s="103"/>
      <c r="N28" s="344"/>
      <c r="R28" s="101"/>
      <c r="S28" s="101"/>
      <c r="T28" s="101"/>
      <c r="U28" s="101"/>
      <c r="V28" s="101"/>
      <c r="W28" s="101"/>
    </row>
    <row r="29" spans="1:25" s="96" customFormat="1" ht="13.5">
      <c r="K29" s="356"/>
      <c r="N29" s="338"/>
      <c r="R29" s="101"/>
      <c r="S29" s="101"/>
      <c r="T29" s="101"/>
      <c r="U29" s="101"/>
      <c r="V29" s="101"/>
      <c r="W29" s="101"/>
    </row>
    <row r="30" spans="1:25" s="96" customFormat="1" ht="13.5">
      <c r="A30" s="97"/>
      <c r="B30" s="97"/>
      <c r="C30" s="97"/>
      <c r="D30" s="97"/>
      <c r="E30" s="97"/>
      <c r="F30" s="97"/>
      <c r="G30" s="97"/>
      <c r="H30" s="97"/>
      <c r="I30" s="97"/>
      <c r="J30" s="97"/>
      <c r="K30" s="97"/>
      <c r="L30" s="97"/>
      <c r="M30" s="97"/>
      <c r="N30" s="380"/>
      <c r="R30" s="101"/>
      <c r="S30" s="101"/>
      <c r="T30" s="101"/>
      <c r="U30" s="101"/>
      <c r="V30" s="101"/>
      <c r="W30" s="101"/>
    </row>
    <row r="31" spans="1:25" s="96" customFormat="1" ht="13.5">
      <c r="A31" s="97" t="s">
        <v>10</v>
      </c>
      <c r="C31" s="95"/>
      <c r="D31" s="103"/>
      <c r="E31" s="103"/>
      <c r="F31" s="103"/>
      <c r="N31" s="344"/>
      <c r="R31" s="101"/>
      <c r="S31" s="101"/>
      <c r="T31" s="101"/>
      <c r="U31" s="101"/>
      <c r="V31" s="101"/>
      <c r="W31" s="101"/>
    </row>
    <row r="32" spans="1:25" s="96" customFormat="1" ht="13.5">
      <c r="A32" s="97"/>
      <c r="C32" s="95"/>
      <c r="D32" s="103"/>
      <c r="E32" s="103"/>
      <c r="F32" s="103"/>
      <c r="N32" s="344"/>
      <c r="R32" s="101"/>
      <c r="S32" s="101"/>
      <c r="T32" s="101"/>
      <c r="U32" s="101"/>
      <c r="V32" s="101"/>
      <c r="W32" s="101"/>
    </row>
    <row r="33" spans="1:25" s="96" customFormat="1" ht="27">
      <c r="A33" s="97" t="s">
        <v>514</v>
      </c>
      <c r="C33" s="95"/>
      <c r="D33" s="103"/>
      <c r="F33" s="103"/>
      <c r="N33" s="344"/>
      <c r="R33" s="101"/>
      <c r="S33" s="101"/>
      <c r="T33" s="101"/>
      <c r="U33" s="101"/>
      <c r="V33" s="101"/>
      <c r="W33" s="101"/>
    </row>
    <row r="34" spans="1:25" s="279" customFormat="1" ht="13.5">
      <c r="A34" s="134" t="s">
        <v>297</v>
      </c>
      <c r="B34" s="279" t="s">
        <v>432</v>
      </c>
      <c r="C34" s="95" t="s">
        <v>1</v>
      </c>
      <c r="D34" s="103"/>
      <c r="E34" s="284">
        <v>94.397999999999996</v>
      </c>
      <c r="F34" s="282"/>
      <c r="G34" s="283"/>
      <c r="H34" s="283"/>
      <c r="I34" s="283"/>
      <c r="J34" s="283"/>
      <c r="K34" s="283"/>
      <c r="L34" s="283"/>
      <c r="M34" s="283"/>
      <c r="N34" s="344"/>
      <c r="R34" s="101"/>
      <c r="S34" s="101"/>
      <c r="T34" s="101"/>
      <c r="U34" s="101"/>
      <c r="V34" s="101"/>
      <c r="W34" s="101"/>
    </row>
    <row r="35" spans="1:25" s="279" customFormat="1" ht="13.5">
      <c r="A35" s="206" t="s">
        <v>511</v>
      </c>
      <c r="B35" s="131" t="s">
        <v>431</v>
      </c>
      <c r="C35" s="95" t="s">
        <v>1</v>
      </c>
      <c r="D35" s="103"/>
      <c r="E35" s="284">
        <v>3.5510000000000002</v>
      </c>
      <c r="F35" s="282"/>
      <c r="G35" s="283"/>
      <c r="H35" s="283"/>
      <c r="I35" s="283"/>
      <c r="J35" s="283"/>
      <c r="K35" s="283"/>
      <c r="L35" s="283"/>
      <c r="M35" s="283"/>
      <c r="N35" s="344"/>
      <c r="R35" s="101"/>
      <c r="S35" s="101"/>
      <c r="T35" s="101"/>
      <c r="U35" s="101"/>
      <c r="V35" s="101"/>
      <c r="W35" s="101"/>
    </row>
    <row r="36" spans="1:25" s="279" customFormat="1" ht="13.5">
      <c r="A36" s="206" t="s">
        <v>507</v>
      </c>
      <c r="B36" s="131" t="s">
        <v>508</v>
      </c>
      <c r="C36" s="95" t="s">
        <v>1</v>
      </c>
      <c r="D36" s="103"/>
      <c r="E36" s="284">
        <v>0</v>
      </c>
      <c r="F36" s="282"/>
      <c r="G36" s="283"/>
      <c r="H36" s="283"/>
      <c r="I36" s="283"/>
      <c r="J36" s="283"/>
      <c r="K36" s="283"/>
      <c r="L36" s="283"/>
      <c r="M36" s="283"/>
      <c r="N36" s="344"/>
      <c r="R36" s="101"/>
      <c r="S36" s="101"/>
      <c r="T36" s="101"/>
      <c r="U36" s="101"/>
      <c r="V36" s="101"/>
      <c r="W36" s="101"/>
    </row>
    <row r="37" spans="1:25" s="279" customFormat="1" ht="13.5">
      <c r="A37" s="206" t="s">
        <v>509</v>
      </c>
      <c r="B37" s="131" t="s">
        <v>510</v>
      </c>
      <c r="C37" s="95" t="s">
        <v>1</v>
      </c>
      <c r="D37" s="103"/>
      <c r="E37" s="284">
        <v>32.988999999999997</v>
      </c>
      <c r="F37" s="282"/>
      <c r="G37" s="283"/>
      <c r="H37" s="283"/>
      <c r="I37" s="283"/>
      <c r="J37" s="283"/>
      <c r="K37" s="283"/>
      <c r="L37" s="283"/>
      <c r="M37" s="283"/>
      <c r="N37" s="344"/>
      <c r="R37" s="101"/>
      <c r="S37" s="101"/>
      <c r="T37" s="101"/>
      <c r="U37" s="101"/>
      <c r="V37" s="101"/>
      <c r="W37" s="101"/>
    </row>
    <row r="38" spans="1:25" s="279" customFormat="1" ht="13.5">
      <c r="A38" s="206" t="s">
        <v>512</v>
      </c>
      <c r="B38" s="131" t="s">
        <v>513</v>
      </c>
      <c r="C38" s="95" t="s">
        <v>1</v>
      </c>
      <c r="D38" s="103"/>
      <c r="E38" s="284">
        <v>1.867</v>
      </c>
      <c r="F38" s="282"/>
      <c r="G38" s="283"/>
      <c r="H38" s="283"/>
      <c r="I38" s="283"/>
      <c r="J38" s="409"/>
      <c r="K38" s="409"/>
      <c r="L38" s="409"/>
      <c r="M38" s="283"/>
      <c r="N38" s="344"/>
      <c r="R38" s="101"/>
      <c r="S38" s="101"/>
      <c r="T38" s="101"/>
      <c r="U38" s="101"/>
      <c r="V38" s="101"/>
      <c r="W38" s="101"/>
    </row>
    <row r="39" spans="1:25" s="279" customFormat="1" ht="13.5">
      <c r="A39" s="205" t="s">
        <v>515</v>
      </c>
      <c r="B39" s="131" t="s">
        <v>434</v>
      </c>
      <c r="C39" s="95" t="s">
        <v>1</v>
      </c>
      <c r="D39" s="103"/>
      <c r="E39" s="284">
        <v>-1.77</v>
      </c>
      <c r="F39" s="282"/>
      <c r="G39" s="283"/>
      <c r="H39" s="283"/>
      <c r="I39" s="283"/>
      <c r="J39" s="283"/>
      <c r="K39" s="283"/>
      <c r="L39" s="283"/>
      <c r="M39" s="283"/>
      <c r="N39" s="344"/>
      <c r="R39" s="101"/>
      <c r="S39" s="101"/>
      <c r="T39" s="101"/>
      <c r="U39" s="101"/>
      <c r="V39" s="101"/>
      <c r="W39" s="101"/>
    </row>
    <row r="40" spans="1:25" s="279" customFormat="1" ht="13.5">
      <c r="A40" s="273" t="s">
        <v>62</v>
      </c>
      <c r="B40" s="279" t="s">
        <v>435</v>
      </c>
      <c r="C40" s="95"/>
      <c r="D40" s="103"/>
      <c r="E40" s="284">
        <v>1.1339779999999999</v>
      </c>
      <c r="F40" s="282"/>
      <c r="G40" s="283"/>
      <c r="H40" s="283"/>
      <c r="I40" s="283"/>
      <c r="J40" s="283"/>
      <c r="K40" s="283"/>
      <c r="L40" s="283"/>
      <c r="M40" s="283"/>
      <c r="N40" s="344"/>
      <c r="R40" s="101"/>
      <c r="S40" s="101"/>
      <c r="T40" s="101"/>
      <c r="U40" s="101"/>
      <c r="V40" s="101"/>
      <c r="W40" s="101"/>
    </row>
    <row r="41" spans="1:25" s="279" customFormat="1" ht="13.5">
      <c r="A41" s="134" t="s">
        <v>427</v>
      </c>
      <c r="B41" s="279" t="s">
        <v>436</v>
      </c>
      <c r="C41" s="95" t="s">
        <v>1</v>
      </c>
      <c r="D41" s="103"/>
      <c r="E41" s="284">
        <v>8.6999999999999993</v>
      </c>
      <c r="G41" s="283"/>
      <c r="H41" s="283"/>
      <c r="I41" s="283"/>
      <c r="J41" s="283"/>
      <c r="K41" s="283"/>
      <c r="L41" s="283"/>
      <c r="M41" s="283"/>
      <c r="N41" s="344"/>
      <c r="R41" s="101"/>
      <c r="S41" s="101"/>
      <c r="T41" s="101"/>
      <c r="U41" s="101"/>
      <c r="V41" s="101"/>
      <c r="W41" s="101"/>
    </row>
    <row r="42" spans="1:25" s="279" customFormat="1" ht="13.5">
      <c r="A42" s="134"/>
      <c r="C42" s="95"/>
      <c r="D42" s="103"/>
      <c r="E42" s="287"/>
      <c r="F42" s="282"/>
      <c r="G42" s="283"/>
      <c r="H42" s="283"/>
      <c r="I42" s="283"/>
      <c r="J42" s="283"/>
      <c r="K42" s="283"/>
      <c r="L42" s="283"/>
      <c r="M42" s="283"/>
      <c r="N42" s="344"/>
      <c r="R42" s="101"/>
      <c r="S42" s="101"/>
      <c r="T42" s="101"/>
      <c r="U42" s="101"/>
      <c r="V42" s="101"/>
      <c r="W42" s="101"/>
    </row>
    <row r="43" spans="1:25" s="96" customFormat="1" ht="13.5">
      <c r="A43" s="96" t="s">
        <v>388</v>
      </c>
      <c r="B43" s="96" t="s">
        <v>268</v>
      </c>
      <c r="C43" s="95" t="s">
        <v>1</v>
      </c>
      <c r="D43" s="381"/>
      <c r="E43" s="286">
        <v>131.97999999999999</v>
      </c>
      <c r="F43" s="285"/>
      <c r="G43" s="285"/>
      <c r="H43" s="285"/>
      <c r="I43" s="285"/>
      <c r="J43" s="285"/>
      <c r="K43" s="285"/>
      <c r="L43" s="285"/>
      <c r="M43" s="285"/>
      <c r="N43" s="344" t="s">
        <v>268</v>
      </c>
      <c r="R43" s="101"/>
      <c r="S43" s="101"/>
      <c r="T43" s="101"/>
      <c r="U43" s="101"/>
      <c r="V43" s="101"/>
      <c r="W43" s="101"/>
    </row>
    <row r="44" spans="1:25" s="96" customFormat="1" ht="13.5">
      <c r="A44" s="96" t="s">
        <v>269</v>
      </c>
      <c r="B44" s="96" t="s">
        <v>12</v>
      </c>
      <c r="C44" s="95" t="s">
        <v>1</v>
      </c>
      <c r="D44" s="103"/>
      <c r="E44" s="286">
        <v>117.58</v>
      </c>
      <c r="F44" s="282"/>
      <c r="G44" s="283"/>
      <c r="H44" s="283"/>
      <c r="I44" s="283"/>
      <c r="J44" s="283"/>
      <c r="K44" s="283"/>
      <c r="L44" s="283"/>
      <c r="M44" s="283"/>
      <c r="N44" s="344"/>
      <c r="R44" s="101"/>
      <c r="S44" s="101"/>
      <c r="T44" s="101"/>
      <c r="U44" s="101"/>
      <c r="V44" s="101"/>
      <c r="W44" s="101"/>
    </row>
    <row r="45" spans="1:25" s="277" customFormat="1" ht="13.5">
      <c r="C45" s="95"/>
      <c r="D45" s="103"/>
      <c r="E45" s="103"/>
      <c r="F45" s="103"/>
      <c r="N45" s="344"/>
      <c r="R45" s="101"/>
      <c r="S45" s="101"/>
      <c r="T45" s="101"/>
      <c r="U45" s="101"/>
      <c r="V45" s="101"/>
      <c r="W45" s="101"/>
    </row>
    <row r="46" spans="1:25" s="96" customFormat="1" ht="13.5">
      <c r="A46" s="97"/>
      <c r="C46" s="95"/>
      <c r="D46" s="103"/>
      <c r="E46" s="103"/>
      <c r="F46" s="365"/>
      <c r="G46" s="365"/>
      <c r="H46" s="365"/>
      <c r="I46" s="365"/>
      <c r="J46" s="365"/>
      <c r="K46" s="365"/>
      <c r="L46" s="365"/>
      <c r="M46" s="365"/>
      <c r="N46" s="365"/>
      <c r="O46" s="365"/>
      <c r="R46" s="101"/>
      <c r="S46" s="101"/>
      <c r="T46" s="101"/>
      <c r="U46" s="101"/>
      <c r="V46" s="101"/>
      <c r="W46" s="101"/>
    </row>
    <row r="47" spans="1:25" s="96" customFormat="1" ht="13.5">
      <c r="A47" s="97" t="s">
        <v>120</v>
      </c>
      <c r="C47" s="95"/>
      <c r="D47" s="103"/>
      <c r="E47" s="103"/>
      <c r="F47" s="364"/>
      <c r="G47" s="364"/>
      <c r="H47" s="364"/>
      <c r="I47" s="364"/>
      <c r="J47" s="364"/>
      <c r="K47" s="364"/>
      <c r="L47" s="364"/>
      <c r="M47" s="364"/>
      <c r="N47" s="344"/>
      <c r="P47" s="405">
        <v>2024</v>
      </c>
      <c r="R47" s="101"/>
      <c r="S47" s="101"/>
      <c r="T47" s="101"/>
      <c r="U47" s="101"/>
      <c r="V47" s="101"/>
      <c r="W47" s="101"/>
    </row>
    <row r="48" spans="1:25" s="96" customFormat="1" ht="13.5">
      <c r="A48" s="96" t="s">
        <v>259</v>
      </c>
      <c r="B48" s="96" t="s">
        <v>260</v>
      </c>
      <c r="C48" s="95" t="s">
        <v>105</v>
      </c>
      <c r="D48" s="95"/>
      <c r="E48" s="74">
        <v>4.7500000000000001E-2</v>
      </c>
      <c r="F48" s="74">
        <v>4.7560000000000005E-2</v>
      </c>
      <c r="G48" s="74">
        <v>4.5249999999999999E-2</v>
      </c>
      <c r="H48" s="74">
        <v>4.3325000000000002E-2</v>
      </c>
      <c r="I48" s="74">
        <v>4.1345E-2</v>
      </c>
      <c r="J48" s="74">
        <v>3.9805E-2</v>
      </c>
      <c r="K48" s="74">
        <v>3.7879999999999997E-2</v>
      </c>
      <c r="L48" s="74">
        <v>3.7054999999999998E-2</v>
      </c>
      <c r="M48" s="74">
        <v>3.5680000000000003E-2</v>
      </c>
      <c r="N48" s="74">
        <v>4.4979999999999999E-2</v>
      </c>
      <c r="O48" s="74">
        <v>4.5580000000000002E-2</v>
      </c>
      <c r="P48" s="74">
        <v>4.6059999999999997E-2</v>
      </c>
      <c r="Q48" s="344" t="s">
        <v>260</v>
      </c>
      <c r="T48" s="101"/>
      <c r="U48" s="101"/>
      <c r="V48" s="101"/>
      <c r="W48" s="101"/>
      <c r="X48" s="101"/>
      <c r="Y48" s="101"/>
    </row>
    <row r="49" spans="1:25" s="96" customFormat="1" ht="13.5">
      <c r="A49" s="96" t="s">
        <v>494</v>
      </c>
      <c r="B49" s="96" t="s">
        <v>127</v>
      </c>
      <c r="C49" s="259" t="s">
        <v>118</v>
      </c>
      <c r="D49" s="103"/>
      <c r="E49" s="269">
        <f>1+E48</f>
        <v>1.0475000000000001</v>
      </c>
      <c r="F49" s="269">
        <f t="shared" ref="F49:M49" si="1">1+F48</f>
        <v>1.04756</v>
      </c>
      <c r="G49" s="269">
        <f t="shared" si="1"/>
        <v>1.04525</v>
      </c>
      <c r="H49" s="269">
        <f t="shared" si="1"/>
        <v>1.0433250000000001</v>
      </c>
      <c r="I49" s="269">
        <f t="shared" si="1"/>
        <v>1.041345</v>
      </c>
      <c r="J49" s="269">
        <f t="shared" si="1"/>
        <v>1.0398050000000001</v>
      </c>
      <c r="K49" s="269">
        <f t="shared" si="1"/>
        <v>1.0378799999999999</v>
      </c>
      <c r="L49" s="269">
        <f t="shared" si="1"/>
        <v>1.0370550000000001</v>
      </c>
      <c r="M49" s="269">
        <f t="shared" si="1"/>
        <v>1.0356799999999999</v>
      </c>
      <c r="N49" s="269">
        <f t="shared" ref="N49:P49" si="2">1+N48</f>
        <v>1.04498</v>
      </c>
      <c r="O49" s="269">
        <f t="shared" si="2"/>
        <v>1.04558</v>
      </c>
      <c r="P49" s="269">
        <f t="shared" si="2"/>
        <v>1.04606</v>
      </c>
      <c r="Q49" s="344" t="s">
        <v>127</v>
      </c>
      <c r="T49" s="101"/>
      <c r="U49" s="101"/>
      <c r="V49" s="101"/>
      <c r="W49" s="101"/>
      <c r="X49" s="101"/>
      <c r="Y49" s="101"/>
    </row>
    <row r="50" spans="1:25" s="96" customFormat="1" ht="13.5">
      <c r="A50" s="97"/>
      <c r="C50" s="95"/>
      <c r="D50" s="103"/>
      <c r="E50" s="103"/>
      <c r="F50" s="103"/>
      <c r="N50" s="394"/>
      <c r="O50" s="394"/>
      <c r="P50" s="344"/>
      <c r="T50" s="101"/>
      <c r="U50" s="101"/>
      <c r="V50" s="101"/>
      <c r="W50" s="101"/>
      <c r="X50" s="101"/>
      <c r="Y50" s="101"/>
    </row>
    <row r="51" spans="1:25" s="96" customFormat="1" ht="13.5">
      <c r="C51" s="95"/>
      <c r="D51" s="103"/>
      <c r="E51" s="103"/>
      <c r="F51" s="103"/>
      <c r="G51" s="103"/>
      <c r="H51" s="103"/>
      <c r="I51" s="103"/>
      <c r="J51" s="103"/>
      <c r="K51" s="103"/>
      <c r="L51" s="103"/>
      <c r="M51" s="103"/>
      <c r="N51" s="103"/>
      <c r="O51" s="103"/>
      <c r="P51" s="344"/>
      <c r="T51" s="101"/>
      <c r="U51" s="101"/>
      <c r="V51" s="101"/>
      <c r="W51" s="101"/>
      <c r="X51" s="101"/>
      <c r="Y51" s="101"/>
    </row>
    <row r="52" spans="1:25" s="96" customFormat="1" ht="13.5">
      <c r="A52" s="97" t="s">
        <v>194</v>
      </c>
      <c r="B52" s="270" t="s">
        <v>32</v>
      </c>
      <c r="C52" s="95" t="s">
        <v>495</v>
      </c>
      <c r="D52" s="103"/>
      <c r="E52" s="76">
        <v>0.5</v>
      </c>
      <c r="F52" s="76">
        <v>0.5</v>
      </c>
      <c r="G52" s="76">
        <v>0.5</v>
      </c>
      <c r="H52" s="76">
        <v>0.5</v>
      </c>
      <c r="I52" s="76">
        <v>0.34</v>
      </c>
      <c r="J52" s="76">
        <v>0.35</v>
      </c>
      <c r="K52" s="76">
        <v>0.67</v>
      </c>
      <c r="L52" s="297">
        <v>0.72</v>
      </c>
      <c r="M52" s="297">
        <v>0.1</v>
      </c>
      <c r="N52" s="297">
        <v>0.1</v>
      </c>
      <c r="O52" s="297">
        <v>0.1</v>
      </c>
      <c r="P52" s="344" t="s">
        <v>32</v>
      </c>
      <c r="T52" s="101"/>
      <c r="U52" s="101"/>
      <c r="V52" s="101"/>
      <c r="W52" s="101"/>
      <c r="X52" s="101"/>
      <c r="Y52" s="101"/>
    </row>
    <row r="53" spans="1:25" s="96" customFormat="1" ht="13.5">
      <c r="A53" s="97"/>
      <c r="C53" s="95"/>
      <c r="D53" s="103"/>
      <c r="E53" s="103"/>
      <c r="F53" s="103"/>
      <c r="N53" s="394"/>
      <c r="O53" s="394"/>
      <c r="P53" s="344"/>
      <c r="T53" s="101"/>
      <c r="U53" s="101"/>
      <c r="V53" s="101"/>
      <c r="W53" s="101"/>
      <c r="X53" s="101"/>
      <c r="Y53" s="101"/>
    </row>
    <row r="54" spans="1:25" s="96" customFormat="1" ht="13.5">
      <c r="A54" s="97"/>
      <c r="C54" s="95"/>
      <c r="D54" s="103"/>
      <c r="E54" s="103"/>
      <c r="F54" s="103"/>
      <c r="N54" s="394"/>
      <c r="O54" s="394"/>
      <c r="P54" s="344"/>
      <c r="T54" s="101"/>
      <c r="U54" s="101"/>
      <c r="V54" s="101"/>
      <c r="W54" s="101"/>
      <c r="X54" s="101"/>
      <c r="Y54" s="101"/>
    </row>
    <row r="55" spans="1:25" s="96" customFormat="1" ht="15">
      <c r="A55" s="93" t="s">
        <v>108</v>
      </c>
      <c r="C55" s="95"/>
      <c r="D55" s="95"/>
      <c r="E55" s="95"/>
      <c r="I55" s="389"/>
      <c r="N55" s="344"/>
      <c r="R55" s="101"/>
      <c r="S55" s="101"/>
      <c r="T55" s="101"/>
      <c r="U55" s="101"/>
      <c r="V55" s="101"/>
      <c r="W55" s="101"/>
    </row>
    <row r="56" spans="1:25" s="96" customFormat="1" ht="13.5">
      <c r="A56" s="96" t="s">
        <v>525</v>
      </c>
      <c r="B56" s="271" t="s">
        <v>122</v>
      </c>
      <c r="C56" s="95" t="s">
        <v>1</v>
      </c>
      <c r="D56" s="95"/>
      <c r="E56" s="381"/>
      <c r="F56" s="49"/>
      <c r="G56" s="49"/>
      <c r="H56" s="49"/>
      <c r="I56" s="49"/>
      <c r="J56" s="49"/>
      <c r="K56" s="49"/>
      <c r="L56" s="49"/>
      <c r="M56" s="49"/>
      <c r="N56" s="344" t="s">
        <v>122</v>
      </c>
      <c r="R56" s="101"/>
      <c r="S56" s="101"/>
      <c r="T56" s="101"/>
      <c r="U56" s="101"/>
      <c r="V56" s="101"/>
      <c r="W56" s="101"/>
    </row>
    <row r="57" spans="1:25" s="96" customFormat="1" ht="13.5">
      <c r="C57" s="95"/>
      <c r="D57" s="95"/>
      <c r="E57" s="338"/>
      <c r="F57" s="288"/>
      <c r="G57" s="95"/>
      <c r="H57" s="95"/>
      <c r="I57" s="95"/>
      <c r="J57" s="95"/>
      <c r="K57" s="95"/>
      <c r="L57" s="95"/>
      <c r="M57" s="95"/>
      <c r="N57" s="344"/>
      <c r="R57" s="101"/>
      <c r="S57" s="101"/>
      <c r="T57" s="101"/>
      <c r="U57" s="101"/>
      <c r="V57" s="101"/>
      <c r="W57" s="101"/>
    </row>
    <row r="58" spans="1:25" s="96" customFormat="1" ht="13.5">
      <c r="A58" s="96" t="s">
        <v>526</v>
      </c>
      <c r="B58" s="208" t="s">
        <v>131</v>
      </c>
      <c r="C58" s="95" t="s">
        <v>1</v>
      </c>
      <c r="D58" s="95"/>
      <c r="E58" s="381"/>
      <c r="F58" s="49"/>
      <c r="G58" s="49"/>
      <c r="H58" s="49"/>
      <c r="I58" s="49"/>
      <c r="J58" s="49"/>
      <c r="K58" s="49"/>
      <c r="L58" s="49"/>
      <c r="M58" s="49"/>
      <c r="N58" s="344" t="s">
        <v>131</v>
      </c>
      <c r="R58" s="101"/>
      <c r="S58" s="101"/>
      <c r="T58" s="101"/>
      <c r="U58" s="101"/>
      <c r="V58" s="101"/>
      <c r="W58" s="101"/>
    </row>
    <row r="59" spans="1:25" s="96" customFormat="1" ht="13.5">
      <c r="C59" s="95"/>
      <c r="D59" s="95"/>
      <c r="E59" s="288"/>
      <c r="F59" s="288"/>
      <c r="G59" s="95"/>
      <c r="H59" s="95"/>
      <c r="I59" s="95"/>
      <c r="J59" s="95"/>
      <c r="K59" s="95"/>
      <c r="L59" s="95"/>
      <c r="M59" s="95"/>
      <c r="N59" s="381"/>
      <c r="R59" s="101"/>
      <c r="S59" s="101"/>
      <c r="T59" s="101"/>
      <c r="U59" s="101"/>
      <c r="V59" s="101"/>
      <c r="W59" s="101"/>
    </row>
    <row r="60" spans="1:25" s="96" customFormat="1" ht="13.5" hidden="1">
      <c r="C60" s="95" t="s">
        <v>1</v>
      </c>
      <c r="D60" s="95"/>
      <c r="E60" s="288"/>
      <c r="F60" s="288"/>
      <c r="G60" s="95"/>
      <c r="H60" s="95"/>
      <c r="I60" s="95"/>
      <c r="J60" s="95"/>
      <c r="K60" s="95"/>
      <c r="L60" s="95"/>
      <c r="M60" s="95"/>
      <c r="N60" s="381"/>
      <c r="R60" s="101"/>
      <c r="S60" s="101"/>
      <c r="T60" s="101"/>
      <c r="U60" s="101"/>
      <c r="V60" s="101"/>
      <c r="W60" s="101"/>
    </row>
    <row r="61" spans="1:25" s="96" customFormat="1" ht="13.5" hidden="1">
      <c r="C61" s="95" t="s">
        <v>1</v>
      </c>
      <c r="D61" s="95"/>
      <c r="E61" s="288"/>
      <c r="F61" s="288"/>
      <c r="G61" s="95"/>
      <c r="H61" s="95"/>
      <c r="I61" s="95"/>
      <c r="J61" s="95"/>
      <c r="K61" s="95"/>
      <c r="L61" s="95"/>
      <c r="M61" s="95"/>
      <c r="N61" s="381"/>
      <c r="R61" s="101"/>
      <c r="S61" s="101"/>
      <c r="T61" s="101"/>
      <c r="U61" s="101"/>
      <c r="V61" s="101"/>
      <c r="W61" s="101"/>
    </row>
    <row r="62" spans="1:25" s="96" customFormat="1" ht="13.5" hidden="1">
      <c r="C62" s="95" t="s">
        <v>1</v>
      </c>
      <c r="D62" s="95"/>
      <c r="E62" s="288"/>
      <c r="F62" s="288"/>
      <c r="G62" s="95"/>
      <c r="H62" s="95"/>
      <c r="I62" s="95"/>
      <c r="J62" s="95"/>
      <c r="K62" s="95"/>
      <c r="L62" s="95"/>
      <c r="M62" s="95"/>
      <c r="N62" s="381"/>
      <c r="R62" s="101"/>
      <c r="S62" s="101"/>
      <c r="T62" s="101"/>
      <c r="U62" s="101"/>
      <c r="V62" s="101"/>
      <c r="W62" s="101"/>
    </row>
    <row r="63" spans="1:25" s="96" customFormat="1" ht="13.5" hidden="1">
      <c r="C63" s="95" t="s">
        <v>1</v>
      </c>
      <c r="D63" s="95"/>
      <c r="E63" s="288"/>
      <c r="F63" s="288"/>
      <c r="G63" s="95"/>
      <c r="H63" s="95"/>
      <c r="I63" s="95"/>
      <c r="J63" s="95"/>
      <c r="K63" s="95"/>
      <c r="L63" s="95"/>
      <c r="M63" s="95"/>
      <c r="N63" s="381"/>
      <c r="R63" s="101"/>
      <c r="S63" s="101"/>
      <c r="T63" s="101"/>
      <c r="U63" s="101"/>
      <c r="V63" s="101"/>
      <c r="W63" s="101"/>
    </row>
    <row r="64" spans="1:25" s="96" customFormat="1" ht="13.5" hidden="1">
      <c r="C64" s="95" t="s">
        <v>1</v>
      </c>
      <c r="D64" s="95"/>
      <c r="E64" s="288"/>
      <c r="F64" s="288"/>
      <c r="G64" s="95"/>
      <c r="H64" s="95"/>
      <c r="I64" s="95"/>
      <c r="J64" s="95"/>
      <c r="K64" s="95"/>
      <c r="L64" s="95"/>
      <c r="M64" s="95"/>
      <c r="N64" s="381"/>
      <c r="R64" s="101"/>
      <c r="S64" s="101"/>
      <c r="T64" s="101"/>
      <c r="U64" s="101"/>
      <c r="V64" s="101"/>
      <c r="W64" s="101"/>
    </row>
    <row r="65" spans="1:23" s="96" customFormat="1" ht="13.5" hidden="1">
      <c r="C65" s="95"/>
      <c r="D65" s="95"/>
      <c r="E65" s="288"/>
      <c r="F65" s="289"/>
      <c r="G65" s="103"/>
      <c r="H65" s="103"/>
      <c r="I65" s="103"/>
      <c r="J65" s="103"/>
      <c r="K65" s="103"/>
      <c r="L65" s="103"/>
      <c r="M65" s="103"/>
      <c r="N65" s="344"/>
      <c r="R65" s="101"/>
      <c r="S65" s="101"/>
      <c r="T65" s="101"/>
      <c r="U65" s="101"/>
      <c r="V65" s="101"/>
      <c r="W65" s="101"/>
    </row>
    <row r="66" spans="1:23" ht="13.5" hidden="1">
      <c r="E66" s="288"/>
      <c r="F66" s="290"/>
      <c r="N66" s="338"/>
    </row>
    <row r="67" spans="1:23" s="96" customFormat="1" ht="15">
      <c r="A67" s="93" t="s">
        <v>133</v>
      </c>
      <c r="C67" s="95"/>
      <c r="D67" s="95"/>
      <c r="E67" s="288"/>
      <c r="F67" s="289"/>
      <c r="N67" s="344"/>
      <c r="R67" s="101"/>
      <c r="S67" s="101"/>
      <c r="T67" s="101"/>
      <c r="U67" s="101"/>
      <c r="V67" s="101"/>
      <c r="W67" s="101"/>
    </row>
    <row r="68" spans="1:23" s="96" customFormat="1" ht="13.5">
      <c r="A68" s="97"/>
      <c r="C68" s="95"/>
      <c r="D68" s="95"/>
      <c r="E68" s="288"/>
      <c r="F68" s="288"/>
      <c r="N68" s="344"/>
      <c r="R68" s="101"/>
      <c r="S68" s="101"/>
      <c r="T68" s="101"/>
      <c r="U68" s="101"/>
      <c r="V68" s="101"/>
      <c r="W68" s="101"/>
    </row>
    <row r="69" spans="1:23" s="96" customFormat="1" ht="13.5">
      <c r="A69" s="97" t="s">
        <v>195</v>
      </c>
      <c r="C69" s="95"/>
      <c r="D69" s="95"/>
      <c r="E69" s="288"/>
      <c r="F69" s="288"/>
      <c r="N69" s="338"/>
      <c r="R69" s="101"/>
      <c r="S69" s="101"/>
      <c r="T69" s="101"/>
      <c r="U69" s="101"/>
      <c r="V69" s="101"/>
      <c r="W69" s="101"/>
    </row>
    <row r="70" spans="1:23" s="96" customFormat="1" ht="14">
      <c r="A70" s="115" t="s">
        <v>400</v>
      </c>
      <c r="B70" s="272" t="s">
        <v>401</v>
      </c>
      <c r="C70" s="263" t="s">
        <v>495</v>
      </c>
      <c r="D70" s="113"/>
      <c r="E70" s="288"/>
      <c r="F70" s="281"/>
      <c r="G70" s="388"/>
      <c r="N70" s="338"/>
      <c r="R70" s="101"/>
      <c r="S70" s="101"/>
      <c r="T70" s="101"/>
      <c r="U70" s="101"/>
      <c r="V70" s="101"/>
      <c r="W70" s="101"/>
    </row>
    <row r="71" spans="1:23" s="96" customFormat="1" ht="13.5">
      <c r="A71" s="97"/>
      <c r="C71" s="95"/>
      <c r="D71" s="95"/>
      <c r="E71" s="288"/>
      <c r="F71" s="288"/>
      <c r="N71" s="353"/>
      <c r="R71" s="101"/>
      <c r="S71" s="101"/>
      <c r="T71" s="101"/>
      <c r="U71" s="101"/>
      <c r="V71" s="101"/>
      <c r="W71" s="101"/>
    </row>
    <row r="72" spans="1:23" ht="13.5">
      <c r="E72" s="288"/>
      <c r="F72" s="291"/>
      <c r="G72" s="114"/>
      <c r="H72" s="114"/>
      <c r="I72" s="114"/>
      <c r="J72" s="114"/>
      <c r="K72" s="114"/>
      <c r="L72" s="114"/>
      <c r="M72" s="114"/>
      <c r="N72" s="338"/>
    </row>
    <row r="73" spans="1:23" ht="13.5">
      <c r="A73" s="116" t="s">
        <v>498</v>
      </c>
      <c r="F73" s="291"/>
      <c r="G73" s="114"/>
      <c r="H73" s="105"/>
      <c r="I73" s="105"/>
      <c r="J73" s="105"/>
      <c r="K73" s="105"/>
      <c r="L73" s="105"/>
      <c r="M73" s="105"/>
      <c r="N73" s="338"/>
    </row>
    <row r="74" spans="1:23" ht="13.5">
      <c r="A74" s="111" t="s">
        <v>66</v>
      </c>
      <c r="B74" s="210" t="s">
        <v>203</v>
      </c>
      <c r="C74" s="114" t="s">
        <v>496</v>
      </c>
      <c r="E74" s="381"/>
      <c r="F74" s="49"/>
      <c r="G74" s="49"/>
      <c r="H74" s="49"/>
      <c r="I74" s="49"/>
      <c r="J74" s="49"/>
      <c r="K74" s="49"/>
      <c r="L74" s="49"/>
      <c r="M74" s="49"/>
      <c r="N74" s="353" t="s">
        <v>203</v>
      </c>
    </row>
    <row r="75" spans="1:23" ht="12.75" customHeight="1">
      <c r="F75" s="290"/>
      <c r="N75" s="338"/>
    </row>
    <row r="76" spans="1:23" ht="13.5">
      <c r="A76" s="337" t="s">
        <v>499</v>
      </c>
      <c r="F76" s="290"/>
      <c r="N76" s="338"/>
    </row>
    <row r="77" spans="1:23" ht="13.5">
      <c r="A77" s="332" t="s">
        <v>517</v>
      </c>
      <c r="B77" s="96" t="s">
        <v>351</v>
      </c>
      <c r="C77" s="114" t="s">
        <v>497</v>
      </c>
      <c r="E77" s="381"/>
      <c r="F77" s="49"/>
      <c r="G77" s="49"/>
      <c r="H77" s="49"/>
      <c r="I77" s="49"/>
      <c r="J77" s="49"/>
      <c r="K77" s="49"/>
      <c r="L77" s="49"/>
      <c r="M77" s="49"/>
      <c r="N77" s="353" t="s">
        <v>351</v>
      </c>
    </row>
    <row r="78" spans="1:23" ht="13.5">
      <c r="A78" s="338" t="s">
        <v>518</v>
      </c>
      <c r="B78" s="96" t="s">
        <v>209</v>
      </c>
      <c r="C78" s="114" t="s">
        <v>1</v>
      </c>
      <c r="E78" s="381"/>
      <c r="F78" s="49"/>
      <c r="G78" s="49"/>
      <c r="H78" s="49"/>
      <c r="I78" s="49"/>
      <c r="J78" s="49"/>
      <c r="K78" s="49"/>
      <c r="L78" s="49"/>
      <c r="M78" s="49"/>
      <c r="N78" s="353" t="s">
        <v>209</v>
      </c>
    </row>
    <row r="79" spans="1:23" ht="13.5">
      <c r="A79" s="332" t="s">
        <v>352</v>
      </c>
      <c r="B79" s="273" t="s">
        <v>566</v>
      </c>
      <c r="C79" s="274" t="s">
        <v>468</v>
      </c>
      <c r="E79" s="381"/>
      <c r="F79" s="49"/>
      <c r="G79" s="49"/>
      <c r="H79" s="49"/>
      <c r="I79" s="49"/>
      <c r="J79" s="49"/>
      <c r="K79" s="49"/>
      <c r="L79" s="49"/>
      <c r="M79" s="49"/>
      <c r="N79" s="343" t="s">
        <v>566</v>
      </c>
    </row>
    <row r="80" spans="1:23" ht="13.5">
      <c r="A80" s="332" t="s">
        <v>565</v>
      </c>
      <c r="B80" s="273" t="s">
        <v>306</v>
      </c>
      <c r="C80" s="274" t="s">
        <v>118</v>
      </c>
      <c r="E80" s="381"/>
      <c r="F80" s="49"/>
      <c r="G80" s="49"/>
      <c r="H80" s="49"/>
      <c r="I80" s="49"/>
      <c r="J80" s="49"/>
      <c r="K80" s="49"/>
      <c r="L80" s="390"/>
      <c r="M80" s="390"/>
      <c r="N80" s="343" t="s">
        <v>306</v>
      </c>
    </row>
    <row r="81" spans="1:23" ht="13.5">
      <c r="N81" s="338"/>
    </row>
    <row r="82" spans="1:23" ht="13.5">
      <c r="A82" s="310" t="s">
        <v>216</v>
      </c>
      <c r="B82" s="310" t="s">
        <v>215</v>
      </c>
      <c r="C82" s="114" t="s">
        <v>105</v>
      </c>
      <c r="F82" s="384">
        <v>0.23</v>
      </c>
      <c r="G82" s="384">
        <v>0.21</v>
      </c>
      <c r="H82" s="384">
        <v>0.2</v>
      </c>
      <c r="I82" s="384">
        <v>0.2</v>
      </c>
      <c r="J82" s="384">
        <v>0.19</v>
      </c>
      <c r="K82" s="384">
        <v>0.19</v>
      </c>
      <c r="L82" s="384">
        <v>0.19</v>
      </c>
      <c r="M82" s="384">
        <v>0.17</v>
      </c>
      <c r="N82" s="384">
        <v>0.17</v>
      </c>
      <c r="O82" s="384">
        <v>0.17</v>
      </c>
      <c r="P82" s="353" t="s">
        <v>215</v>
      </c>
      <c r="R82" s="96"/>
      <c r="S82" s="96"/>
    </row>
    <row r="83" spans="1:23" ht="13.5">
      <c r="A83" s="117"/>
      <c r="D83" s="61"/>
      <c r="E83" s="61"/>
      <c r="F83" s="61"/>
      <c r="G83" s="61"/>
      <c r="H83" s="61"/>
      <c r="I83" s="61"/>
      <c r="J83" s="61"/>
      <c r="K83" s="61"/>
      <c r="L83" s="61"/>
      <c r="M83" s="61"/>
      <c r="N83" s="353"/>
    </row>
    <row r="84" spans="1:23" ht="13.5">
      <c r="A84" s="267" t="s">
        <v>489</v>
      </c>
      <c r="D84" s="61"/>
      <c r="E84" s="61"/>
      <c r="F84" s="61"/>
      <c r="G84" s="61"/>
      <c r="H84" s="61"/>
      <c r="I84" s="61"/>
      <c r="J84" s="61"/>
      <c r="K84" s="61"/>
      <c r="L84" s="61"/>
      <c r="M84" s="61"/>
      <c r="N84" s="353"/>
    </row>
    <row r="85" spans="1:23" ht="13.5">
      <c r="A85" s="117" t="s">
        <v>389</v>
      </c>
      <c r="B85" s="210" t="s">
        <v>51</v>
      </c>
      <c r="C85" s="114" t="s">
        <v>448</v>
      </c>
      <c r="D85" s="61"/>
      <c r="E85" s="61"/>
      <c r="F85" s="244">
        <v>150.69999999999999</v>
      </c>
      <c r="G85" s="244">
        <v>173.1</v>
      </c>
      <c r="H85" s="244">
        <v>210.7</v>
      </c>
      <c r="I85" s="244">
        <v>226.1</v>
      </c>
      <c r="J85" s="244">
        <v>245.3</v>
      </c>
      <c r="K85" s="244">
        <v>261.39999999999998</v>
      </c>
      <c r="L85" s="244">
        <v>270.89999999999998</v>
      </c>
      <c r="M85" s="244">
        <v>274.7</v>
      </c>
      <c r="N85" s="353"/>
    </row>
    <row r="86" spans="1:23" ht="13.5">
      <c r="A86" s="117" t="s">
        <v>519</v>
      </c>
      <c r="B86" s="210" t="s">
        <v>219</v>
      </c>
      <c r="C86" s="114" t="s">
        <v>448</v>
      </c>
      <c r="D86" s="120"/>
      <c r="E86" s="391"/>
      <c r="F86" s="49"/>
      <c r="G86" s="49"/>
      <c r="H86" s="49"/>
      <c r="I86" s="49"/>
      <c r="J86" s="49"/>
      <c r="K86" s="49"/>
      <c r="L86" s="49"/>
      <c r="M86" s="49"/>
      <c r="N86" s="353" t="s">
        <v>219</v>
      </c>
    </row>
    <row r="87" spans="1:23" s="122" customFormat="1" ht="13.5">
      <c r="A87" s="121" t="s">
        <v>221</v>
      </c>
      <c r="B87" s="101" t="s">
        <v>220</v>
      </c>
      <c r="C87" s="114" t="s">
        <v>376</v>
      </c>
      <c r="D87" s="96"/>
      <c r="E87" s="338"/>
      <c r="F87" s="76">
        <f>'R4 Licence Condition Values'!F62</f>
        <v>50</v>
      </c>
      <c r="G87" s="76">
        <f>'R4 Licence Condition Values'!G62</f>
        <v>51</v>
      </c>
      <c r="H87" s="76">
        <f>'R4 Licence Condition Values'!H62</f>
        <v>52</v>
      </c>
      <c r="I87" s="76">
        <f>'R4 Licence Condition Values'!I62</f>
        <v>53</v>
      </c>
      <c r="J87" s="76">
        <f>'R4 Licence Condition Values'!J62</f>
        <v>54</v>
      </c>
      <c r="K87" s="76">
        <f>'R4 Licence Condition Values'!K62</f>
        <v>55</v>
      </c>
      <c r="L87" s="76">
        <f>'R4 Licence Condition Values'!L62</f>
        <v>56</v>
      </c>
      <c r="M87" s="76">
        <f>'R4 Licence Condition Values'!M62</f>
        <v>57</v>
      </c>
      <c r="N87" s="353" t="s">
        <v>220</v>
      </c>
      <c r="O87" s="120"/>
      <c r="P87" s="120"/>
      <c r="Q87" s="120"/>
    </row>
    <row r="88" spans="1:23" s="122" customFormat="1" ht="13.5">
      <c r="A88" s="111" t="s">
        <v>446</v>
      </c>
      <c r="B88" s="111" t="s">
        <v>446</v>
      </c>
      <c r="C88" s="114" t="s">
        <v>448</v>
      </c>
      <c r="D88" s="210"/>
      <c r="E88" s="338"/>
      <c r="F88" s="49"/>
      <c r="G88" s="49"/>
      <c r="H88" s="49"/>
      <c r="I88" s="49"/>
      <c r="J88" s="49"/>
      <c r="K88" s="49"/>
      <c r="L88" s="49"/>
      <c r="M88" s="49"/>
      <c r="N88" s="343" t="s">
        <v>446</v>
      </c>
      <c r="O88" s="120"/>
      <c r="P88" s="120"/>
      <c r="Q88" s="120"/>
    </row>
    <row r="89" spans="1:23" s="122" customFormat="1" ht="13.5">
      <c r="A89" s="111" t="s">
        <v>449</v>
      </c>
      <c r="B89" s="111" t="s">
        <v>447</v>
      </c>
      <c r="C89" s="114" t="s">
        <v>118</v>
      </c>
      <c r="D89" s="210"/>
      <c r="E89" s="338"/>
      <c r="F89" s="49"/>
      <c r="G89" s="49"/>
      <c r="H89" s="49"/>
      <c r="I89" s="49"/>
      <c r="J89" s="49"/>
      <c r="K89" s="49"/>
      <c r="L89" s="49"/>
      <c r="M89" s="49"/>
      <c r="N89" s="343" t="s">
        <v>447</v>
      </c>
      <c r="O89" s="120"/>
      <c r="P89" s="120"/>
      <c r="Q89" s="120"/>
    </row>
    <row r="90" spans="1:23" s="122" customFormat="1" ht="13.5">
      <c r="A90" s="111" t="s">
        <v>450</v>
      </c>
      <c r="B90" s="111" t="s">
        <v>450</v>
      </c>
      <c r="C90" s="114" t="s">
        <v>448</v>
      </c>
      <c r="D90" s="210"/>
      <c r="E90" s="338"/>
      <c r="F90" s="49"/>
      <c r="G90" s="49"/>
      <c r="H90" s="49"/>
      <c r="I90" s="49"/>
      <c r="J90" s="49"/>
      <c r="K90" s="49"/>
      <c r="L90" s="49"/>
      <c r="M90" s="49"/>
      <c r="N90" s="343" t="s">
        <v>450</v>
      </c>
      <c r="O90" s="120"/>
      <c r="P90" s="120"/>
      <c r="Q90" s="120"/>
    </row>
    <row r="91" spans="1:23" s="122" customFormat="1" ht="13.5">
      <c r="A91" s="121"/>
      <c r="C91" s="114"/>
      <c r="D91" s="210"/>
      <c r="E91" s="210"/>
      <c r="F91" s="91"/>
      <c r="G91" s="91"/>
      <c r="H91" s="91"/>
      <c r="I91" s="91"/>
      <c r="J91" s="91"/>
      <c r="K91" s="91"/>
      <c r="L91" s="91"/>
      <c r="M91" s="91"/>
      <c r="N91" s="353"/>
      <c r="O91" s="120"/>
      <c r="P91" s="120"/>
      <c r="Q91" s="120"/>
    </row>
    <row r="92" spans="1:23" ht="13.5">
      <c r="A92" s="117"/>
      <c r="C92" s="96"/>
      <c r="D92" s="96"/>
      <c r="E92" s="96"/>
      <c r="F92" s="247"/>
      <c r="G92" s="247"/>
      <c r="H92" s="247"/>
      <c r="I92" s="247"/>
      <c r="J92" s="247"/>
      <c r="K92" s="247"/>
      <c r="L92" s="247"/>
      <c r="M92" s="247"/>
      <c r="N92" s="353"/>
    </row>
    <row r="93" spans="1:23" s="96" customFormat="1" ht="13.5">
      <c r="A93" s="96" t="s">
        <v>520</v>
      </c>
      <c r="B93" s="210" t="s">
        <v>227</v>
      </c>
      <c r="C93" s="95" t="s">
        <v>1</v>
      </c>
      <c r="D93" s="95"/>
      <c r="E93" s="381"/>
      <c r="F93" s="49"/>
      <c r="G93" s="49"/>
      <c r="H93" s="49"/>
      <c r="I93" s="49"/>
      <c r="J93" s="49"/>
      <c r="K93" s="49"/>
      <c r="L93" s="49"/>
      <c r="M93" s="49"/>
      <c r="N93" s="344" t="s">
        <v>227</v>
      </c>
      <c r="R93" s="101"/>
      <c r="S93" s="101"/>
      <c r="T93" s="101"/>
      <c r="U93" s="101"/>
      <c r="V93" s="101"/>
      <c r="W93" s="101"/>
    </row>
    <row r="94" spans="1:23" ht="13.5">
      <c r="A94" s="117"/>
      <c r="C94" s="96"/>
      <c r="D94" s="96"/>
      <c r="E94" s="338"/>
      <c r="F94" s="96"/>
      <c r="G94" s="96"/>
      <c r="H94" s="96"/>
      <c r="I94" s="96"/>
      <c r="J94" s="96"/>
      <c r="K94" s="96"/>
      <c r="L94" s="96"/>
      <c r="M94" s="96"/>
      <c r="N94" s="353"/>
    </row>
    <row r="95" spans="1:23" ht="13.5">
      <c r="A95" s="110" t="s">
        <v>500</v>
      </c>
      <c r="C95" s="96"/>
      <c r="D95" s="96"/>
      <c r="E95" s="338"/>
      <c r="F95" s="96"/>
      <c r="G95" s="96"/>
      <c r="H95" s="96"/>
      <c r="I95" s="96"/>
      <c r="J95" s="96"/>
      <c r="K95" s="96"/>
      <c r="L95" s="96"/>
      <c r="M95" s="96"/>
      <c r="N95" s="353"/>
    </row>
    <row r="96" spans="1:23" ht="13.5">
      <c r="A96" s="111" t="s">
        <v>295</v>
      </c>
      <c r="B96" s="210" t="s">
        <v>451</v>
      </c>
      <c r="C96" s="95" t="s">
        <v>495</v>
      </c>
      <c r="D96" s="96"/>
      <c r="E96" s="381"/>
      <c r="F96" s="49"/>
      <c r="G96" s="49"/>
      <c r="H96" s="49"/>
      <c r="I96" s="49"/>
      <c r="J96" s="49"/>
      <c r="K96" s="49"/>
      <c r="L96" s="49"/>
      <c r="M96" s="49"/>
      <c r="N96" s="353" t="s">
        <v>300</v>
      </c>
    </row>
    <row r="97" spans="1:14" ht="13.5">
      <c r="A97" s="111" t="s">
        <v>296</v>
      </c>
      <c r="B97" s="210" t="s">
        <v>301</v>
      </c>
      <c r="C97" s="95" t="s">
        <v>495</v>
      </c>
      <c r="D97" s="96"/>
      <c r="E97" s="381"/>
      <c r="F97" s="49"/>
      <c r="G97" s="49"/>
      <c r="H97" s="49"/>
      <c r="I97" s="49"/>
      <c r="J97" s="49"/>
      <c r="K97" s="49"/>
      <c r="L97" s="49"/>
      <c r="M97" s="49"/>
      <c r="N97" s="353" t="s">
        <v>301</v>
      </c>
    </row>
    <row r="98" spans="1:14" ht="13.5">
      <c r="C98" s="96"/>
      <c r="D98" s="96"/>
      <c r="E98" s="338"/>
      <c r="F98" s="96"/>
      <c r="G98" s="96"/>
      <c r="H98" s="96"/>
      <c r="I98" s="96"/>
      <c r="J98" s="96"/>
      <c r="K98" s="96"/>
      <c r="L98" s="96"/>
      <c r="M98" s="96"/>
      <c r="N98" s="353"/>
    </row>
    <row r="99" spans="1:14" ht="13.5">
      <c r="C99" s="96"/>
      <c r="D99" s="96"/>
      <c r="E99" s="338"/>
      <c r="F99" s="96"/>
      <c r="G99" s="96"/>
      <c r="H99" s="96"/>
      <c r="I99" s="96"/>
      <c r="J99" s="96"/>
      <c r="K99" s="96"/>
      <c r="L99" s="96"/>
      <c r="M99" s="96"/>
      <c r="N99" s="353"/>
    </row>
    <row r="100" spans="1:14" ht="13.5">
      <c r="A100" s="110" t="s">
        <v>318</v>
      </c>
      <c r="C100" s="96"/>
      <c r="D100" s="96"/>
      <c r="E100" s="338"/>
      <c r="F100" s="96"/>
      <c r="G100" s="96"/>
      <c r="H100" s="96"/>
      <c r="I100" s="96"/>
      <c r="J100" s="96"/>
      <c r="K100" s="96"/>
      <c r="L100" s="96"/>
      <c r="M100" s="96"/>
      <c r="N100" s="353"/>
    </row>
    <row r="101" spans="1:14" ht="13.5">
      <c r="A101" s="268" t="s">
        <v>501</v>
      </c>
      <c r="C101" s="96"/>
      <c r="D101" s="96"/>
      <c r="E101" s="338"/>
      <c r="F101" s="96"/>
      <c r="G101" s="96"/>
      <c r="H101" s="96"/>
      <c r="I101" s="96"/>
      <c r="J101" s="96"/>
      <c r="K101" s="96"/>
      <c r="L101" s="96"/>
      <c r="M101" s="96"/>
      <c r="N101" s="353"/>
    </row>
    <row r="102" spans="1:14" ht="13.5">
      <c r="A102" s="111" t="s">
        <v>334</v>
      </c>
      <c r="B102" s="210" t="s">
        <v>324</v>
      </c>
      <c r="C102" s="95" t="s">
        <v>495</v>
      </c>
      <c r="D102" s="96"/>
      <c r="E102" s="381"/>
      <c r="F102" s="49"/>
      <c r="G102" s="49"/>
      <c r="H102" s="49"/>
      <c r="I102" s="49"/>
      <c r="J102" s="49"/>
      <c r="K102" s="49"/>
      <c r="L102" s="49"/>
      <c r="M102" s="49"/>
      <c r="N102" s="353" t="s">
        <v>324</v>
      </c>
    </row>
    <row r="103" spans="1:14" ht="27">
      <c r="A103" s="111" t="s">
        <v>332</v>
      </c>
      <c r="B103" s="210" t="s">
        <v>325</v>
      </c>
      <c r="C103" s="95" t="s">
        <v>516</v>
      </c>
      <c r="D103" s="96"/>
      <c r="E103" s="381"/>
      <c r="F103" s="49"/>
      <c r="G103" s="49"/>
      <c r="H103" s="49"/>
      <c r="I103" s="49"/>
      <c r="J103" s="49"/>
      <c r="K103" s="49"/>
      <c r="L103" s="49"/>
      <c r="M103" s="49"/>
      <c r="N103" s="353" t="s">
        <v>325</v>
      </c>
    </row>
    <row r="104" spans="1:14" ht="13.5">
      <c r="A104" s="111" t="s">
        <v>333</v>
      </c>
      <c r="B104" s="210" t="s">
        <v>326</v>
      </c>
      <c r="C104" s="95" t="s">
        <v>495</v>
      </c>
      <c r="D104" s="96"/>
      <c r="E104" s="381"/>
      <c r="F104" s="49"/>
      <c r="G104" s="49"/>
      <c r="H104" s="49"/>
      <c r="I104" s="49"/>
      <c r="J104" s="49"/>
      <c r="K104" s="49"/>
      <c r="L104" s="49"/>
      <c r="M104" s="49"/>
      <c r="N104" s="353" t="s">
        <v>326</v>
      </c>
    </row>
    <row r="105" spans="1:14" ht="27">
      <c r="A105" s="111" t="s">
        <v>335</v>
      </c>
      <c r="B105" s="210" t="s">
        <v>327</v>
      </c>
      <c r="C105" s="95" t="s">
        <v>516</v>
      </c>
      <c r="D105" s="96"/>
      <c r="E105" s="381"/>
      <c r="F105" s="49"/>
      <c r="G105" s="49"/>
      <c r="H105" s="49"/>
      <c r="I105" s="49"/>
      <c r="J105" s="49"/>
      <c r="K105" s="49"/>
      <c r="L105" s="49"/>
      <c r="M105" s="49"/>
      <c r="N105" s="353" t="s">
        <v>327</v>
      </c>
    </row>
    <row r="106" spans="1:14" ht="13.5">
      <c r="A106" s="111" t="s">
        <v>338</v>
      </c>
      <c r="B106" s="111" t="s">
        <v>328</v>
      </c>
      <c r="C106" s="95" t="s">
        <v>495</v>
      </c>
      <c r="D106" s="96"/>
      <c r="E106" s="381"/>
      <c r="F106" s="49"/>
      <c r="G106" s="49"/>
      <c r="H106" s="49"/>
      <c r="I106" s="49"/>
      <c r="J106" s="49"/>
      <c r="K106" s="49"/>
      <c r="L106" s="49"/>
      <c r="M106" s="49"/>
      <c r="N106" s="353" t="s">
        <v>328</v>
      </c>
    </row>
    <row r="107" spans="1:14" ht="27">
      <c r="A107" s="111" t="s">
        <v>332</v>
      </c>
      <c r="B107" s="111" t="s">
        <v>329</v>
      </c>
      <c r="C107" s="95" t="s">
        <v>516</v>
      </c>
      <c r="D107" s="96"/>
      <c r="E107" s="381"/>
      <c r="F107" s="49"/>
      <c r="G107" s="49"/>
      <c r="H107" s="49"/>
      <c r="I107" s="49"/>
      <c r="J107" s="49"/>
      <c r="K107" s="49"/>
      <c r="L107" s="49"/>
      <c r="M107" s="49"/>
      <c r="N107" s="353" t="s">
        <v>329</v>
      </c>
    </row>
    <row r="108" spans="1:14" ht="13.5">
      <c r="A108" s="111" t="s">
        <v>339</v>
      </c>
      <c r="B108" s="111" t="s">
        <v>330</v>
      </c>
      <c r="C108" s="95" t="s">
        <v>495</v>
      </c>
      <c r="D108" s="96"/>
      <c r="E108" s="381"/>
      <c r="F108" s="49"/>
      <c r="G108" s="49"/>
      <c r="H108" s="49"/>
      <c r="I108" s="49"/>
      <c r="J108" s="49"/>
      <c r="K108" s="49"/>
      <c r="L108" s="49"/>
      <c r="M108" s="49"/>
      <c r="N108" s="353" t="s">
        <v>330</v>
      </c>
    </row>
    <row r="109" spans="1:14" ht="27">
      <c r="A109" s="111" t="s">
        <v>335</v>
      </c>
      <c r="B109" s="111" t="s">
        <v>331</v>
      </c>
      <c r="C109" s="95" t="s">
        <v>516</v>
      </c>
      <c r="D109" s="96"/>
      <c r="E109" s="381"/>
      <c r="F109" s="49"/>
      <c r="G109" s="49"/>
      <c r="H109" s="49"/>
      <c r="I109" s="49"/>
      <c r="J109" s="49"/>
      <c r="K109" s="49"/>
      <c r="L109" s="49"/>
      <c r="M109" s="49"/>
      <c r="N109" s="353" t="s">
        <v>331</v>
      </c>
    </row>
    <row r="110" spans="1:14" ht="13.5">
      <c r="C110" s="96"/>
      <c r="D110" s="96"/>
      <c r="E110" s="338"/>
      <c r="F110" s="96"/>
      <c r="G110" s="96"/>
      <c r="H110" s="96"/>
      <c r="I110" s="96"/>
      <c r="J110" s="96"/>
      <c r="K110" s="96"/>
      <c r="L110" s="96"/>
      <c r="M110" s="338"/>
      <c r="N110" s="353"/>
    </row>
    <row r="111" spans="1:14" ht="13.5">
      <c r="C111" s="96"/>
      <c r="D111" s="96"/>
      <c r="E111" s="338"/>
      <c r="F111" s="96"/>
      <c r="G111" s="96"/>
      <c r="H111" s="96"/>
      <c r="I111" s="96"/>
      <c r="J111" s="96"/>
      <c r="K111" s="96"/>
      <c r="L111" s="96"/>
      <c r="M111" s="338"/>
      <c r="N111" s="353"/>
    </row>
    <row r="112" spans="1:14" ht="15">
      <c r="A112" s="119" t="s">
        <v>503</v>
      </c>
      <c r="C112" s="96"/>
      <c r="D112" s="96"/>
      <c r="E112" s="338"/>
      <c r="F112" s="96"/>
      <c r="G112" s="96"/>
      <c r="H112" s="96"/>
      <c r="I112" s="96"/>
      <c r="J112" s="96"/>
      <c r="K112" s="96"/>
      <c r="L112" s="96"/>
      <c r="M112" s="338"/>
      <c r="N112" s="353"/>
    </row>
    <row r="113" spans="1:17" ht="13.5">
      <c r="A113" s="111" t="s">
        <v>59</v>
      </c>
      <c r="B113" s="210" t="s">
        <v>231</v>
      </c>
      <c r="C113" s="95" t="s">
        <v>1</v>
      </c>
      <c r="D113" s="96"/>
      <c r="E113" s="381"/>
      <c r="F113" s="49"/>
      <c r="G113" s="49"/>
      <c r="H113" s="49"/>
      <c r="I113" s="49"/>
      <c r="J113" s="49"/>
      <c r="K113" s="49"/>
      <c r="L113" s="49"/>
      <c r="M113" s="49"/>
      <c r="N113" s="353" t="s">
        <v>231</v>
      </c>
    </row>
    <row r="114" spans="1:17" ht="13.5">
      <c r="A114" s="111" t="s">
        <v>230</v>
      </c>
      <c r="B114" s="210" t="s">
        <v>56</v>
      </c>
      <c r="C114" s="95" t="s">
        <v>1</v>
      </c>
      <c r="D114" s="96"/>
      <c r="E114" s="381"/>
      <c r="F114" s="49"/>
      <c r="G114" s="49"/>
      <c r="H114" s="49"/>
      <c r="I114" s="49"/>
      <c r="J114" s="49"/>
      <c r="K114" s="49"/>
      <c r="L114" s="49"/>
      <c r="M114" s="49"/>
      <c r="N114" s="353" t="s">
        <v>56</v>
      </c>
    </row>
    <row r="115" spans="1:17" ht="13.5">
      <c r="A115" s="111" t="s">
        <v>589</v>
      </c>
      <c r="B115" s="210" t="s">
        <v>233</v>
      </c>
      <c r="C115" s="96" t="s">
        <v>456</v>
      </c>
      <c r="D115" s="96"/>
      <c r="E115" s="381"/>
      <c r="F115" s="49"/>
      <c r="G115" s="49"/>
      <c r="H115" s="49"/>
      <c r="I115" s="49"/>
      <c r="J115" s="49"/>
      <c r="K115" s="49"/>
      <c r="L115" s="49"/>
      <c r="M115" s="49"/>
      <c r="N115" s="353" t="s">
        <v>233</v>
      </c>
    </row>
    <row r="116" spans="1:17" ht="13.5">
      <c r="A116" s="241" t="s">
        <v>532</v>
      </c>
      <c r="B116" s="273" t="s">
        <v>533</v>
      </c>
      <c r="C116" s="95" t="s">
        <v>1</v>
      </c>
      <c r="D116" s="61"/>
      <c r="E116" s="381"/>
      <c r="F116" s="49"/>
      <c r="G116" s="49"/>
      <c r="H116" s="49"/>
      <c r="I116" s="49"/>
      <c r="J116" s="49"/>
      <c r="K116" s="49"/>
      <c r="L116" s="49"/>
      <c r="M116" s="49"/>
      <c r="N116" s="353" t="s">
        <v>533</v>
      </c>
      <c r="O116" s="315"/>
      <c r="P116" s="315"/>
      <c r="Q116" s="315"/>
    </row>
    <row r="117" spans="1:17" s="122" customFormat="1" ht="13.5">
      <c r="A117" s="121" t="s">
        <v>380</v>
      </c>
      <c r="B117" s="273" t="s">
        <v>291</v>
      </c>
      <c r="C117" s="95" t="s">
        <v>1</v>
      </c>
      <c r="D117" s="120"/>
      <c r="E117" s="381"/>
      <c r="F117" s="49"/>
      <c r="G117" s="49"/>
      <c r="H117" s="49"/>
      <c r="I117" s="49"/>
      <c r="J117" s="49"/>
      <c r="K117" s="49"/>
      <c r="L117" s="49"/>
      <c r="M117" s="67"/>
      <c r="N117" s="353" t="s">
        <v>291</v>
      </c>
      <c r="O117" s="120"/>
      <c r="P117" s="120"/>
      <c r="Q117" s="120"/>
    </row>
    <row r="118" spans="1:17" ht="13.5">
      <c r="A118" s="111"/>
      <c r="C118" s="96"/>
      <c r="D118" s="96"/>
      <c r="E118" s="338"/>
      <c r="F118" s="96"/>
      <c r="G118" s="96"/>
      <c r="H118" s="96"/>
      <c r="I118" s="339"/>
      <c r="J118" s="96"/>
      <c r="K118" s="96"/>
      <c r="L118" s="96"/>
      <c r="M118" s="96"/>
      <c r="N118" s="353"/>
    </row>
    <row r="119" spans="1:17" ht="15">
      <c r="A119" s="119" t="s">
        <v>274</v>
      </c>
      <c r="C119" s="95"/>
      <c r="D119" s="95"/>
      <c r="E119" s="338"/>
      <c r="F119" s="103"/>
      <c r="G119" s="96"/>
      <c r="H119" s="96"/>
      <c r="I119" s="339"/>
      <c r="J119" s="96"/>
      <c r="K119" s="96"/>
      <c r="L119" s="96"/>
      <c r="M119" s="96"/>
      <c r="N119" s="344"/>
    </row>
    <row r="120" spans="1:17" ht="13.5">
      <c r="A120" s="117" t="s">
        <v>366</v>
      </c>
      <c r="C120" s="95"/>
      <c r="D120" s="95"/>
      <c r="E120" s="338"/>
      <c r="F120" s="96"/>
      <c r="G120" s="96"/>
      <c r="H120" s="96"/>
      <c r="I120" s="96"/>
      <c r="J120" s="96"/>
      <c r="K120" s="96"/>
      <c r="L120" s="96"/>
      <c r="M120" s="96"/>
      <c r="N120" s="344"/>
    </row>
    <row r="121" spans="1:17" ht="13.5">
      <c r="A121" s="123" t="s">
        <v>158</v>
      </c>
      <c r="C121" s="96"/>
      <c r="D121" s="96"/>
      <c r="E121" s="338"/>
      <c r="F121" s="96"/>
      <c r="G121" s="96"/>
      <c r="H121" s="96"/>
      <c r="I121" s="96"/>
      <c r="J121" s="96"/>
      <c r="K121" s="96"/>
      <c r="L121" s="96"/>
      <c r="M121" s="96"/>
      <c r="N121" s="344"/>
    </row>
    <row r="122" spans="1:17" ht="13.5">
      <c r="A122" s="124" t="s">
        <v>159</v>
      </c>
      <c r="B122" s="256" t="s">
        <v>358</v>
      </c>
      <c r="C122" s="95" t="s">
        <v>1</v>
      </c>
      <c r="E122" s="381"/>
      <c r="F122" s="49"/>
      <c r="G122" s="49"/>
      <c r="H122" s="49"/>
      <c r="I122" s="49"/>
      <c r="J122" s="49"/>
      <c r="K122" s="49"/>
      <c r="L122" s="49"/>
      <c r="M122" s="49"/>
      <c r="N122" s="353" t="s">
        <v>358</v>
      </c>
    </row>
    <row r="123" spans="1:17" ht="13.5" customHeight="1">
      <c r="A123" s="124" t="s">
        <v>160</v>
      </c>
      <c r="B123" s="256" t="s">
        <v>359</v>
      </c>
      <c r="C123" s="95" t="s">
        <v>1</v>
      </c>
      <c r="E123" s="381"/>
      <c r="F123" s="49"/>
      <c r="G123" s="49"/>
      <c r="H123" s="49"/>
      <c r="I123" s="49"/>
      <c r="J123" s="49"/>
      <c r="K123" s="49"/>
      <c r="L123" s="49"/>
      <c r="M123" s="49"/>
      <c r="N123" s="353" t="s">
        <v>359</v>
      </c>
    </row>
    <row r="124" spans="1:17" ht="13.5">
      <c r="A124" s="124" t="s">
        <v>161</v>
      </c>
      <c r="B124" s="256" t="s">
        <v>276</v>
      </c>
      <c r="C124" s="95" t="s">
        <v>1</v>
      </c>
      <c r="E124" s="381"/>
      <c r="F124" s="49"/>
      <c r="G124" s="49"/>
      <c r="H124" s="49"/>
      <c r="I124" s="49"/>
      <c r="J124" s="49"/>
      <c r="K124" s="49"/>
      <c r="L124" s="49"/>
      <c r="M124" s="49"/>
      <c r="N124" s="353" t="s">
        <v>276</v>
      </c>
    </row>
    <row r="125" spans="1:17" ht="27">
      <c r="A125" s="124" t="s">
        <v>73</v>
      </c>
      <c r="B125" s="256" t="s">
        <v>360</v>
      </c>
      <c r="C125" s="95" t="s">
        <v>502</v>
      </c>
      <c r="E125" s="381"/>
      <c r="F125" s="49"/>
      <c r="G125" s="49"/>
      <c r="H125" s="49"/>
      <c r="I125" s="49"/>
      <c r="J125" s="49"/>
      <c r="K125" s="49"/>
      <c r="L125" s="49"/>
      <c r="M125" s="49"/>
      <c r="N125" s="353" t="s">
        <v>360</v>
      </c>
    </row>
    <row r="126" spans="1:17" ht="16.5" customHeight="1">
      <c r="A126" s="124" t="s">
        <v>162</v>
      </c>
      <c r="B126" s="256" t="s">
        <v>361</v>
      </c>
      <c r="C126" s="95" t="s">
        <v>1</v>
      </c>
      <c r="E126" s="381"/>
      <c r="F126" s="49"/>
      <c r="G126" s="49"/>
      <c r="H126" s="49"/>
      <c r="I126" s="49"/>
      <c r="J126" s="49"/>
      <c r="K126" s="49"/>
      <c r="L126" s="49"/>
      <c r="M126" s="49"/>
      <c r="N126" s="353" t="s">
        <v>361</v>
      </c>
    </row>
    <row r="127" spans="1:17" ht="13.5">
      <c r="E127" s="103"/>
      <c r="F127" s="114"/>
      <c r="G127" s="114"/>
      <c r="H127" s="114"/>
      <c r="I127" s="114"/>
      <c r="J127" s="114"/>
      <c r="K127" s="114"/>
      <c r="L127" s="114"/>
      <c r="M127" s="114"/>
      <c r="N127" s="353"/>
    </row>
    <row r="128" spans="1:17" ht="15">
      <c r="A128" s="119" t="s">
        <v>275</v>
      </c>
      <c r="C128" s="95"/>
      <c r="D128" s="95"/>
      <c r="E128" s="103"/>
      <c r="F128" s="103"/>
      <c r="G128" s="96"/>
      <c r="H128" s="96"/>
      <c r="I128" s="96"/>
      <c r="J128" s="96"/>
      <c r="K128" s="96"/>
      <c r="L128" s="96"/>
      <c r="M128" s="96"/>
      <c r="N128" s="353"/>
    </row>
    <row r="129" spans="1:17" ht="13.5">
      <c r="A129" s="117" t="s">
        <v>367</v>
      </c>
      <c r="C129" s="95"/>
      <c r="D129" s="95"/>
      <c r="E129" s="103"/>
      <c r="F129" s="96"/>
      <c r="G129" s="96"/>
      <c r="H129" s="96"/>
      <c r="I129" s="96"/>
      <c r="J129" s="96"/>
      <c r="K129" s="96"/>
      <c r="L129" s="96"/>
      <c r="M129" s="96"/>
      <c r="N129" s="353"/>
    </row>
    <row r="130" spans="1:17" ht="13.5">
      <c r="A130" s="123" t="s">
        <v>158</v>
      </c>
      <c r="C130" s="96"/>
      <c r="D130" s="96"/>
      <c r="E130" s="103"/>
      <c r="F130" s="96"/>
      <c r="G130" s="96"/>
      <c r="H130" s="96"/>
      <c r="I130" s="96"/>
      <c r="J130" s="96"/>
      <c r="K130" s="96"/>
      <c r="L130" s="96"/>
      <c r="M130" s="96"/>
      <c r="N130" s="353"/>
    </row>
    <row r="131" spans="1:17" ht="13.5">
      <c r="A131" s="124" t="s">
        <v>159</v>
      </c>
      <c r="B131" s="210" t="s">
        <v>362</v>
      </c>
      <c r="C131" s="95" t="s">
        <v>1</v>
      </c>
      <c r="D131" s="96"/>
      <c r="E131" s="103"/>
      <c r="F131" s="49"/>
      <c r="G131" s="49"/>
      <c r="H131" s="49"/>
      <c r="I131" s="49"/>
      <c r="J131" s="49"/>
      <c r="K131" s="49"/>
      <c r="L131" s="49"/>
      <c r="M131" s="49"/>
      <c r="N131" s="353" t="s">
        <v>362</v>
      </c>
    </row>
    <row r="132" spans="1:17" ht="13.5">
      <c r="A132" s="124" t="s">
        <v>160</v>
      </c>
      <c r="B132" s="256" t="s">
        <v>363</v>
      </c>
      <c r="C132" s="95" t="s">
        <v>1</v>
      </c>
      <c r="D132" s="96"/>
      <c r="E132" s="103"/>
      <c r="F132" s="49"/>
      <c r="G132" s="49"/>
      <c r="H132" s="49"/>
      <c r="I132" s="49"/>
      <c r="J132" s="49"/>
      <c r="K132" s="49"/>
      <c r="L132" s="49"/>
      <c r="M132" s="49"/>
      <c r="N132" s="353" t="s">
        <v>363</v>
      </c>
    </row>
    <row r="133" spans="1:17" ht="13.5">
      <c r="A133" s="124" t="s">
        <v>161</v>
      </c>
      <c r="B133" s="256" t="s">
        <v>277</v>
      </c>
      <c r="C133" s="95" t="s">
        <v>1</v>
      </c>
      <c r="D133" s="96"/>
      <c r="E133" s="103"/>
      <c r="F133" s="49"/>
      <c r="G133" s="49"/>
      <c r="H133" s="49"/>
      <c r="I133" s="49"/>
      <c r="J133" s="49"/>
      <c r="K133" s="49"/>
      <c r="L133" s="49"/>
      <c r="M133" s="49"/>
      <c r="N133" s="353" t="s">
        <v>277</v>
      </c>
    </row>
    <row r="134" spans="1:17" ht="27">
      <c r="A134" s="124" t="s">
        <v>73</v>
      </c>
      <c r="B134" s="256" t="s">
        <v>364</v>
      </c>
      <c r="C134" s="95" t="s">
        <v>502</v>
      </c>
      <c r="D134" s="96"/>
      <c r="E134" s="103"/>
      <c r="F134" s="49"/>
      <c r="G134" s="49"/>
      <c r="H134" s="49"/>
      <c r="I134" s="49"/>
      <c r="J134" s="49"/>
      <c r="K134" s="49"/>
      <c r="L134" s="49"/>
      <c r="M134" s="49"/>
      <c r="N134" s="353" t="s">
        <v>364</v>
      </c>
    </row>
    <row r="135" spans="1:17" ht="16.5" customHeight="1">
      <c r="A135" s="124" t="s">
        <v>162</v>
      </c>
      <c r="B135" s="256" t="s">
        <v>365</v>
      </c>
      <c r="C135" s="95" t="s">
        <v>1</v>
      </c>
      <c r="D135" s="96"/>
      <c r="E135" s="103"/>
      <c r="F135" s="49"/>
      <c r="G135" s="49"/>
      <c r="H135" s="49"/>
      <c r="I135" s="49"/>
      <c r="J135" s="49"/>
      <c r="K135" s="49"/>
      <c r="L135" s="49"/>
      <c r="M135" s="49"/>
      <c r="N135" s="353" t="s">
        <v>365</v>
      </c>
    </row>
    <row r="136" spans="1:17" ht="16.5" customHeight="1">
      <c r="A136" s="124"/>
      <c r="C136" s="96"/>
      <c r="D136" s="96"/>
      <c r="E136" s="96"/>
      <c r="F136" s="96"/>
      <c r="G136" s="96"/>
      <c r="H136" s="96"/>
      <c r="I136" s="96"/>
      <c r="J136" s="96"/>
      <c r="K136" s="96"/>
      <c r="L136" s="96"/>
      <c r="M136" s="96"/>
      <c r="P136" s="101"/>
      <c r="Q136" s="101"/>
    </row>
    <row r="137" spans="1:17" ht="16.5" customHeight="1">
      <c r="A137" s="124"/>
      <c r="C137" s="96"/>
      <c r="D137" s="96"/>
      <c r="E137" s="96"/>
      <c r="F137" s="96"/>
      <c r="G137" s="96"/>
      <c r="H137" s="96"/>
      <c r="I137" s="96"/>
      <c r="J137" s="96"/>
      <c r="K137" s="96"/>
      <c r="L137" s="96"/>
      <c r="M137" s="96"/>
      <c r="P137" s="101"/>
      <c r="Q137" s="101"/>
    </row>
    <row r="138" spans="1:17" ht="13.5">
      <c r="F138" s="114"/>
      <c r="G138" s="114"/>
      <c r="H138" s="114"/>
      <c r="I138" s="114"/>
      <c r="J138" s="114"/>
      <c r="K138" s="114"/>
      <c r="L138" s="114"/>
      <c r="M138" s="114"/>
      <c r="P138" s="101"/>
      <c r="Q138" s="101"/>
    </row>
    <row r="139" spans="1:17" ht="13.5">
      <c r="P139" s="101"/>
      <c r="Q139" s="101"/>
    </row>
    <row r="140" spans="1:17" ht="13.5">
      <c r="P140" s="101"/>
      <c r="Q140" s="101"/>
    </row>
    <row r="141" spans="1:17" ht="13.5">
      <c r="P141" s="101"/>
      <c r="Q141" s="101"/>
    </row>
    <row r="142" spans="1:17" ht="13.5">
      <c r="P142" s="101"/>
      <c r="Q142" s="101"/>
    </row>
    <row r="143" spans="1:17" ht="13.5">
      <c r="N143" s="338"/>
    </row>
    <row r="144" spans="1:17" ht="13.5">
      <c r="N144" s="338"/>
    </row>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sheetData>
  <sheetProtection formatCells="0" formatColumns="0" formatRows="0" insertHyperlinks="0" autoFilter="0" pivotTables="0"/>
  <mergeCells count="3">
    <mergeCell ref="G3:H3"/>
    <mergeCell ref="F7:I7"/>
    <mergeCell ref="E6:J6"/>
  </mergeCells>
  <pageMargins left="0.23622047244094491" right="0.23622047244094491" top="0.39370078740157483" bottom="0.43307086614173229" header="0.19685039370078741" footer="0.19685039370078741"/>
  <pageSetup paperSize="8" scale="82" fitToHeight="2" orientation="portrait" r:id="rId1"/>
  <headerFooter>
    <oddHeader>&amp;C&amp;A</oddHeader>
    <oddFooter>&amp;L&amp;D &amp;T&amp;C&amp;Z&amp;R&amp;F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R1000039"/>
  <sheetViews>
    <sheetView showGridLines="0" topLeftCell="A52" zoomScale="85" zoomScaleNormal="85" workbookViewId="0">
      <selection activeCell="P40" sqref="P40"/>
    </sheetView>
  </sheetViews>
  <sheetFormatPr defaultColWidth="9" defaultRowHeight="13.5"/>
  <cols>
    <col min="1" max="1" width="33.23046875" style="111" customWidth="1"/>
    <col min="2" max="2" width="11.4609375" style="111" customWidth="1"/>
    <col min="3" max="3" width="7.765625" style="111" customWidth="1"/>
    <col min="4" max="4" width="8.765625" style="111" customWidth="1"/>
    <col min="5" max="5" width="11.15234375" style="111" customWidth="1"/>
    <col min="6" max="6" width="11.4609375" style="111" customWidth="1"/>
    <col min="7" max="9" width="10" style="111" customWidth="1"/>
    <col min="10" max="10" width="12.4609375" style="111" customWidth="1"/>
    <col min="11" max="13" width="9.61328125" style="111" customWidth="1"/>
    <col min="14" max="16384" width="9" style="111"/>
  </cols>
  <sheetData>
    <row r="1" spans="1:16" s="121" customFormat="1" ht="15">
      <c r="A1" s="126" t="s">
        <v>113</v>
      </c>
      <c r="C1" s="127"/>
      <c r="D1" s="127"/>
      <c r="E1" s="127"/>
      <c r="N1" s="346"/>
    </row>
    <row r="2" spans="1:16" s="121" customFormat="1" ht="15">
      <c r="A2" s="126" t="str">
        <f>CompName</f>
        <v>Scottish Hydro Electric Transmission Plc</v>
      </c>
      <c r="C2" s="127"/>
      <c r="D2" s="127"/>
      <c r="E2" s="127"/>
      <c r="N2" s="346"/>
    </row>
    <row r="3" spans="1:16" s="121" customFormat="1">
      <c r="A3" s="128" t="str">
        <f>RegYr</f>
        <v>Regulatory Year ending 31 March 2020</v>
      </c>
      <c r="C3" s="127"/>
      <c r="D3" s="127"/>
      <c r="E3" s="127"/>
      <c r="N3" s="346"/>
    </row>
    <row r="4" spans="1:16" ht="28.5" customHeight="1">
      <c r="A4" s="129" t="s">
        <v>88</v>
      </c>
      <c r="C4" s="104" t="s">
        <v>0</v>
      </c>
      <c r="N4" s="344" t="s">
        <v>104</v>
      </c>
    </row>
    <row r="5" spans="1:16" ht="14">
      <c r="A5" s="144" t="s">
        <v>457</v>
      </c>
      <c r="B5" s="130"/>
      <c r="C5" s="130"/>
      <c r="D5" s="130"/>
      <c r="E5" s="130"/>
      <c r="F5" s="130"/>
      <c r="G5" s="130"/>
      <c r="H5" s="130"/>
      <c r="I5" s="130"/>
      <c r="N5" s="332"/>
    </row>
    <row r="6" spans="1:16" ht="14.25" customHeight="1">
      <c r="A6" s="118"/>
      <c r="B6" s="113"/>
      <c r="C6" s="259"/>
      <c r="F6" s="112">
        <v>2014</v>
      </c>
      <c r="G6" s="112">
        <v>2015</v>
      </c>
      <c r="H6" s="112">
        <v>2016</v>
      </c>
      <c r="I6" s="112">
        <v>2017</v>
      </c>
      <c r="J6" s="112">
        <v>2018</v>
      </c>
      <c r="K6" s="112">
        <v>2019</v>
      </c>
      <c r="L6" s="112">
        <v>2020</v>
      </c>
      <c r="M6" s="112">
        <v>2021</v>
      </c>
      <c r="N6" s="406">
        <v>2022</v>
      </c>
      <c r="O6" s="406">
        <v>2023</v>
      </c>
    </row>
    <row r="7" spans="1:16" ht="14">
      <c r="B7" s="113"/>
      <c r="C7" s="259"/>
      <c r="F7" s="113"/>
      <c r="G7" s="113"/>
      <c r="H7" s="113"/>
      <c r="I7" s="113"/>
      <c r="N7" s="332"/>
    </row>
    <row r="8" spans="1:16" ht="15.5">
      <c r="A8" s="111" t="s">
        <v>19</v>
      </c>
      <c r="B8" s="131" t="s">
        <v>234</v>
      </c>
      <c r="C8" s="259" t="s">
        <v>1</v>
      </c>
      <c r="F8" s="164">
        <f>PU</f>
        <v>104.539</v>
      </c>
      <c r="G8" s="340">
        <f t="shared" ref="G8:M8" si="0">PU</f>
        <v>111.515</v>
      </c>
      <c r="H8" s="164">
        <f t="shared" si="0"/>
        <v>124.139</v>
      </c>
      <c r="I8" s="340">
        <f>PU</f>
        <v>123.63500000000001</v>
      </c>
      <c r="J8" s="164">
        <f t="shared" si="0"/>
        <v>119.59699999999999</v>
      </c>
      <c r="K8" s="164">
        <f t="shared" si="0"/>
        <v>120</v>
      </c>
      <c r="L8" s="164">
        <f t="shared" si="0"/>
        <v>122.09699999999999</v>
      </c>
      <c r="M8" s="164">
        <f t="shared" si="0"/>
        <v>122.52500000000001</v>
      </c>
      <c r="N8" s="164">
        <v>0</v>
      </c>
      <c r="O8" s="164">
        <v>0</v>
      </c>
      <c r="P8" s="332"/>
    </row>
    <row r="9" spans="1:16" ht="15.5">
      <c r="A9" s="111" t="s">
        <v>18</v>
      </c>
      <c r="B9" s="131" t="s">
        <v>235</v>
      </c>
      <c r="C9" s="259" t="s">
        <v>1</v>
      </c>
      <c r="F9" s="219"/>
      <c r="G9" s="340">
        <f t="shared" ref="G9:M9" si="1">MOD</f>
        <v>8.7129999999999992</v>
      </c>
      <c r="H9" s="164">
        <f t="shared" si="1"/>
        <v>85.16</v>
      </c>
      <c r="I9" s="340">
        <f t="shared" si="1"/>
        <v>87.611999999999995</v>
      </c>
      <c r="J9" s="164">
        <f t="shared" si="1"/>
        <v>52.688000000000002</v>
      </c>
      <c r="K9" s="164">
        <f t="shared" si="1"/>
        <v>76.257999999999996</v>
      </c>
      <c r="L9" s="164">
        <f t="shared" si="1"/>
        <v>76.828000000000003</v>
      </c>
      <c r="M9" s="164">
        <f t="shared" si="1"/>
        <v>88.6</v>
      </c>
      <c r="N9" s="164"/>
      <c r="O9" s="164"/>
      <c r="P9" s="332"/>
    </row>
    <row r="10" spans="1:16" ht="15.5">
      <c r="A10" s="111" t="s">
        <v>71</v>
      </c>
      <c r="B10" s="131" t="s">
        <v>236</v>
      </c>
      <c r="C10" s="259" t="s">
        <v>1</v>
      </c>
      <c r="F10" s="219"/>
      <c r="G10" s="340">
        <f>G40</f>
        <v>-2.2896477469324817E-3</v>
      </c>
      <c r="H10" s="164">
        <f t="shared" ref="H10:M10" si="2">H40</f>
        <v>0.48958932786839909</v>
      </c>
      <c r="I10" s="340">
        <f t="shared" si="2"/>
        <v>-2.2502862041575291</v>
      </c>
      <c r="J10" s="164">
        <f t="shared" si="2"/>
        <v>-5.2105605711686067</v>
      </c>
      <c r="K10" s="164">
        <f t="shared" si="2"/>
        <v>-0.81083064756354939</v>
      </c>
      <c r="L10" s="164">
        <f t="shared" si="2"/>
        <v>0.59497736793137024</v>
      </c>
      <c r="M10" s="164">
        <f t="shared" si="2"/>
        <v>-0.20179584881998311</v>
      </c>
      <c r="N10" s="164">
        <f t="shared" ref="N10:O10" si="3">N40</f>
        <v>-2.2946006652833288</v>
      </c>
      <c r="O10" s="164">
        <f t="shared" si="3"/>
        <v>-3.3647894957584588</v>
      </c>
      <c r="P10" s="332"/>
    </row>
    <row r="11" spans="1:16" ht="15.5">
      <c r="A11" s="111" t="s">
        <v>62</v>
      </c>
      <c r="B11" s="131" t="s">
        <v>237</v>
      </c>
      <c r="C11" s="259" t="s">
        <v>118</v>
      </c>
      <c r="F11" s="164">
        <f t="shared" ref="F11:M11" si="4">RPIF</f>
        <v>1.1630161697108456</v>
      </c>
      <c r="G11" s="340">
        <f t="shared" si="4"/>
        <v>1.2050819527256253</v>
      </c>
      <c r="H11" s="164">
        <f t="shared" si="4"/>
        <v>1.2266493019576674</v>
      </c>
      <c r="I11" s="340">
        <f t="shared" si="4"/>
        <v>1.2327329838381795</v>
      </c>
      <c r="J11" s="164">
        <f t="shared" si="4"/>
        <v>1.2709189417960116</v>
      </c>
      <c r="K11" s="164">
        <f t="shared" si="4"/>
        <v>1.3140238772935624</v>
      </c>
      <c r="L11" s="164">
        <f t="shared" si="4"/>
        <v>1.3585865587485577</v>
      </c>
      <c r="M11" s="164">
        <f t="shared" si="4"/>
        <v>1.3798357939884227</v>
      </c>
      <c r="N11" s="164">
        <f>N30</f>
        <v>1.4027951630045372</v>
      </c>
      <c r="O11" s="164">
        <f>O30</f>
        <v>1.4341579421476001</v>
      </c>
      <c r="P11" s="332"/>
    </row>
    <row r="12" spans="1:16" ht="15.5">
      <c r="A12" s="111" t="s">
        <v>13</v>
      </c>
      <c r="B12" s="131" t="s">
        <v>238</v>
      </c>
      <c r="C12" s="259" t="s">
        <v>1</v>
      </c>
      <c r="F12" s="220">
        <f>SUM(F8:F10)*F11</f>
        <v>121.5805473654021</v>
      </c>
      <c r="G12" s="220">
        <f t="shared" ref="G12:M12" si="5">SUM(G8:G10)*G11</f>
        <v>144.88183379911854</v>
      </c>
      <c r="H12" s="220">
        <f>SUM(H8:H10)*H11</f>
        <v>257.33702665771352</v>
      </c>
      <c r="I12" s="220">
        <f t="shared" si="5"/>
        <v>257.63714260992293</v>
      </c>
      <c r="J12" s="220">
        <f t="shared" si="5"/>
        <v>212.33806976005224</v>
      </c>
      <c r="K12" s="220">
        <f t="shared" si="5"/>
        <v>256.82224727854003</v>
      </c>
      <c r="L12" s="220">
        <f>SUM(L8:L10)*L11</f>
        <v>271.06515945388799</v>
      </c>
      <c r="M12" s="220">
        <f t="shared" si="5"/>
        <v>291.03938687052568</v>
      </c>
      <c r="N12" s="220">
        <f>SUM(N8:N10)*N11</f>
        <v>-3.2188547142864468</v>
      </c>
      <c r="O12" s="220">
        <f t="shared" ref="O12" si="6">SUM(O8:O10)*O11</f>
        <v>-4.8256395789968121</v>
      </c>
      <c r="P12" s="343" t="s">
        <v>239</v>
      </c>
    </row>
    <row r="13" spans="1:16">
      <c r="C13" s="259"/>
      <c r="F13" s="118"/>
      <c r="I13" s="118"/>
      <c r="N13" s="332"/>
    </row>
    <row r="14" spans="1:16">
      <c r="C14" s="259"/>
      <c r="N14" s="332"/>
    </row>
    <row r="15" spans="1:16" ht="17.5">
      <c r="A15" s="275" t="s">
        <v>506</v>
      </c>
      <c r="C15" s="259"/>
      <c r="F15" s="419" t="s">
        <v>89</v>
      </c>
      <c r="G15" s="419"/>
      <c r="H15" s="419"/>
      <c r="I15" s="419"/>
      <c r="J15" s="260"/>
      <c r="K15" s="110"/>
      <c r="N15" s="332"/>
    </row>
    <row r="16" spans="1:16">
      <c r="C16" s="259"/>
      <c r="F16" s="118"/>
      <c r="N16" s="332"/>
    </row>
    <row r="17" spans="2:16">
      <c r="C17" s="266"/>
      <c r="D17" s="132"/>
      <c r="E17" s="132"/>
      <c r="N17" s="332"/>
    </row>
    <row r="18" spans="2:16" ht="14.5">
      <c r="C18" s="259"/>
      <c r="D18" s="112">
        <v>2012</v>
      </c>
      <c r="E18" s="112">
        <v>2013</v>
      </c>
      <c r="F18" s="112">
        <v>2014</v>
      </c>
      <c r="G18" s="112">
        <v>2015</v>
      </c>
      <c r="H18" s="112">
        <v>2016</v>
      </c>
      <c r="I18" s="112">
        <v>2017</v>
      </c>
      <c r="J18" s="112">
        <v>2018</v>
      </c>
      <c r="K18" s="112">
        <v>2019</v>
      </c>
      <c r="L18" s="112">
        <v>2020</v>
      </c>
      <c r="M18" s="112">
        <v>2021</v>
      </c>
      <c r="N18" s="406">
        <v>2022</v>
      </c>
      <c r="O18" s="406">
        <v>2023</v>
      </c>
    </row>
    <row r="19" spans="2:16">
      <c r="B19" s="111" t="s">
        <v>38</v>
      </c>
      <c r="C19" s="259" t="s">
        <v>1</v>
      </c>
      <c r="D19" s="135">
        <f t="shared" ref="D19:M19" si="7">RPIA</f>
        <v>1.0999921211306642</v>
      </c>
      <c r="E19" s="135">
        <f t="shared" si="7"/>
        <v>1.1339778557425371</v>
      </c>
      <c r="F19" s="135">
        <f t="shared" si="7"/>
        <v>1.1666890673736021</v>
      </c>
      <c r="G19" s="135">
        <f t="shared" si="7"/>
        <v>1.1895563269638081</v>
      </c>
      <c r="H19" s="135">
        <f t="shared" si="7"/>
        <v>1.2023757108362261</v>
      </c>
      <c r="I19" s="135">
        <f t="shared" si="7"/>
        <v>1.2281396135646323</v>
      </c>
      <c r="J19" s="135">
        <f t="shared" si="7"/>
        <v>1.2740965949380583</v>
      </c>
      <c r="K19" s="135">
        <f t="shared" si="7"/>
        <v>1.3130274787154661</v>
      </c>
      <c r="L19" s="135">
        <f t="shared" si="7"/>
        <v>1.3470178479563604</v>
      </c>
      <c r="M19" s="135">
        <f t="shared" si="7"/>
        <v>1.3633924218822251</v>
      </c>
      <c r="N19" s="135">
        <f>'R5 Input page'!N10</f>
        <v>1.3826022242047395</v>
      </c>
      <c r="O19" s="135">
        <f>'R5 Input page'!O10</f>
        <v>1.4083624000314041</v>
      </c>
      <c r="P19" s="343" t="s">
        <v>123</v>
      </c>
    </row>
    <row r="20" spans="2:16">
      <c r="B20" s="111" t="s">
        <v>166</v>
      </c>
      <c r="C20" s="111" t="s">
        <v>167</v>
      </c>
      <c r="E20" s="217">
        <f>0.75*'R5 Input page'!D16+0.25*'R5 Input page'!E16</f>
        <v>0.03</v>
      </c>
      <c r="F20" s="217">
        <f>0.75*'R5 Input page'!E16+0.25*'R5 Input page'!F16</f>
        <v>2.6500000000000003E-2</v>
      </c>
      <c r="G20" s="218"/>
      <c r="H20" s="218"/>
      <c r="I20" s="218"/>
      <c r="J20" s="218"/>
      <c r="K20" s="218"/>
      <c r="L20" s="218"/>
      <c r="M20" s="218"/>
      <c r="N20" s="332"/>
    </row>
    <row r="21" spans="2:16">
      <c r="B21" s="111" t="s">
        <v>166</v>
      </c>
      <c r="C21" s="111" t="s">
        <v>168</v>
      </c>
      <c r="E21" s="218"/>
      <c r="F21" s="217">
        <f>0.75*'R5 Input page'!E17+0.25*'R5 Input page'!F17</f>
        <v>3.1E-2</v>
      </c>
      <c r="G21" s="217">
        <f>0.75*'R5 Input page'!F17+0.25*'R5 Input page'!G17</f>
        <v>3.075E-2</v>
      </c>
      <c r="H21" s="218"/>
      <c r="I21" s="218"/>
      <c r="J21" s="218"/>
      <c r="K21" s="218"/>
      <c r="L21" s="218"/>
      <c r="M21" s="218"/>
      <c r="N21" s="332"/>
    </row>
    <row r="22" spans="2:16">
      <c r="B22" s="111" t="s">
        <v>166</v>
      </c>
      <c r="C22" s="111" t="s">
        <v>169</v>
      </c>
      <c r="E22" s="218"/>
      <c r="F22" s="218"/>
      <c r="G22" s="217">
        <f>0.75*'R5 Input page'!F18+0.25*'R5 Input page'!G18</f>
        <v>2.4750000000000001E-2</v>
      </c>
      <c r="H22" s="217">
        <f>0.75*'R5 Input page'!G18+0.25*'R5 Input page'!H18</f>
        <v>2.6000000000000002E-2</v>
      </c>
      <c r="I22" s="218"/>
      <c r="J22" s="218"/>
      <c r="K22" s="218"/>
      <c r="L22" s="218"/>
      <c r="M22" s="218"/>
      <c r="N22" s="332"/>
    </row>
    <row r="23" spans="2:16">
      <c r="B23" s="111" t="s">
        <v>166</v>
      </c>
      <c r="C23" s="111" t="s">
        <v>170</v>
      </c>
      <c r="E23" s="218"/>
      <c r="F23" s="218"/>
      <c r="G23" s="218"/>
      <c r="H23" s="217">
        <f>0.75*'R5 Input page'!G19+0.25*'R5 Input page'!H19</f>
        <v>1.2750000000000001E-2</v>
      </c>
      <c r="I23" s="217">
        <f>0.75*'R5 Input page'!H19+0.25*'R5 Input page'!I19</f>
        <v>2.325E-2</v>
      </c>
      <c r="J23" s="218"/>
      <c r="K23" s="218"/>
      <c r="L23" s="218"/>
      <c r="M23" s="218"/>
      <c r="N23" s="332"/>
    </row>
    <row r="24" spans="2:16">
      <c r="B24" s="111" t="s">
        <v>166</v>
      </c>
      <c r="C24" s="111" t="s">
        <v>171</v>
      </c>
      <c r="E24" s="218"/>
      <c r="F24" s="218"/>
      <c r="G24" s="218"/>
      <c r="H24" s="218"/>
      <c r="I24" s="217">
        <f>0.75*'R5 Input page'!H20+0.25*'R5 Input page'!I20</f>
        <v>2.2249999999999999E-2</v>
      </c>
      <c r="J24" s="217">
        <f>0.75*'R5 Input page'!I20+0.25*'R5 Input page'!J20</f>
        <v>3.4000000000000002E-2</v>
      </c>
      <c r="K24" s="218"/>
      <c r="L24" s="218"/>
      <c r="M24" s="218"/>
      <c r="N24" s="332"/>
    </row>
    <row r="25" spans="2:16">
      <c r="B25" s="111" t="s">
        <v>166</v>
      </c>
      <c r="C25" s="111" t="s">
        <v>172</v>
      </c>
      <c r="E25" s="218"/>
      <c r="F25" s="218"/>
      <c r="G25" s="218"/>
      <c r="H25" s="218"/>
      <c r="I25" s="218"/>
      <c r="J25" s="217">
        <f>0.75*'R5 Input page'!I21+0.25*'R5 Input page'!J21</f>
        <v>3.5499999999999997E-2</v>
      </c>
      <c r="K25" s="217">
        <f>0.75*'R5 Input page'!J21+0.25*'R5 Input page'!K21</f>
        <v>3.3250000000000002E-2</v>
      </c>
      <c r="L25" s="218"/>
      <c r="M25" s="218"/>
      <c r="N25" s="332"/>
    </row>
    <row r="26" spans="2:16">
      <c r="B26" s="111" t="s">
        <v>166</v>
      </c>
      <c r="C26" s="111" t="s">
        <v>173</v>
      </c>
      <c r="E26" s="218"/>
      <c r="F26" s="218"/>
      <c r="G26" s="218"/>
      <c r="H26" s="218"/>
      <c r="I26" s="218"/>
      <c r="J26" s="218"/>
      <c r="K26" s="217">
        <f>0.75*'R5 Input page'!J22+0.25*'R5 Input page'!K22</f>
        <v>3.3500000000000002E-2</v>
      </c>
      <c r="L26" s="217">
        <f>0.75*'R5 Input page'!K22+0.25*'R5 Input page'!L22</f>
        <v>3.175E-2</v>
      </c>
      <c r="M26" s="218"/>
      <c r="N26" s="332"/>
    </row>
    <row r="27" spans="2:16">
      <c r="B27" s="111" t="s">
        <v>166</v>
      </c>
      <c r="C27" s="111" t="s">
        <v>174</v>
      </c>
      <c r="E27" s="218"/>
      <c r="F27" s="218"/>
      <c r="G27" s="218"/>
      <c r="H27" s="218"/>
      <c r="I27" s="218"/>
      <c r="J27" s="218"/>
      <c r="K27" s="218"/>
      <c r="L27" s="217">
        <f>0.75*'R5 Input page'!K23+0.25*'R5 Input page'!L23</f>
        <v>2.5500000000000002E-2</v>
      </c>
      <c r="M27" s="217">
        <f>0.75*'R5 Input page'!L23+0.25*'R5 Input page'!M23</f>
        <v>2.4750000000000001E-2</v>
      </c>
      <c r="N27" s="332"/>
    </row>
    <row r="28" spans="2:16" s="273" customFormat="1">
      <c r="B28" s="273" t="s">
        <v>166</v>
      </c>
      <c r="C28" s="273" t="s">
        <v>615</v>
      </c>
      <c r="E28" s="218"/>
      <c r="F28" s="218"/>
      <c r="G28" s="218"/>
      <c r="H28" s="218"/>
      <c r="I28" s="218"/>
      <c r="J28" s="218"/>
      <c r="K28" s="218"/>
      <c r="L28" s="218"/>
      <c r="M28" s="217">
        <f>0.75*'R5 Input page'!L24+0.25*'R5 Input page'!M24</f>
        <v>1.7000000000000001E-2</v>
      </c>
      <c r="N28" s="217">
        <f>0.75*'R5 Input page'!M24+0.25*'R5 Input page'!N24</f>
        <v>2.4E-2</v>
      </c>
    </row>
    <row r="29" spans="2:16" s="273" customFormat="1">
      <c r="B29" s="273" t="s">
        <v>166</v>
      </c>
      <c r="C29" s="273" t="s">
        <v>616</v>
      </c>
      <c r="E29" s="218"/>
      <c r="F29" s="218"/>
      <c r="G29" s="218"/>
      <c r="H29" s="218"/>
      <c r="I29" s="218"/>
      <c r="J29" s="218"/>
      <c r="K29" s="218"/>
      <c r="L29" s="218"/>
      <c r="M29" s="218"/>
      <c r="N29" s="217">
        <f>0.75*'R5 Input page'!M25+0.25*'R5 Input page'!N25</f>
        <v>2.4E-2</v>
      </c>
      <c r="O29" s="217">
        <f>0.75*'R5 Input page'!N25+0.25*'R5 Input page'!O25</f>
        <v>2.725E-2</v>
      </c>
    </row>
    <row r="30" spans="2:16">
      <c r="B30" s="111" t="s">
        <v>17</v>
      </c>
      <c r="E30" s="342">
        <v>1.1339999999999999</v>
      </c>
      <c r="F30" s="135">
        <f>D19*(1+E20)*(1+F20)</f>
        <v>1.1630161697108456</v>
      </c>
      <c r="G30" s="135">
        <f>E19*(1+F21)*(1+G21)</f>
        <v>1.2050819527256253</v>
      </c>
      <c r="H30" s="135">
        <f>F19*(1+G22)*(1+H22)</f>
        <v>1.2266493019576674</v>
      </c>
      <c r="I30" s="135">
        <f>G19*(1+H23)*(1+I23)</f>
        <v>1.2327329838381795</v>
      </c>
      <c r="J30" s="135">
        <f>H19*(1+I24)*(1+J24)</f>
        <v>1.2709189417960116</v>
      </c>
      <c r="K30" s="135">
        <f>I19*(1+J25)*(1+K25)</f>
        <v>1.3140238772935624</v>
      </c>
      <c r="L30" s="135">
        <f>J19*(1+K26)*(1+L26)</f>
        <v>1.3585865587485577</v>
      </c>
      <c r="M30" s="135">
        <f>K19*(1+L27)*(1+M27)</f>
        <v>1.3798357939884227</v>
      </c>
      <c r="N30" s="135">
        <f>L19*(1+M28)*(1+N28)</f>
        <v>1.4027951630045372</v>
      </c>
      <c r="O30" s="135">
        <f>M19*(1+N29)*(1+O29)</f>
        <v>1.4341579421476001</v>
      </c>
      <c r="P30" s="348" t="s">
        <v>117</v>
      </c>
    </row>
    <row r="31" spans="2:16">
      <c r="C31" s="259"/>
      <c r="E31" s="118"/>
      <c r="H31" s="118"/>
      <c r="N31" s="332"/>
    </row>
    <row r="32" spans="2:16">
      <c r="C32" s="259"/>
      <c r="N32" s="332"/>
    </row>
    <row r="33" spans="1:18">
      <c r="C33" s="259"/>
      <c r="N33" s="332"/>
    </row>
    <row r="34" spans="1:18">
      <c r="A34" s="110" t="s">
        <v>40</v>
      </c>
      <c r="C34" s="259"/>
      <c r="N34" s="332"/>
    </row>
    <row r="35" spans="1:18">
      <c r="A35" s="110" t="s">
        <v>458</v>
      </c>
      <c r="C35" s="259"/>
      <c r="E35" s="118"/>
      <c r="M35" s="118"/>
      <c r="N35" s="332"/>
    </row>
    <row r="36" spans="1:18">
      <c r="C36" s="259"/>
      <c r="N36" s="332"/>
    </row>
    <row r="37" spans="1:18" ht="14.5">
      <c r="C37" s="259"/>
      <c r="E37" s="112">
        <v>2013</v>
      </c>
      <c r="F37" s="112">
        <v>2014</v>
      </c>
      <c r="G37" s="112">
        <v>2015</v>
      </c>
      <c r="H37" s="112">
        <v>2016</v>
      </c>
      <c r="I37" s="112">
        <v>2017</v>
      </c>
      <c r="J37" s="112">
        <v>2018</v>
      </c>
      <c r="K37" s="112">
        <v>2019</v>
      </c>
      <c r="L37" s="112">
        <v>2020</v>
      </c>
      <c r="M37" s="112">
        <v>2021</v>
      </c>
      <c r="N37" s="406">
        <v>2022</v>
      </c>
      <c r="O37" s="406">
        <v>2023</v>
      </c>
      <c r="P37" s="406">
        <v>2024</v>
      </c>
      <c r="Q37" s="406">
        <v>2025</v>
      </c>
    </row>
    <row r="38" spans="1:18">
      <c r="A38" s="111" t="s">
        <v>41</v>
      </c>
      <c r="B38" s="111" t="s">
        <v>175</v>
      </c>
      <c r="C38" s="259" t="s">
        <v>1</v>
      </c>
      <c r="E38" s="164">
        <f>E58</f>
        <v>106.85114638447972</v>
      </c>
      <c r="F38" s="164">
        <f>F80</f>
        <v>142.02969670662296</v>
      </c>
      <c r="G38" s="164">
        <f t="shared" ref="G38:O38" si="8">G80</f>
        <v>158.10072635225305</v>
      </c>
      <c r="H38" s="164">
        <f t="shared" si="8"/>
        <v>237.5616653073364</v>
      </c>
      <c r="I38" s="164">
        <f t="shared" si="8"/>
        <v>200.21651714371623</v>
      </c>
      <c r="J38" s="164">
        <f t="shared" si="8"/>
        <v>221.05343438210494</v>
      </c>
      <c r="K38" s="164">
        <f t="shared" si="8"/>
        <v>247.06089539442186</v>
      </c>
      <c r="L38" s="164">
        <f t="shared" si="8"/>
        <v>248.75288234986255</v>
      </c>
      <c r="M38" s="164">
        <f t="shared" si="8"/>
        <v>257.78302893523971</v>
      </c>
      <c r="N38" s="164">
        <f t="shared" si="8"/>
        <v>44.363198469747779</v>
      </c>
      <c r="O38" s="164">
        <f t="shared" si="8"/>
        <v>-15.857777298889056</v>
      </c>
      <c r="P38" s="332"/>
      <c r="R38" s="343" t="s">
        <v>629</v>
      </c>
    </row>
    <row r="39" spans="1:18">
      <c r="A39" s="111" t="s">
        <v>42</v>
      </c>
      <c r="B39" s="111" t="s">
        <v>176</v>
      </c>
      <c r="C39" s="259" t="s">
        <v>118</v>
      </c>
      <c r="E39" s="221">
        <f t="shared" ref="E39:M39" si="9">PVF</f>
        <v>1.0475000000000001</v>
      </c>
      <c r="F39" s="221">
        <f t="shared" si="9"/>
        <v>1.04756</v>
      </c>
      <c r="G39" s="221">
        <f t="shared" si="9"/>
        <v>1.04525</v>
      </c>
      <c r="H39" s="221">
        <f t="shared" si="9"/>
        <v>1.0433250000000001</v>
      </c>
      <c r="I39" s="221">
        <f t="shared" si="9"/>
        <v>1.041345</v>
      </c>
      <c r="J39" s="221">
        <f t="shared" si="9"/>
        <v>1.0398050000000001</v>
      </c>
      <c r="K39" s="221">
        <f t="shared" si="9"/>
        <v>1.0378799999999999</v>
      </c>
      <c r="L39" s="221">
        <f t="shared" si="9"/>
        <v>1.0370550000000001</v>
      </c>
      <c r="M39" s="221">
        <f t="shared" si="9"/>
        <v>1.0356799999999999</v>
      </c>
      <c r="N39" s="221">
        <f>'R5 Input page'!N49</f>
        <v>1.04498</v>
      </c>
      <c r="O39" s="221">
        <f>'R5 Input page'!O49</f>
        <v>1.04558</v>
      </c>
      <c r="P39" s="221">
        <f>'R5 Input page'!P49</f>
        <v>1.04606</v>
      </c>
      <c r="R39" s="343" t="s">
        <v>127</v>
      </c>
    </row>
    <row r="40" spans="1:18" ht="15.5">
      <c r="A40" s="111" t="s">
        <v>71</v>
      </c>
      <c r="B40" s="131" t="s">
        <v>236</v>
      </c>
      <c r="C40" s="259" t="s">
        <v>1</v>
      </c>
      <c r="E40" s="219"/>
      <c r="F40" s="219"/>
      <c r="G40" s="222">
        <f>IFERROR(((E$19-E$30)/E$19)*E$38*E$39*F$39,"-")</f>
        <v>-2.2896477469324817E-3</v>
      </c>
      <c r="H40" s="222">
        <f>IFERROR(((F$19-F$30)/F$19)*F$38*F$39*G$39,"-")</f>
        <v>0.48958932786839909</v>
      </c>
      <c r="I40" s="222">
        <f t="shared" ref="I40:L40" si="10">IFERROR(((G$19-G$30)/G$19)*G$38*G$39*H$39,"-")</f>
        <v>-2.2502862041575291</v>
      </c>
      <c r="J40" s="222">
        <f t="shared" si="10"/>
        <v>-5.2105605711686067</v>
      </c>
      <c r="K40" s="222">
        <f t="shared" si="10"/>
        <v>-0.81083064756354939</v>
      </c>
      <c r="L40" s="222">
        <f t="shared" si="10"/>
        <v>0.59497736793137024</v>
      </c>
      <c r="M40" s="222">
        <f>IFERROR(((K$19-K$30)/K$19)*K$38*K$39*L$39,"-")</f>
        <v>-0.20179584881998311</v>
      </c>
      <c r="N40" s="222">
        <f>IFERROR(((L$19-L$30)/L$19)*L$38*L$39*M$39,"-")</f>
        <v>-2.2946006652833288</v>
      </c>
      <c r="O40" s="222">
        <f>IFERROR(((M$19-M$30)/M$19)*M$38*M$39*N$39,"-")</f>
        <v>-3.3647894957584588</v>
      </c>
      <c r="P40" s="222">
        <f>IFERROR(((N$19-N$30)/N$19)*N$38*N$39*O$39,"-")</f>
        <v>-0.70793009290615261</v>
      </c>
      <c r="Q40" s="222">
        <f t="shared" ref="Q40" si="11">IFERROR(((O$19-O$30)/O$19)*O$38*O$39*P$39,"-")</f>
        <v>0.31767746969522415</v>
      </c>
      <c r="R40" s="343" t="s">
        <v>240</v>
      </c>
    </row>
    <row r="41" spans="1:18">
      <c r="C41" s="259"/>
      <c r="G41" s="118"/>
      <c r="J41" s="118"/>
      <c r="N41" s="332"/>
    </row>
    <row r="42" spans="1:18">
      <c r="C42" s="259"/>
      <c r="N42" s="332"/>
    </row>
    <row r="43" spans="1:18">
      <c r="B43" s="118"/>
      <c r="C43" s="259"/>
      <c r="N43" s="332"/>
    </row>
    <row r="44" spans="1:18">
      <c r="B44" s="118"/>
      <c r="C44" s="259"/>
      <c r="N44" s="332"/>
    </row>
    <row r="45" spans="1:18">
      <c r="A45" s="110" t="s">
        <v>262</v>
      </c>
      <c r="B45" s="118"/>
      <c r="C45" s="259"/>
      <c r="N45" s="332"/>
    </row>
    <row r="46" spans="1:18">
      <c r="A46" s="110" t="s">
        <v>429</v>
      </c>
      <c r="B46" s="118"/>
      <c r="C46" s="259"/>
      <c r="E46" s="111" t="s">
        <v>192</v>
      </c>
      <c r="N46" s="332"/>
    </row>
    <row r="47" spans="1:18">
      <c r="A47" s="110"/>
      <c r="B47" s="118"/>
      <c r="C47" s="259"/>
      <c r="N47" s="332"/>
    </row>
    <row r="48" spans="1:18">
      <c r="A48" s="110"/>
      <c r="B48" s="118"/>
      <c r="C48" s="259"/>
      <c r="M48" s="118"/>
      <c r="N48" s="332"/>
    </row>
    <row r="49" spans="1:14">
      <c r="A49" s="110"/>
      <c r="B49" s="118"/>
      <c r="C49" s="259"/>
      <c r="N49" s="332"/>
    </row>
    <row r="50" spans="1:14">
      <c r="A50" s="110"/>
      <c r="B50" s="118"/>
      <c r="C50" s="259"/>
      <c r="G50" s="273"/>
      <c r="N50" s="332"/>
    </row>
    <row r="51" spans="1:14" ht="14.5">
      <c r="A51" s="110"/>
      <c r="B51" s="131"/>
      <c r="C51" s="259"/>
      <c r="E51" s="112">
        <v>2013</v>
      </c>
      <c r="F51" s="273"/>
      <c r="G51" s="273"/>
      <c r="N51" s="332"/>
    </row>
    <row r="52" spans="1:14">
      <c r="A52" s="134" t="s">
        <v>423</v>
      </c>
      <c r="B52" s="131" t="s">
        <v>432</v>
      </c>
      <c r="C52" s="259" t="s">
        <v>1</v>
      </c>
      <c r="E52" s="341">
        <f>'R5 Input page'!E34</f>
        <v>94.397999999999996</v>
      </c>
      <c r="F52" s="273"/>
      <c r="G52" s="273"/>
      <c r="H52" s="204"/>
      <c r="N52" s="332"/>
    </row>
    <row r="53" spans="1:14" ht="27">
      <c r="A53" s="206" t="s">
        <v>425</v>
      </c>
      <c r="B53" s="131" t="s">
        <v>431</v>
      </c>
      <c r="C53" s="259" t="s">
        <v>1</v>
      </c>
      <c r="E53" s="341">
        <f>'R5 Input page'!E35</f>
        <v>3.5510000000000002</v>
      </c>
      <c r="F53" s="273"/>
      <c r="G53" s="273"/>
      <c r="H53" s="204"/>
      <c r="N53" s="332"/>
    </row>
    <row r="54" spans="1:14">
      <c r="A54" s="111" t="s">
        <v>424</v>
      </c>
      <c r="B54" s="131" t="s">
        <v>433</v>
      </c>
      <c r="C54" s="259" t="s">
        <v>1</v>
      </c>
      <c r="E54" s="341">
        <f>SUM('R5 Input page'!E36:E38)</f>
        <v>34.855999999999995</v>
      </c>
      <c r="F54" s="273"/>
      <c r="G54" s="273"/>
      <c r="H54" s="204"/>
      <c r="N54" s="332"/>
    </row>
    <row r="55" spans="1:14" ht="27">
      <c r="A55" s="205" t="s">
        <v>426</v>
      </c>
      <c r="B55" s="131" t="s">
        <v>434</v>
      </c>
      <c r="C55" s="259" t="s">
        <v>1</v>
      </c>
      <c r="E55" s="341">
        <f>'R5 Input page'!E39</f>
        <v>-1.77</v>
      </c>
      <c r="F55" s="273"/>
      <c r="G55" s="273"/>
      <c r="H55" s="204"/>
      <c r="N55" s="332"/>
    </row>
    <row r="56" spans="1:14">
      <c r="A56" s="111" t="s">
        <v>428</v>
      </c>
      <c r="B56" s="131" t="s">
        <v>435</v>
      </c>
      <c r="C56" s="259" t="s">
        <v>118</v>
      </c>
      <c r="E56" s="341">
        <f>RPIF</f>
        <v>1.1339999999999999</v>
      </c>
      <c r="F56" s="273"/>
      <c r="G56" s="273"/>
      <c r="H56" s="204"/>
      <c r="N56" s="332"/>
    </row>
    <row r="57" spans="1:14">
      <c r="A57" s="134" t="s">
        <v>427</v>
      </c>
      <c r="B57" s="131" t="s">
        <v>436</v>
      </c>
      <c r="C57" s="259" t="s">
        <v>1</v>
      </c>
      <c r="E57" s="341">
        <f>'R5 Input page'!E41</f>
        <v>8.6999999999999993</v>
      </c>
      <c r="F57" s="273"/>
      <c r="G57" s="273"/>
      <c r="H57" s="204"/>
      <c r="N57" s="332"/>
    </row>
    <row r="58" spans="1:14">
      <c r="A58" s="110"/>
      <c r="B58" s="131" t="s">
        <v>437</v>
      </c>
      <c r="C58" s="259" t="s">
        <v>1</v>
      </c>
      <c r="E58" s="223">
        <f>((E52+E53+E54+E55)/E56)-E57</f>
        <v>106.85114638447972</v>
      </c>
      <c r="F58" s="273"/>
      <c r="G58" s="273"/>
      <c r="N58" s="332"/>
    </row>
    <row r="59" spans="1:14">
      <c r="A59" s="110"/>
      <c r="B59" s="118"/>
      <c r="C59" s="259"/>
      <c r="F59" s="118"/>
      <c r="G59" s="273"/>
      <c r="H59" s="273"/>
      <c r="I59" s="118"/>
      <c r="N59" s="332"/>
    </row>
    <row r="60" spans="1:14">
      <c r="A60" s="110"/>
      <c r="B60" s="118"/>
      <c r="C60" s="259"/>
      <c r="N60" s="332"/>
    </row>
    <row r="61" spans="1:14">
      <c r="A61" s="110"/>
      <c r="B61" s="118"/>
      <c r="C61" s="259"/>
      <c r="N61" s="332"/>
    </row>
    <row r="62" spans="1:14">
      <c r="A62" s="110"/>
      <c r="B62" s="118"/>
      <c r="C62" s="259"/>
      <c r="N62" s="332"/>
    </row>
    <row r="63" spans="1:14">
      <c r="A63" s="110"/>
      <c r="B63" s="118"/>
      <c r="C63" s="259"/>
      <c r="E63" s="111" t="s">
        <v>422</v>
      </c>
      <c r="N63" s="332"/>
    </row>
    <row r="64" spans="1:14">
      <c r="A64" s="110"/>
      <c r="B64" s="118"/>
      <c r="C64" s="259"/>
      <c r="N64" s="332"/>
    </row>
    <row r="65" spans="1:16">
      <c r="A65" s="110" t="s">
        <v>430</v>
      </c>
      <c r="B65" s="118"/>
      <c r="C65" s="259"/>
      <c r="N65" s="332"/>
    </row>
    <row r="66" spans="1:16">
      <c r="B66" s="118"/>
      <c r="C66" s="259"/>
      <c r="M66" s="118"/>
      <c r="N66" s="332"/>
    </row>
    <row r="67" spans="1:16">
      <c r="B67" s="118"/>
      <c r="C67" s="259"/>
      <c r="N67" s="332"/>
    </row>
    <row r="68" spans="1:16">
      <c r="B68" s="118"/>
      <c r="C68" s="259"/>
      <c r="N68" s="332"/>
    </row>
    <row r="69" spans="1:16" ht="14.5">
      <c r="B69" s="118"/>
      <c r="C69" s="259"/>
      <c r="E69" s="112">
        <v>2013</v>
      </c>
      <c r="F69" s="112">
        <v>2014</v>
      </c>
      <c r="G69" s="112">
        <v>2015</v>
      </c>
      <c r="H69" s="112">
        <v>2016</v>
      </c>
      <c r="I69" s="112">
        <v>2017</v>
      </c>
      <c r="J69" s="112">
        <v>2018</v>
      </c>
      <c r="K69" s="112">
        <v>2019</v>
      </c>
      <c r="L69" s="112">
        <v>2020</v>
      </c>
      <c r="M69" s="112">
        <v>2021</v>
      </c>
      <c r="N69" s="406">
        <v>2022</v>
      </c>
      <c r="O69" s="406">
        <v>2023</v>
      </c>
      <c r="P69" s="332"/>
    </row>
    <row r="70" spans="1:16" ht="15.5">
      <c r="A70" s="111" t="s">
        <v>13</v>
      </c>
      <c r="B70" s="131" t="s">
        <v>14</v>
      </c>
      <c r="C70" s="259" t="s">
        <v>1</v>
      </c>
      <c r="E70" s="273"/>
      <c r="F70" s="226">
        <f t="shared" ref="F70:O70" si="12">BR</f>
        <v>121.5805473654021</v>
      </c>
      <c r="G70" s="164">
        <f t="shared" si="12"/>
        <v>144.88183379911854</v>
      </c>
      <c r="H70" s="226">
        <f t="shared" si="12"/>
        <v>257.33702665771352</v>
      </c>
      <c r="I70" s="226">
        <f t="shared" si="12"/>
        <v>257.63714260992293</v>
      </c>
      <c r="J70" s="226">
        <f t="shared" si="12"/>
        <v>212.33806976005224</v>
      </c>
      <c r="K70" s="226">
        <f t="shared" si="12"/>
        <v>256.82224727854003</v>
      </c>
      <c r="L70" s="226">
        <f t="shared" si="12"/>
        <v>271.06515945388799</v>
      </c>
      <c r="M70" s="226">
        <f t="shared" si="12"/>
        <v>291.03938687052568</v>
      </c>
      <c r="N70" s="226">
        <f t="shared" si="12"/>
        <v>-3.2188547142864468</v>
      </c>
      <c r="O70" s="226">
        <f t="shared" si="12"/>
        <v>-4.8256395789968121</v>
      </c>
      <c r="P70" s="343" t="s">
        <v>239</v>
      </c>
    </row>
    <row r="71" spans="1:16" ht="15.5">
      <c r="A71" s="111" t="s">
        <v>23</v>
      </c>
      <c r="B71" s="131" t="s">
        <v>21</v>
      </c>
      <c r="C71" s="259" t="s">
        <v>1</v>
      </c>
      <c r="D71" s="273"/>
      <c r="E71" s="273"/>
      <c r="F71" s="215"/>
      <c r="G71" s="215"/>
      <c r="H71" s="226">
        <f t="shared" ref="H71:O71" si="13">RBt</f>
        <v>-12.625464143664923</v>
      </c>
      <c r="I71" s="226">
        <f t="shared" si="13"/>
        <v>-12.636786853465296</v>
      </c>
      <c r="J71" s="226">
        <f t="shared" si="13"/>
        <v>-17.536213470447461</v>
      </c>
      <c r="K71" s="226">
        <f t="shared" si="13"/>
        <v>-18.069807060749817</v>
      </c>
      <c r="L71" s="226">
        <f t="shared" si="13"/>
        <v>-18.620446002407657</v>
      </c>
      <c r="M71" s="226">
        <f t="shared" si="13"/>
        <v>-18.861666450026508</v>
      </c>
      <c r="N71" s="226">
        <f>RBt</f>
        <v>-19.134863128384811</v>
      </c>
      <c r="O71" s="226">
        <f t="shared" si="13"/>
        <v>-19.712162535692979</v>
      </c>
      <c r="P71" s="343" t="s">
        <v>263</v>
      </c>
    </row>
    <row r="72" spans="1:16">
      <c r="B72" s="131"/>
      <c r="C72" s="262"/>
      <c r="D72" s="273"/>
      <c r="E72" s="273"/>
      <c r="F72" s="227"/>
      <c r="G72" s="227"/>
      <c r="H72" s="227"/>
      <c r="I72" s="227"/>
      <c r="J72" s="227"/>
      <c r="K72" s="227"/>
      <c r="L72" s="227"/>
      <c r="M72" s="227"/>
      <c r="N72" s="227"/>
      <c r="O72" s="227"/>
      <c r="P72" s="343"/>
    </row>
    <row r="73" spans="1:16">
      <c r="A73" s="111" t="s">
        <v>24</v>
      </c>
      <c r="B73" s="131" t="s">
        <v>22</v>
      </c>
      <c r="C73" s="259" t="s">
        <v>1</v>
      </c>
      <c r="D73" s="273"/>
      <c r="E73" s="273"/>
      <c r="F73" s="215"/>
      <c r="G73" s="226">
        <f t="shared" ref="G73:O73" si="14">TPD</f>
        <v>0</v>
      </c>
      <c r="H73" s="226">
        <f t="shared" si="14"/>
        <v>0</v>
      </c>
      <c r="I73" s="226">
        <f t="shared" si="14"/>
        <v>0</v>
      </c>
      <c r="J73" s="226">
        <f t="shared" si="14"/>
        <v>0</v>
      </c>
      <c r="K73" s="226">
        <f t="shared" si="14"/>
        <v>0</v>
      </c>
      <c r="L73" s="226">
        <f t="shared" si="14"/>
        <v>0</v>
      </c>
      <c r="M73" s="226">
        <f t="shared" si="14"/>
        <v>0</v>
      </c>
      <c r="N73" s="226">
        <f t="shared" si="14"/>
        <v>0</v>
      </c>
      <c r="O73" s="226">
        <f t="shared" si="14"/>
        <v>0</v>
      </c>
      <c r="P73" s="343" t="s">
        <v>22</v>
      </c>
    </row>
    <row r="74" spans="1:16">
      <c r="B74" s="131"/>
      <c r="C74" s="259"/>
      <c r="D74" s="273"/>
      <c r="E74" s="273"/>
      <c r="F74" s="215"/>
      <c r="G74" s="215"/>
      <c r="H74" s="215"/>
      <c r="I74" s="215"/>
      <c r="J74" s="215"/>
      <c r="K74" s="215"/>
      <c r="L74" s="215"/>
      <c r="M74" s="215"/>
      <c r="N74" s="215"/>
      <c r="O74" s="215"/>
      <c r="P74" s="343"/>
    </row>
    <row r="75" spans="1:16">
      <c r="A75" s="111" t="s">
        <v>29</v>
      </c>
      <c r="B75" s="111" t="s">
        <v>418</v>
      </c>
      <c r="C75" s="259" t="s">
        <v>1</v>
      </c>
      <c r="D75" s="273"/>
      <c r="E75" s="273"/>
      <c r="F75" s="215"/>
      <c r="G75" s="226">
        <f t="shared" ref="G75:O75" si="15">SFI</f>
        <v>0</v>
      </c>
      <c r="H75" s="226">
        <f t="shared" si="15"/>
        <v>0.15706518710335124</v>
      </c>
      <c r="I75" s="226">
        <f t="shared" si="15"/>
        <v>0.17952166379637347</v>
      </c>
      <c r="J75" s="226">
        <f t="shared" si="15"/>
        <v>0.22598410853818363</v>
      </c>
      <c r="K75" s="226">
        <f t="shared" si="15"/>
        <v>0.25468545585289815</v>
      </c>
      <c r="L75" s="226">
        <f t="shared" si="15"/>
        <v>0.28652370122030263</v>
      </c>
      <c r="M75" s="226">
        <f t="shared" si="15"/>
        <v>0.31501229062863539</v>
      </c>
      <c r="N75" s="226">
        <f t="shared" si="15"/>
        <v>0</v>
      </c>
      <c r="O75" s="226">
        <f t="shared" si="15"/>
        <v>0</v>
      </c>
      <c r="P75" s="343" t="s">
        <v>222</v>
      </c>
    </row>
    <row r="76" spans="1:16">
      <c r="A76" s="111" t="s">
        <v>266</v>
      </c>
      <c r="B76" s="131" t="s">
        <v>419</v>
      </c>
      <c r="C76" s="259" t="s">
        <v>1</v>
      </c>
      <c r="D76" s="273"/>
      <c r="E76" s="273"/>
      <c r="F76" s="226">
        <f t="shared" ref="F76:O76" si="16">RI</f>
        <v>0.47198999999999997</v>
      </c>
      <c r="G76" s="215"/>
      <c r="H76" s="226">
        <f t="shared" si="16"/>
        <v>1.6745572779660576</v>
      </c>
      <c r="I76" s="226">
        <f t="shared" si="16"/>
        <v>1.6336271720073634</v>
      </c>
      <c r="J76" s="226">
        <f t="shared" si="16"/>
        <v>1.6569650523257444</v>
      </c>
      <c r="K76" s="226">
        <f t="shared" si="16"/>
        <v>1.7073833443228175</v>
      </c>
      <c r="L76" s="226">
        <f t="shared" si="16"/>
        <v>1.7376910821727769</v>
      </c>
      <c r="M76" s="226">
        <f t="shared" si="16"/>
        <v>1.760202176730383</v>
      </c>
      <c r="N76" s="226">
        <f t="shared" si="16"/>
        <v>1.7856973464809391</v>
      </c>
      <c r="O76" s="226">
        <f t="shared" si="16"/>
        <v>1.7952448566801309</v>
      </c>
      <c r="P76" s="343" t="s">
        <v>265</v>
      </c>
    </row>
    <row r="77" spans="1:16">
      <c r="A77" s="111" t="s">
        <v>420</v>
      </c>
      <c r="B77" s="131" t="s">
        <v>421</v>
      </c>
      <c r="C77" s="259" t="s">
        <v>1</v>
      </c>
      <c r="D77" s="273"/>
      <c r="E77" s="273"/>
      <c r="F77" s="226">
        <f t="shared" ref="F77:O77" si="17">SHCP</f>
        <v>0</v>
      </c>
      <c r="G77" s="226">
        <f t="shared" si="17"/>
        <v>0</v>
      </c>
      <c r="H77" s="226">
        <f>SHCP</f>
        <v>0</v>
      </c>
      <c r="I77" s="226">
        <f t="shared" si="17"/>
        <v>0</v>
      </c>
      <c r="J77" s="226">
        <f t="shared" si="17"/>
        <v>0</v>
      </c>
      <c r="K77" s="226">
        <f t="shared" si="17"/>
        <v>0</v>
      </c>
      <c r="L77" s="226">
        <f t="shared" si="17"/>
        <v>0</v>
      </c>
      <c r="M77" s="226">
        <f t="shared" si="17"/>
        <v>0</v>
      </c>
      <c r="N77" s="226">
        <f t="shared" si="17"/>
        <v>0</v>
      </c>
      <c r="O77" s="226">
        <f t="shared" si="17"/>
        <v>0</v>
      </c>
      <c r="P77" s="343" t="s">
        <v>310</v>
      </c>
    </row>
    <row r="78" spans="1:16">
      <c r="A78" s="111" t="s">
        <v>273</v>
      </c>
      <c r="B78" s="131" t="s">
        <v>417</v>
      </c>
      <c r="C78" s="259" t="s">
        <v>1</v>
      </c>
      <c r="D78" s="273"/>
      <c r="E78" s="273"/>
      <c r="F78" s="226">
        <f t="shared" ref="F78:O78" si="18">SubTIRG</f>
        <v>43.13029648352763</v>
      </c>
      <c r="G78" s="226">
        <f t="shared" si="18"/>
        <v>45.642498240794303</v>
      </c>
      <c r="H78" s="226">
        <f t="shared" si="18"/>
        <v>44.861665942027251</v>
      </c>
      <c r="I78" s="226">
        <f t="shared" si="18"/>
        <v>0</v>
      </c>
      <c r="J78" s="226">
        <f t="shared" si="18"/>
        <v>84.256191454810178</v>
      </c>
      <c r="K78" s="226">
        <f t="shared" si="18"/>
        <v>83.929406675831544</v>
      </c>
      <c r="L78" s="226">
        <f t="shared" si="18"/>
        <v>83.48339417561121</v>
      </c>
      <c r="M78" s="226">
        <f t="shared" si="18"/>
        <v>81.445315519738841</v>
      </c>
      <c r="N78" s="226">
        <f t="shared" si="18"/>
        <v>82.800500724962788</v>
      </c>
      <c r="O78" s="226">
        <f t="shared" si="18"/>
        <v>0</v>
      </c>
      <c r="P78" s="343" t="s">
        <v>272</v>
      </c>
    </row>
    <row r="79" spans="1:16" ht="15.5">
      <c r="A79" s="111" t="s">
        <v>62</v>
      </c>
      <c r="B79" s="131" t="s">
        <v>237</v>
      </c>
      <c r="C79" s="259" t="s">
        <v>118</v>
      </c>
      <c r="D79" s="273"/>
      <c r="E79" s="273"/>
      <c r="F79" s="226">
        <f t="shared" ref="F79:O79" si="19">RPIF</f>
        <v>1.1630161697108456</v>
      </c>
      <c r="G79" s="226">
        <f t="shared" si="19"/>
        <v>1.2050819527256253</v>
      </c>
      <c r="H79" s="226">
        <f t="shared" si="19"/>
        <v>1.2266493019576674</v>
      </c>
      <c r="I79" s="226">
        <f t="shared" si="19"/>
        <v>1.2327329838381795</v>
      </c>
      <c r="J79" s="226">
        <f t="shared" si="19"/>
        <v>1.2709189417960116</v>
      </c>
      <c r="K79" s="226">
        <f t="shared" si="19"/>
        <v>1.3140238772935624</v>
      </c>
      <c r="L79" s="226">
        <f t="shared" si="19"/>
        <v>1.3585865587485577</v>
      </c>
      <c r="M79" s="226">
        <f t="shared" si="19"/>
        <v>1.3798357939884227</v>
      </c>
      <c r="N79" s="226">
        <f t="shared" si="19"/>
        <v>1.4027951630045372</v>
      </c>
      <c r="O79" s="226">
        <f t="shared" si="19"/>
        <v>1.4341579421476001</v>
      </c>
      <c r="P79" s="343" t="s">
        <v>117</v>
      </c>
    </row>
    <row r="80" spans="1:16" ht="15.5">
      <c r="B80" s="131" t="s">
        <v>175</v>
      </c>
      <c r="C80" s="259" t="s">
        <v>1</v>
      </c>
      <c r="E80" s="216">
        <f>E58</f>
        <v>106.85114638447972</v>
      </c>
      <c r="F80" s="216">
        <f>SUM(F70:F78)/F79</f>
        <v>142.02969670662296</v>
      </c>
      <c r="G80" s="216">
        <f>SUM(G70:G78)/G79</f>
        <v>158.10072635225305</v>
      </c>
      <c r="H80" s="216">
        <f>SUM(H70:H78)/H79</f>
        <v>237.5616653073364</v>
      </c>
      <c r="I80" s="216">
        <f t="shared" ref="I80:M80" si="20">SUM(I70:I78)/I79</f>
        <v>200.21651714371623</v>
      </c>
      <c r="J80" s="216">
        <f t="shared" si="20"/>
        <v>221.05343438210494</v>
      </c>
      <c r="K80" s="216">
        <f t="shared" si="20"/>
        <v>247.06089539442186</v>
      </c>
      <c r="L80" s="216">
        <f t="shared" si="20"/>
        <v>248.75288234986255</v>
      </c>
      <c r="M80" s="216">
        <f t="shared" si="20"/>
        <v>257.78302893523971</v>
      </c>
      <c r="N80" s="216">
        <f>SUM(N70:N78)/N79</f>
        <v>44.363198469747779</v>
      </c>
      <c r="O80" s="216">
        <f>SUM(O70:O78)/O79</f>
        <v>-15.857777298889056</v>
      </c>
      <c r="P80" s="343" t="s">
        <v>264</v>
      </c>
    </row>
    <row r="81" spans="2:14">
      <c r="B81" s="118"/>
      <c r="C81" s="259"/>
      <c r="E81" s="118"/>
      <c r="H81" s="118"/>
      <c r="N81" s="332"/>
    </row>
    <row r="82" spans="2:14">
      <c r="B82" s="118"/>
      <c r="C82" s="259"/>
      <c r="E82" s="118"/>
      <c r="N82" s="332"/>
    </row>
    <row r="83" spans="2:14">
      <c r="B83" s="118"/>
      <c r="C83" s="259"/>
      <c r="E83" s="118"/>
      <c r="N83" s="332"/>
    </row>
    <row r="84" spans="2:14">
      <c r="B84" s="118"/>
      <c r="C84" s="259"/>
      <c r="E84" s="118"/>
      <c r="N84" s="332"/>
    </row>
    <row r="85" spans="2:14">
      <c r="B85" s="118"/>
      <c r="C85" s="259"/>
      <c r="E85" s="118"/>
      <c r="N85" s="332"/>
    </row>
    <row r="86" spans="2:14">
      <c r="N86" s="332"/>
    </row>
    <row r="87" spans="2:14">
      <c r="N87" s="332"/>
    </row>
    <row r="88" spans="2:14">
      <c r="N88" s="332"/>
    </row>
    <row r="89" spans="2:14">
      <c r="N89" s="332"/>
    </row>
    <row r="90" spans="2:14">
      <c r="N90" s="332"/>
    </row>
    <row r="91" spans="2:14">
      <c r="N91" s="332"/>
    </row>
    <row r="92" spans="2:14">
      <c r="N92" s="332"/>
    </row>
    <row r="93" spans="2:14">
      <c r="N93" s="332"/>
    </row>
    <row r="94" spans="2:14">
      <c r="N94" s="332"/>
    </row>
    <row r="95" spans="2:14">
      <c r="N95" s="332"/>
    </row>
    <row r="96" spans="2:14">
      <c r="N96" s="332"/>
    </row>
    <row r="97" spans="14:14">
      <c r="N97" s="332"/>
    </row>
    <row r="98" spans="14:14">
      <c r="N98" s="332"/>
    </row>
    <row r="99" spans="14:14">
      <c r="N99" s="332"/>
    </row>
    <row r="100" spans="14:14">
      <c r="N100" s="332"/>
    </row>
    <row r="101" spans="14:14">
      <c r="N101" s="332"/>
    </row>
    <row r="102" spans="14:14">
      <c r="N102" s="332"/>
    </row>
    <row r="103" spans="14:14">
      <c r="N103" s="332"/>
    </row>
    <row r="104" spans="14:14">
      <c r="N104" s="332"/>
    </row>
    <row r="105" spans="14:14">
      <c r="N105" s="332"/>
    </row>
    <row r="106" spans="14:14">
      <c r="N106" s="332"/>
    </row>
    <row r="107" spans="14:14">
      <c r="N107" s="332"/>
    </row>
    <row r="108" spans="14:14">
      <c r="N108" s="332"/>
    </row>
    <row r="109" spans="14:14">
      <c r="N109" s="332"/>
    </row>
    <row r="110" spans="14:14">
      <c r="N110" s="332"/>
    </row>
    <row r="111" spans="14:14">
      <c r="N111" s="332"/>
    </row>
    <row r="112" spans="14:14">
      <c r="N112" s="332"/>
    </row>
    <row r="113" spans="14:14">
      <c r="N113" s="332"/>
    </row>
    <row r="114" spans="14:14">
      <c r="N114" s="332"/>
    </row>
    <row r="115" spans="14:14">
      <c r="N115" s="332"/>
    </row>
    <row r="116" spans="14:14">
      <c r="N116" s="332"/>
    </row>
    <row r="117" spans="14:14">
      <c r="N117" s="332"/>
    </row>
    <row r="118" spans="14:14">
      <c r="N118" s="332"/>
    </row>
    <row r="119" spans="14:14">
      <c r="N119" s="332"/>
    </row>
    <row r="120" spans="14:14">
      <c r="N120" s="332"/>
    </row>
    <row r="1000034" spans="1:1">
      <c r="A1000034" s="111" t="s">
        <v>7</v>
      </c>
    </row>
    <row r="1000035" spans="1:1">
      <c r="A1000035" s="111" t="s">
        <v>2</v>
      </c>
    </row>
    <row r="1000036" spans="1:1">
      <c r="A1000036" s="111" t="s">
        <v>6</v>
      </c>
    </row>
    <row r="1000037" spans="1:1">
      <c r="A1000037" s="111" t="s">
        <v>3</v>
      </c>
    </row>
    <row r="1000038" spans="1:1">
      <c r="A1000038" s="111" t="s">
        <v>4</v>
      </c>
    </row>
    <row r="1000039" spans="1:1">
      <c r="A1000039" s="111" t="s">
        <v>5</v>
      </c>
    </row>
  </sheetData>
  <mergeCells count="1">
    <mergeCell ref="F15:I15"/>
  </mergeCells>
  <pageMargins left="0.15748031496062992" right="0.15748031496062992" top="0.39370078740157483" bottom="0.47244094488188981" header="0.19685039370078741" footer="0.23622047244094491"/>
  <pageSetup paperSize="8" scale="78" orientation="portrait" r:id="rId1"/>
  <headerFooter>
    <oddFooter>&amp;C&amp;D&amp;R&amp;F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1000010"/>
  <sheetViews>
    <sheetView showGridLines="0" zoomScale="85" zoomScaleNormal="85" workbookViewId="0">
      <selection activeCell="P50" sqref="P50"/>
    </sheetView>
  </sheetViews>
  <sheetFormatPr defaultColWidth="9" defaultRowHeight="13.5"/>
  <cols>
    <col min="1" max="1" width="40" style="111" customWidth="1"/>
    <col min="2" max="2" width="8.15234375" style="111" customWidth="1"/>
    <col min="3" max="3" width="7.23046875" style="111" customWidth="1"/>
    <col min="4" max="4" width="8.15234375" style="111" customWidth="1"/>
    <col min="5" max="5" width="9" style="111" customWidth="1"/>
    <col min="6" max="13" width="9.15234375" style="111" bestFit="1" customWidth="1"/>
    <col min="14" max="14" width="9.23046875" style="111" bestFit="1" customWidth="1"/>
    <col min="15" max="16384" width="9" style="111"/>
  </cols>
  <sheetData>
    <row r="1" spans="1:19" s="121" customFormat="1" ht="15">
      <c r="A1" s="126" t="s">
        <v>114</v>
      </c>
      <c r="N1" s="346"/>
    </row>
    <row r="2" spans="1:19" s="121" customFormat="1" ht="15">
      <c r="A2" s="126" t="str">
        <f>CompName</f>
        <v>Scottish Hydro Electric Transmission Plc</v>
      </c>
      <c r="N2" s="346"/>
    </row>
    <row r="3" spans="1:19" s="121" customFormat="1">
      <c r="A3" s="128" t="str">
        <f>RegYr</f>
        <v>Regulatory Year ending 31 March 2020</v>
      </c>
      <c r="N3" s="346"/>
    </row>
    <row r="4" spans="1:19">
      <c r="A4" s="137"/>
      <c r="B4" s="137"/>
      <c r="C4" s="137"/>
      <c r="D4" s="137"/>
      <c r="E4" s="137"/>
      <c r="F4" s="137"/>
      <c r="G4" s="137"/>
      <c r="H4" s="137"/>
      <c r="I4" s="137"/>
      <c r="J4" s="137"/>
      <c r="K4" s="137"/>
      <c r="L4" s="137"/>
      <c r="M4" s="137"/>
      <c r="N4" s="347"/>
      <c r="O4" s="137"/>
      <c r="P4" s="137"/>
      <c r="Q4" s="137"/>
      <c r="R4" s="137"/>
      <c r="S4" s="137"/>
    </row>
    <row r="5" spans="1:19" ht="17.5">
      <c r="A5" s="138" t="s">
        <v>26</v>
      </c>
      <c r="B5" s="130"/>
      <c r="C5" s="130"/>
      <c r="D5" s="130"/>
      <c r="E5" s="130"/>
      <c r="G5" s="130"/>
      <c r="H5" s="130"/>
      <c r="I5" s="130"/>
      <c r="N5" s="332"/>
    </row>
    <row r="6" spans="1:19" ht="17.5">
      <c r="A6" s="231" t="s">
        <v>340</v>
      </c>
      <c r="B6" s="118"/>
      <c r="D6" s="130"/>
      <c r="E6" s="130"/>
      <c r="I6" s="130"/>
      <c r="N6" s="332"/>
    </row>
    <row r="7" spans="1:19" ht="14.25" customHeight="1">
      <c r="A7" s="110" t="s">
        <v>441</v>
      </c>
      <c r="B7" s="113"/>
      <c r="C7" s="113"/>
      <c r="D7" s="113"/>
      <c r="F7" s="112">
        <v>2014</v>
      </c>
      <c r="G7" s="112">
        <v>2015</v>
      </c>
      <c r="H7" s="112">
        <v>2016</v>
      </c>
      <c r="I7" s="112">
        <v>2017</v>
      </c>
      <c r="J7" s="112">
        <v>2018</v>
      </c>
      <c r="K7" s="112">
        <v>2019</v>
      </c>
      <c r="L7" s="112">
        <v>2020</v>
      </c>
      <c r="M7" s="112">
        <v>2021</v>
      </c>
      <c r="N7" s="406">
        <v>2022</v>
      </c>
      <c r="O7" s="406">
        <v>2023</v>
      </c>
      <c r="P7" s="332"/>
    </row>
    <row r="8" spans="1:19" ht="12" customHeight="1">
      <c r="A8" s="131" t="s">
        <v>23</v>
      </c>
      <c r="B8" s="131" t="s">
        <v>341</v>
      </c>
      <c r="C8" s="131" t="s">
        <v>1</v>
      </c>
      <c r="D8" s="113"/>
      <c r="E8" s="131"/>
      <c r="F8" s="228">
        <f t="shared" ref="F8:M8" si="0">RB</f>
        <v>0</v>
      </c>
      <c r="G8" s="228">
        <f t="shared" si="0"/>
        <v>0</v>
      </c>
      <c r="H8" s="228">
        <f t="shared" si="0"/>
        <v>-12.625464143664923</v>
      </c>
      <c r="I8" s="228">
        <f t="shared" si="0"/>
        <v>-12.636786853465296</v>
      </c>
      <c r="J8" s="228">
        <f t="shared" si="0"/>
        <v>-17.536213470447461</v>
      </c>
      <c r="K8" s="228">
        <f t="shared" si="0"/>
        <v>-18.069807060749817</v>
      </c>
      <c r="L8" s="228">
        <f t="shared" si="0"/>
        <v>-18.620446002407657</v>
      </c>
      <c r="M8" s="228">
        <f t="shared" si="0"/>
        <v>-18.861666450026508</v>
      </c>
      <c r="N8" s="228">
        <f>N21</f>
        <v>-19.134863128384811</v>
      </c>
      <c r="O8" s="228">
        <f>O21</f>
        <v>-19.712162535692979</v>
      </c>
      <c r="P8" s="343" t="s">
        <v>341</v>
      </c>
      <c r="Q8" s="140"/>
    </row>
    <row r="9" spans="1:19" ht="12" customHeight="1">
      <c r="A9" s="131" t="s">
        <v>24</v>
      </c>
      <c r="B9" s="131" t="s">
        <v>130</v>
      </c>
      <c r="C9" s="131" t="s">
        <v>1</v>
      </c>
      <c r="D9" s="113"/>
      <c r="F9" s="228">
        <f>F40</f>
        <v>0</v>
      </c>
      <c r="G9" s="228">
        <f t="shared" ref="G9:M9" si="1">G40</f>
        <v>0</v>
      </c>
      <c r="H9" s="228">
        <f>H40</f>
        <v>0</v>
      </c>
      <c r="I9" s="228">
        <f>I40</f>
        <v>0</v>
      </c>
      <c r="J9" s="228">
        <f t="shared" si="1"/>
        <v>0</v>
      </c>
      <c r="K9" s="228">
        <f t="shared" si="1"/>
        <v>0</v>
      </c>
      <c r="L9" s="228">
        <f t="shared" si="1"/>
        <v>0</v>
      </c>
      <c r="M9" s="228">
        <f t="shared" si="1"/>
        <v>0</v>
      </c>
      <c r="N9" s="228">
        <f>N40</f>
        <v>0</v>
      </c>
      <c r="O9" s="228">
        <f>O40</f>
        <v>0</v>
      </c>
      <c r="P9" s="343" t="s">
        <v>130</v>
      </c>
      <c r="Q9" s="140"/>
    </row>
    <row r="10" spans="1:19" ht="14">
      <c r="A10" s="131" t="s">
        <v>20</v>
      </c>
      <c r="B10" s="131" t="s">
        <v>342</v>
      </c>
      <c r="C10" s="131" t="s">
        <v>1</v>
      </c>
      <c r="D10" s="113"/>
      <c r="H10" s="229">
        <f>SUM(H8:H9)</f>
        <v>-12.625464143664923</v>
      </c>
      <c r="I10" s="229">
        <f>SUM(I8:I9)</f>
        <v>-12.636786853465296</v>
      </c>
      <c r="J10" s="229">
        <f t="shared" ref="J10:O10" si="2">SUM(J8:J9)</f>
        <v>-17.536213470447461</v>
      </c>
      <c r="K10" s="229">
        <f t="shared" si="2"/>
        <v>-18.069807060749817</v>
      </c>
      <c r="L10" s="229">
        <f t="shared" si="2"/>
        <v>-18.620446002407657</v>
      </c>
      <c r="M10" s="229">
        <f t="shared" si="2"/>
        <v>-18.861666450026508</v>
      </c>
      <c r="N10" s="229">
        <f t="shared" si="2"/>
        <v>-19.134863128384811</v>
      </c>
      <c r="O10" s="229">
        <f t="shared" si="2"/>
        <v>-19.712162535692979</v>
      </c>
      <c r="P10" s="343" t="s">
        <v>342</v>
      </c>
    </row>
    <row r="11" spans="1:19">
      <c r="A11" s="131"/>
      <c r="B11" s="131"/>
      <c r="C11" s="131"/>
      <c r="D11" s="131"/>
      <c r="F11" s="118"/>
      <c r="H11" s="118"/>
      <c r="N11" s="332"/>
    </row>
    <row r="12" spans="1:19">
      <c r="A12" s="131"/>
      <c r="B12" s="131"/>
      <c r="C12" s="131"/>
      <c r="D12" s="131"/>
      <c r="N12" s="332"/>
    </row>
    <row r="13" spans="1:19" ht="14.25" customHeight="1">
      <c r="A13" s="116" t="s">
        <v>70</v>
      </c>
      <c r="B13" s="131"/>
      <c r="C13" s="131"/>
      <c r="D13" s="131"/>
      <c r="G13" s="129"/>
      <c r="L13" s="118"/>
      <c r="N13" s="332"/>
    </row>
    <row r="14" spans="1:19">
      <c r="A14" s="110" t="s">
        <v>440</v>
      </c>
      <c r="B14" s="131"/>
      <c r="C14" s="131"/>
      <c r="D14" s="131"/>
      <c r="N14" s="332"/>
    </row>
    <row r="15" spans="1:19" ht="14.5">
      <c r="A15" s="131"/>
      <c r="B15" s="131"/>
      <c r="C15" s="131"/>
      <c r="D15" s="131"/>
      <c r="F15" s="112">
        <v>2014</v>
      </c>
      <c r="G15" s="112">
        <v>2015</v>
      </c>
      <c r="H15" s="112">
        <v>2016</v>
      </c>
      <c r="I15" s="112">
        <v>2017</v>
      </c>
      <c r="J15" s="112">
        <v>2018</v>
      </c>
      <c r="K15" s="112">
        <v>2019</v>
      </c>
      <c r="L15" s="112">
        <v>2020</v>
      </c>
      <c r="M15" s="112">
        <v>2021</v>
      </c>
      <c r="N15" s="406">
        <v>2022</v>
      </c>
      <c r="O15" s="406">
        <v>2023</v>
      </c>
    </row>
    <row r="16" spans="1:19">
      <c r="A16" s="131" t="s">
        <v>69</v>
      </c>
      <c r="B16" s="131" t="s">
        <v>122</v>
      </c>
      <c r="C16" s="131" t="s">
        <v>1</v>
      </c>
      <c r="D16" s="131"/>
      <c r="F16" s="230">
        <f t="shared" ref="F16:M16" si="3">RBA</f>
        <v>0</v>
      </c>
      <c r="G16" s="230">
        <f t="shared" si="3"/>
        <v>0</v>
      </c>
      <c r="H16" s="230">
        <f t="shared" si="3"/>
        <v>0</v>
      </c>
      <c r="I16" s="230">
        <f t="shared" si="3"/>
        <v>0</v>
      </c>
      <c r="J16" s="230">
        <f t="shared" si="3"/>
        <v>0</v>
      </c>
      <c r="K16" s="230">
        <f t="shared" si="3"/>
        <v>0</v>
      </c>
      <c r="L16" s="230">
        <f t="shared" si="3"/>
        <v>0</v>
      </c>
      <c r="M16" s="230">
        <f t="shared" si="3"/>
        <v>0</v>
      </c>
      <c r="N16" s="393"/>
      <c r="O16" s="393"/>
      <c r="P16" s="343" t="s">
        <v>122</v>
      </c>
    </row>
    <row r="17" spans="1:16">
      <c r="A17" s="131" t="s">
        <v>124</v>
      </c>
      <c r="B17" s="131" t="s">
        <v>123</v>
      </c>
      <c r="C17" s="131" t="s">
        <v>504</v>
      </c>
      <c r="D17" s="131"/>
      <c r="F17" s="230">
        <f t="shared" ref="F17:M17" si="4">RPIA</f>
        <v>1.1666890673736021</v>
      </c>
      <c r="G17" s="230">
        <f t="shared" si="4"/>
        <v>1.1895563269638081</v>
      </c>
      <c r="H17" s="230">
        <f t="shared" si="4"/>
        <v>1.2023757108362261</v>
      </c>
      <c r="I17" s="230">
        <f t="shared" si="4"/>
        <v>1.2281396135646323</v>
      </c>
      <c r="J17" s="230">
        <f t="shared" si="4"/>
        <v>1.2740965949380583</v>
      </c>
      <c r="K17" s="230">
        <f t="shared" si="4"/>
        <v>1.3130274787154661</v>
      </c>
      <c r="L17" s="230">
        <f t="shared" si="4"/>
        <v>1.3470178479563604</v>
      </c>
      <c r="M17" s="230">
        <f t="shared" si="4"/>
        <v>1.3633924218822251</v>
      </c>
      <c r="N17" s="230">
        <f>'R6 Base revenue'!N19</f>
        <v>1.3826022242047395</v>
      </c>
      <c r="O17" s="230">
        <f>'R6 Base revenue'!O19</f>
        <v>1.4083624000314041</v>
      </c>
      <c r="P17" s="343" t="s">
        <v>123</v>
      </c>
    </row>
    <row r="18" spans="1:16">
      <c r="A18" s="131" t="s">
        <v>68</v>
      </c>
      <c r="B18" s="131" t="s">
        <v>121</v>
      </c>
      <c r="C18" s="131" t="s">
        <v>1</v>
      </c>
      <c r="D18" s="131"/>
      <c r="F18" s="230">
        <f t="shared" ref="F18:M18" si="5">RBE</f>
        <v>9.4</v>
      </c>
      <c r="G18" s="230">
        <f t="shared" si="5"/>
        <v>9.4</v>
      </c>
      <c r="H18" s="230">
        <f t="shared" si="5"/>
        <v>12.7</v>
      </c>
      <c r="I18" s="230">
        <f t="shared" si="5"/>
        <v>12.7</v>
      </c>
      <c r="J18" s="230">
        <f t="shared" si="5"/>
        <v>12.7</v>
      </c>
      <c r="K18" s="230">
        <f t="shared" si="5"/>
        <v>12.7</v>
      </c>
      <c r="L18" s="230">
        <f t="shared" si="5"/>
        <v>12.7</v>
      </c>
      <c r="M18" s="230">
        <f t="shared" si="5"/>
        <v>12.7</v>
      </c>
      <c r="N18" s="393"/>
      <c r="O18" s="393"/>
      <c r="P18" s="343" t="s">
        <v>121</v>
      </c>
    </row>
    <row r="19" spans="1:16">
      <c r="A19" s="131" t="s">
        <v>128</v>
      </c>
      <c r="B19" s="131" t="s">
        <v>127</v>
      </c>
      <c r="C19" s="131" t="s">
        <v>118</v>
      </c>
      <c r="D19" s="131"/>
      <c r="F19" s="230">
        <f t="shared" ref="F19:M19" si="6">PVF</f>
        <v>1.04756</v>
      </c>
      <c r="G19" s="230">
        <f t="shared" si="6"/>
        <v>1.04525</v>
      </c>
      <c r="H19" s="230">
        <f t="shared" si="6"/>
        <v>1.0433250000000001</v>
      </c>
      <c r="I19" s="230">
        <f t="shared" si="6"/>
        <v>1.041345</v>
      </c>
      <c r="J19" s="230">
        <f t="shared" si="6"/>
        <v>1.0398050000000001</v>
      </c>
      <c r="K19" s="230">
        <f t="shared" si="6"/>
        <v>1.0378799999999999</v>
      </c>
      <c r="L19" s="230">
        <f t="shared" si="6"/>
        <v>1.0370550000000001</v>
      </c>
      <c r="M19" s="230">
        <f t="shared" si="6"/>
        <v>1.0356799999999999</v>
      </c>
      <c r="N19" s="393">
        <f>'R5 Input page'!N49</f>
        <v>1.04498</v>
      </c>
      <c r="O19" s="393">
        <f>'R5 Input page'!O49</f>
        <v>1.04558</v>
      </c>
      <c r="P19" s="343" t="s">
        <v>127</v>
      </c>
    </row>
    <row r="20" spans="1:16">
      <c r="A20" s="131" t="s">
        <v>62</v>
      </c>
      <c r="B20" s="131" t="s">
        <v>117</v>
      </c>
      <c r="C20" s="131" t="s">
        <v>118</v>
      </c>
      <c r="D20" s="131"/>
      <c r="F20" s="230">
        <f t="shared" ref="F20:M20" si="7">RPIF</f>
        <v>1.1630161697108456</v>
      </c>
      <c r="G20" s="230">
        <f t="shared" si="7"/>
        <v>1.2050819527256253</v>
      </c>
      <c r="H20" s="230">
        <f t="shared" si="7"/>
        <v>1.2266493019576674</v>
      </c>
      <c r="I20" s="230">
        <f t="shared" si="7"/>
        <v>1.2327329838381795</v>
      </c>
      <c r="J20" s="230">
        <f t="shared" si="7"/>
        <v>1.2709189417960116</v>
      </c>
      <c r="K20" s="230">
        <f t="shared" si="7"/>
        <v>1.3140238772935624</v>
      </c>
      <c r="L20" s="230">
        <f t="shared" si="7"/>
        <v>1.3585865587485577</v>
      </c>
      <c r="M20" s="230">
        <f t="shared" si="7"/>
        <v>1.3798357939884227</v>
      </c>
      <c r="N20" s="230">
        <f>'R6 Base revenue'!N30</f>
        <v>1.4027951630045372</v>
      </c>
      <c r="O20" s="230">
        <f>'R6 Base revenue'!O30</f>
        <v>1.4341579421476001</v>
      </c>
      <c r="P20" s="343" t="s">
        <v>438</v>
      </c>
    </row>
    <row r="21" spans="1:16">
      <c r="A21" s="131" t="s">
        <v>23</v>
      </c>
      <c r="B21" s="131" t="s">
        <v>341</v>
      </c>
      <c r="C21" s="131" t="s">
        <v>1</v>
      </c>
      <c r="D21" s="131"/>
      <c r="H21" s="229">
        <f>IFERROR(((F16/F17)-F18)*F19*G19*H20,0)</f>
        <v>-12.625464143664923</v>
      </c>
      <c r="I21" s="229">
        <f t="shared" ref="I21:N21" si="8">IFERROR(((G16/G17)-G18)*G19*H19*I20,0)</f>
        <v>-12.636786853465296</v>
      </c>
      <c r="J21" s="229">
        <f t="shared" si="8"/>
        <v>-17.536213470447461</v>
      </c>
      <c r="K21" s="229">
        <f t="shared" si="8"/>
        <v>-18.069807060749817</v>
      </c>
      <c r="L21" s="229">
        <f>IFERROR(((J16/J17)-J18)*J19*K19*L20,0)</f>
        <v>-18.620446002407657</v>
      </c>
      <c r="M21" s="229">
        <f t="shared" si="8"/>
        <v>-18.861666450026508</v>
      </c>
      <c r="N21" s="229">
        <f t="shared" si="8"/>
        <v>-19.134863128384811</v>
      </c>
      <c r="O21" s="229">
        <f>IFERROR(((M16/M17)-M18)*M19*N19*O20,0)</f>
        <v>-19.712162535692979</v>
      </c>
      <c r="P21" s="343" t="s">
        <v>341</v>
      </c>
    </row>
    <row r="22" spans="1:16" ht="14">
      <c r="A22" s="113"/>
      <c r="B22" s="113"/>
      <c r="C22" s="113"/>
      <c r="D22" s="131"/>
      <c r="F22" s="118"/>
      <c r="G22" s="141"/>
      <c r="H22" s="141"/>
      <c r="I22" s="118"/>
      <c r="J22" s="141"/>
      <c r="K22" s="141"/>
      <c r="L22" s="141"/>
      <c r="M22" s="141"/>
      <c r="N22" s="392"/>
    </row>
    <row r="23" spans="1:16" ht="15.5">
      <c r="A23" s="142"/>
      <c r="B23" s="131"/>
      <c r="C23" s="131"/>
      <c r="D23" s="131"/>
      <c r="G23" s="129"/>
      <c r="N23" s="392"/>
    </row>
    <row r="24" spans="1:16" ht="17.25" hidden="1" customHeight="1">
      <c r="A24" s="131"/>
      <c r="B24" s="131"/>
      <c r="C24" s="131"/>
      <c r="D24" s="131"/>
      <c r="E24" s="131"/>
      <c r="F24" s="131"/>
      <c r="G24" s="131"/>
      <c r="H24" s="131"/>
      <c r="I24" s="131"/>
      <c r="J24" s="131"/>
      <c r="K24" s="131"/>
      <c r="L24" s="131"/>
      <c r="M24" s="131"/>
      <c r="N24" s="331"/>
      <c r="O24" s="131"/>
    </row>
    <row r="25" spans="1:16" hidden="1">
      <c r="A25" s="131"/>
      <c r="B25" s="131"/>
      <c r="C25" s="131"/>
      <c r="D25" s="131"/>
      <c r="E25" s="131"/>
      <c r="F25" s="131"/>
      <c r="G25" s="131"/>
      <c r="H25" s="131"/>
      <c r="I25" s="131"/>
      <c r="J25" s="131"/>
      <c r="K25" s="131"/>
      <c r="L25" s="131"/>
      <c r="M25" s="131"/>
      <c r="N25" s="331"/>
      <c r="O25" s="131"/>
    </row>
    <row r="26" spans="1:16" hidden="1">
      <c r="A26" s="131"/>
      <c r="B26" s="131"/>
      <c r="C26" s="131"/>
      <c r="D26" s="131"/>
      <c r="E26" s="131"/>
      <c r="F26" s="131"/>
      <c r="G26" s="131"/>
      <c r="H26" s="131"/>
      <c r="I26" s="131"/>
      <c r="J26" s="131"/>
      <c r="K26" s="131"/>
      <c r="L26" s="131"/>
      <c r="M26" s="131"/>
      <c r="N26" s="331"/>
      <c r="O26" s="131"/>
    </row>
    <row r="27" spans="1:16" hidden="1">
      <c r="A27" s="131"/>
      <c r="B27" s="131"/>
      <c r="C27" s="131"/>
      <c r="D27" s="131"/>
      <c r="E27" s="131"/>
      <c r="F27" s="131"/>
      <c r="G27" s="131"/>
      <c r="H27" s="131"/>
      <c r="I27" s="131"/>
      <c r="J27" s="131"/>
      <c r="K27" s="131"/>
      <c r="L27" s="131"/>
      <c r="M27" s="131"/>
      <c r="N27" s="331"/>
      <c r="O27" s="131"/>
    </row>
    <row r="28" spans="1:16" hidden="1">
      <c r="A28" s="131"/>
      <c r="B28" s="131"/>
      <c r="C28" s="131"/>
      <c r="D28" s="131"/>
      <c r="E28" s="131"/>
      <c r="F28" s="131"/>
      <c r="G28" s="131"/>
      <c r="H28" s="131"/>
      <c r="I28" s="131"/>
      <c r="J28" s="131"/>
      <c r="K28" s="131"/>
      <c r="L28" s="131"/>
      <c r="M28" s="131"/>
      <c r="N28" s="331"/>
      <c r="O28" s="131"/>
    </row>
    <row r="29" spans="1:16" hidden="1">
      <c r="A29" s="131"/>
      <c r="B29" s="131"/>
      <c r="C29" s="131"/>
      <c r="D29" s="131"/>
      <c r="E29" s="131"/>
      <c r="F29" s="131"/>
      <c r="G29" s="131"/>
      <c r="H29" s="131"/>
      <c r="I29" s="131"/>
      <c r="J29" s="131"/>
      <c r="K29" s="131"/>
      <c r="L29" s="131"/>
      <c r="M29" s="131"/>
      <c r="N29" s="331"/>
      <c r="O29" s="131"/>
    </row>
    <row r="30" spans="1:16" hidden="1">
      <c r="A30" s="131"/>
      <c r="B30" s="131"/>
      <c r="C30" s="131"/>
      <c r="D30" s="131"/>
      <c r="E30" s="131"/>
      <c r="F30" s="131"/>
      <c r="G30" s="131"/>
      <c r="H30" s="131"/>
      <c r="I30" s="131"/>
      <c r="J30" s="131"/>
      <c r="K30" s="131"/>
      <c r="L30" s="131"/>
      <c r="M30" s="131"/>
      <c r="N30" s="331"/>
      <c r="O30" s="131"/>
    </row>
    <row r="31" spans="1:16" hidden="1">
      <c r="A31" s="131"/>
      <c r="B31" s="131"/>
      <c r="C31" s="131"/>
      <c r="D31" s="131"/>
      <c r="N31" s="332"/>
    </row>
    <row r="32" spans="1:16">
      <c r="A32" s="131"/>
      <c r="B32" s="131"/>
      <c r="C32" s="131"/>
      <c r="D32" s="131"/>
      <c r="N32" s="392"/>
    </row>
    <row r="33" spans="1:16" ht="15.5">
      <c r="A33" s="116" t="s">
        <v>129</v>
      </c>
      <c r="B33" s="131"/>
      <c r="C33" s="131"/>
      <c r="D33" s="131"/>
      <c r="G33" s="129"/>
      <c r="K33" s="118"/>
      <c r="N33" s="332"/>
    </row>
    <row r="34" spans="1:16">
      <c r="A34" s="144" t="s">
        <v>439</v>
      </c>
      <c r="B34" s="131"/>
      <c r="C34" s="131"/>
      <c r="D34" s="131"/>
      <c r="N34" s="332"/>
    </row>
    <row r="35" spans="1:16" ht="14.5">
      <c r="A35" s="131"/>
      <c r="B35" s="131"/>
      <c r="C35" s="131"/>
      <c r="D35" s="131"/>
      <c r="F35" s="112">
        <v>2014</v>
      </c>
      <c r="G35" s="112">
        <v>2015</v>
      </c>
      <c r="H35" s="112">
        <v>2016</v>
      </c>
      <c r="I35" s="112">
        <v>2017</v>
      </c>
      <c r="J35" s="112">
        <v>2018</v>
      </c>
      <c r="K35" s="112">
        <v>2019</v>
      </c>
      <c r="L35" s="112">
        <v>2020</v>
      </c>
      <c r="M35" s="112">
        <v>2021</v>
      </c>
      <c r="N35" s="406">
        <v>2022</v>
      </c>
      <c r="O35" s="406">
        <v>2023</v>
      </c>
      <c r="P35" s="332"/>
    </row>
    <row r="36" spans="1:16">
      <c r="A36" s="131" t="s">
        <v>132</v>
      </c>
      <c r="B36" s="131" t="s">
        <v>131</v>
      </c>
      <c r="C36" s="131" t="s">
        <v>1</v>
      </c>
      <c r="D36" s="131"/>
      <c r="F36" s="230">
        <f t="shared" ref="F36:M36" si="9">TPA</f>
        <v>0</v>
      </c>
      <c r="G36" s="230">
        <f t="shared" si="9"/>
        <v>0</v>
      </c>
      <c r="H36" s="230">
        <f t="shared" si="9"/>
        <v>0</v>
      </c>
      <c r="I36" s="230">
        <f t="shared" si="9"/>
        <v>0</v>
      </c>
      <c r="J36" s="230">
        <f t="shared" si="9"/>
        <v>0</v>
      </c>
      <c r="K36" s="230">
        <f t="shared" si="9"/>
        <v>0</v>
      </c>
      <c r="L36" s="230">
        <f t="shared" si="9"/>
        <v>0</v>
      </c>
      <c r="M36" s="230">
        <f t="shared" si="9"/>
        <v>0</v>
      </c>
      <c r="N36" s="230"/>
      <c r="O36" s="230"/>
      <c r="P36" s="343" t="s">
        <v>131</v>
      </c>
    </row>
    <row r="37" spans="1:16">
      <c r="A37" s="131" t="s">
        <v>124</v>
      </c>
      <c r="B37" s="131" t="s">
        <v>123</v>
      </c>
      <c r="C37" s="131" t="s">
        <v>504</v>
      </c>
      <c r="D37" s="131"/>
      <c r="F37" s="230">
        <f t="shared" ref="F37:M37" si="10">RPIA</f>
        <v>1.1666890673736021</v>
      </c>
      <c r="G37" s="230">
        <f t="shared" si="10"/>
        <v>1.1895563269638081</v>
      </c>
      <c r="H37" s="230">
        <f t="shared" si="10"/>
        <v>1.2023757108362261</v>
      </c>
      <c r="I37" s="230">
        <f t="shared" si="10"/>
        <v>1.2281396135646323</v>
      </c>
      <c r="J37" s="230">
        <f t="shared" si="10"/>
        <v>1.2740965949380583</v>
      </c>
      <c r="K37" s="230">
        <f t="shared" si="10"/>
        <v>1.3130274787154661</v>
      </c>
      <c r="L37" s="230">
        <f t="shared" si="10"/>
        <v>1.3470178479563604</v>
      </c>
      <c r="M37" s="230">
        <f t="shared" si="10"/>
        <v>1.3633924218822251</v>
      </c>
      <c r="N37" s="230">
        <f>N17</f>
        <v>1.3826022242047395</v>
      </c>
      <c r="O37" s="230">
        <f>O17</f>
        <v>1.4083624000314041</v>
      </c>
      <c r="P37" s="343" t="s">
        <v>123</v>
      </c>
    </row>
    <row r="38" spans="1:16">
      <c r="A38" s="131" t="s">
        <v>128</v>
      </c>
      <c r="B38" s="131" t="s">
        <v>127</v>
      </c>
      <c r="C38" s="131" t="s">
        <v>118</v>
      </c>
      <c r="D38" s="131"/>
      <c r="F38" s="230">
        <f t="shared" ref="F38:M38" si="11">PVF</f>
        <v>1.04756</v>
      </c>
      <c r="G38" s="230">
        <f t="shared" si="11"/>
        <v>1.04525</v>
      </c>
      <c r="H38" s="230">
        <f t="shared" si="11"/>
        <v>1.0433250000000001</v>
      </c>
      <c r="I38" s="230">
        <f t="shared" si="11"/>
        <v>1.041345</v>
      </c>
      <c r="J38" s="230">
        <f t="shared" si="11"/>
        <v>1.0398050000000001</v>
      </c>
      <c r="K38" s="230">
        <f t="shared" si="11"/>
        <v>1.0378799999999999</v>
      </c>
      <c r="L38" s="230">
        <f t="shared" si="11"/>
        <v>1.0370550000000001</v>
      </c>
      <c r="M38" s="230">
        <f t="shared" si="11"/>
        <v>1.0356799999999999</v>
      </c>
      <c r="N38" s="230">
        <f>N19</f>
        <v>1.04498</v>
      </c>
      <c r="O38" s="230">
        <f>O19</f>
        <v>1.04558</v>
      </c>
      <c r="P38" s="343" t="s">
        <v>127</v>
      </c>
    </row>
    <row r="39" spans="1:16">
      <c r="A39" s="131" t="s">
        <v>62</v>
      </c>
      <c r="B39" s="131" t="s">
        <v>117</v>
      </c>
      <c r="C39" s="131" t="s">
        <v>118</v>
      </c>
      <c r="D39" s="131"/>
      <c r="F39" s="230">
        <f t="shared" ref="F39:M39" si="12">RPIF</f>
        <v>1.1630161697108456</v>
      </c>
      <c r="G39" s="294">
        <f t="shared" si="12"/>
        <v>1.2050819527256253</v>
      </c>
      <c r="H39" s="230">
        <f t="shared" si="12"/>
        <v>1.2266493019576674</v>
      </c>
      <c r="I39" s="230">
        <f t="shared" si="12"/>
        <v>1.2327329838381795</v>
      </c>
      <c r="J39" s="230">
        <f t="shared" si="12"/>
        <v>1.2709189417960116</v>
      </c>
      <c r="K39" s="230">
        <f t="shared" si="12"/>
        <v>1.3140238772935624</v>
      </c>
      <c r="L39" s="230">
        <f t="shared" si="12"/>
        <v>1.3585865587485577</v>
      </c>
      <c r="M39" s="230">
        <f t="shared" si="12"/>
        <v>1.3798357939884227</v>
      </c>
      <c r="N39" s="230">
        <f>N20</f>
        <v>1.4027951630045372</v>
      </c>
      <c r="O39" s="230">
        <f>O20</f>
        <v>1.4341579421476001</v>
      </c>
      <c r="P39" s="343" t="s">
        <v>117</v>
      </c>
    </row>
    <row r="40" spans="1:16">
      <c r="A40" s="131" t="s">
        <v>24</v>
      </c>
      <c r="B40" s="131" t="s">
        <v>130</v>
      </c>
      <c r="C40" s="131" t="s">
        <v>1</v>
      </c>
      <c r="D40" s="131"/>
      <c r="G40" s="295"/>
      <c r="H40" s="293">
        <f>IFERROR(((F36/F37))*F38*G38*H39,0)</f>
        <v>0</v>
      </c>
      <c r="I40" s="229">
        <f t="shared" ref="I40:M40" si="13">IFERROR(((G36/G37))*G38*H38*I39,0)</f>
        <v>0</v>
      </c>
      <c r="J40" s="229">
        <f t="shared" si="13"/>
        <v>0</v>
      </c>
      <c r="K40" s="229">
        <f t="shared" si="13"/>
        <v>0</v>
      </c>
      <c r="L40" s="229">
        <f t="shared" si="13"/>
        <v>0</v>
      </c>
      <c r="M40" s="229">
        <f t="shared" si="13"/>
        <v>0</v>
      </c>
      <c r="N40" s="229">
        <f t="shared" ref="N40" si="14">IFERROR(((L36/L37))*L38*M38*N39,0)</f>
        <v>0</v>
      </c>
      <c r="O40" s="229">
        <f t="shared" ref="O40" si="15">IFERROR(((M36/M37))*M38*N38*O39,0)</f>
        <v>0</v>
      </c>
      <c r="P40" s="343" t="s">
        <v>130</v>
      </c>
    </row>
    <row r="41" spans="1:16" ht="14">
      <c r="A41" s="131"/>
      <c r="B41" s="131"/>
      <c r="C41" s="131"/>
      <c r="D41" s="131"/>
      <c r="F41" s="118"/>
      <c r="G41" s="141"/>
      <c r="H41" s="141"/>
      <c r="I41" s="118"/>
      <c r="J41" s="113"/>
      <c r="K41" s="113"/>
      <c r="L41" s="113"/>
      <c r="M41" s="113"/>
      <c r="N41" s="113"/>
      <c r="O41" s="113"/>
      <c r="P41" s="343"/>
    </row>
    <row r="42" spans="1:16" ht="14">
      <c r="A42" s="113"/>
      <c r="B42" s="113"/>
      <c r="C42" s="113"/>
      <c r="D42" s="131"/>
      <c r="F42" s="141"/>
      <c r="G42" s="141"/>
      <c r="H42" s="141"/>
      <c r="I42" s="141"/>
      <c r="J42" s="141"/>
      <c r="K42" s="141"/>
      <c r="L42" s="141"/>
      <c r="M42" s="141"/>
      <c r="N42" s="332"/>
    </row>
    <row r="43" spans="1:16" ht="14">
      <c r="A43" s="142"/>
      <c r="B43" s="131"/>
      <c r="C43" s="131"/>
      <c r="D43" s="131"/>
      <c r="E43" s="131"/>
      <c r="F43" s="131"/>
      <c r="G43" s="131"/>
      <c r="H43" s="131"/>
      <c r="I43" s="131"/>
      <c r="J43" s="131"/>
      <c r="K43" s="131"/>
      <c r="L43" s="131"/>
      <c r="M43" s="131"/>
      <c r="N43" s="331"/>
      <c r="O43" s="131"/>
    </row>
    <row r="44" spans="1:16">
      <c r="A44" s="131"/>
      <c r="B44" s="131"/>
      <c r="C44" s="131"/>
      <c r="D44" s="131"/>
      <c r="E44" s="131"/>
      <c r="F44" s="131"/>
      <c r="G44" s="131"/>
      <c r="H44" s="131"/>
      <c r="I44" s="131"/>
      <c r="J44" s="131"/>
      <c r="K44" s="131"/>
      <c r="L44" s="131"/>
      <c r="M44" s="131"/>
      <c r="N44" s="331"/>
      <c r="O44" s="131"/>
    </row>
    <row r="45" spans="1:16">
      <c r="A45" s="131"/>
      <c r="B45" s="131"/>
      <c r="C45" s="131"/>
      <c r="D45" s="131"/>
      <c r="E45" s="131"/>
      <c r="F45" s="131"/>
      <c r="G45" s="131"/>
      <c r="H45" s="131"/>
      <c r="I45" s="131"/>
      <c r="J45" s="131"/>
      <c r="K45" s="131"/>
      <c r="L45" s="131"/>
      <c r="M45" s="131"/>
      <c r="N45" s="331"/>
      <c r="O45" s="131"/>
    </row>
    <row r="46" spans="1:16">
      <c r="A46" s="131"/>
      <c r="B46" s="131"/>
      <c r="C46" s="131"/>
      <c r="D46" s="131"/>
      <c r="E46" s="131"/>
      <c r="F46" s="131"/>
      <c r="G46" s="131"/>
      <c r="H46" s="131"/>
      <c r="I46" s="131"/>
      <c r="J46" s="131"/>
      <c r="K46" s="131"/>
      <c r="L46" s="131"/>
      <c r="M46" s="131"/>
      <c r="N46" s="331"/>
      <c r="O46" s="131"/>
    </row>
    <row r="47" spans="1:16">
      <c r="A47" s="131"/>
      <c r="B47" s="131"/>
      <c r="C47" s="131"/>
      <c r="D47" s="131"/>
      <c r="E47" s="131"/>
      <c r="F47" s="131"/>
      <c r="G47" s="131"/>
      <c r="H47" s="131"/>
      <c r="I47" s="131"/>
      <c r="J47" s="131"/>
      <c r="K47" s="131"/>
      <c r="L47" s="131"/>
      <c r="M47" s="131"/>
      <c r="N47" s="331"/>
      <c r="O47" s="131"/>
    </row>
    <row r="48" spans="1:16">
      <c r="A48" s="131"/>
      <c r="B48" s="131"/>
      <c r="C48" s="131"/>
      <c r="D48" s="131"/>
      <c r="E48" s="131"/>
      <c r="F48" s="131"/>
      <c r="G48" s="131"/>
      <c r="H48" s="131"/>
      <c r="I48" s="131"/>
      <c r="J48" s="131"/>
      <c r="K48" s="131"/>
      <c r="L48" s="131"/>
      <c r="M48" s="131"/>
      <c r="N48" s="331"/>
      <c r="O48" s="131"/>
    </row>
    <row r="49" spans="1:15">
      <c r="A49" s="131"/>
      <c r="B49" s="131"/>
      <c r="C49" s="131"/>
      <c r="D49" s="131"/>
      <c r="E49" s="131"/>
      <c r="F49" s="131"/>
      <c r="G49" s="131"/>
      <c r="H49" s="131"/>
      <c r="I49" s="131"/>
      <c r="J49" s="131"/>
      <c r="K49" s="131"/>
      <c r="L49" s="131"/>
      <c r="M49" s="131"/>
      <c r="N49" s="331"/>
      <c r="O49" s="131"/>
    </row>
    <row r="50" spans="1:15">
      <c r="A50" s="131"/>
      <c r="B50" s="131"/>
      <c r="C50" s="131"/>
      <c r="D50" s="131"/>
      <c r="E50" s="131"/>
      <c r="F50" s="131"/>
      <c r="G50" s="131"/>
      <c r="H50" s="131"/>
      <c r="I50" s="131"/>
      <c r="J50" s="131"/>
      <c r="K50" s="131"/>
      <c r="L50" s="131"/>
      <c r="M50" s="131"/>
      <c r="N50" s="331"/>
      <c r="O50" s="131"/>
    </row>
    <row r="51" spans="1:15">
      <c r="A51" s="131"/>
      <c r="B51" s="131"/>
      <c r="C51" s="131"/>
      <c r="D51" s="131"/>
      <c r="E51" s="131"/>
      <c r="F51" s="131"/>
      <c r="G51" s="131"/>
      <c r="H51" s="131"/>
      <c r="I51" s="131"/>
      <c r="J51" s="131"/>
      <c r="K51" s="131"/>
      <c r="L51" s="131"/>
      <c r="M51" s="131"/>
      <c r="N51" s="331"/>
      <c r="O51" s="131"/>
    </row>
    <row r="52" spans="1:15">
      <c r="D52" s="131"/>
      <c r="N52" s="332"/>
    </row>
    <row r="53" spans="1:15">
      <c r="D53" s="131"/>
      <c r="N53" s="332"/>
    </row>
    <row r="54" spans="1:15">
      <c r="D54" s="131"/>
      <c r="N54" s="332"/>
    </row>
    <row r="55" spans="1:15">
      <c r="D55" s="131"/>
      <c r="N55" s="332"/>
    </row>
    <row r="56" spans="1:15">
      <c r="D56" s="131"/>
      <c r="N56" s="332"/>
    </row>
    <row r="57" spans="1:15">
      <c r="D57" s="131"/>
      <c r="N57" s="332"/>
    </row>
    <row r="58" spans="1:15">
      <c r="D58" s="131"/>
      <c r="N58" s="332"/>
    </row>
    <row r="59" spans="1:15">
      <c r="D59" s="131"/>
      <c r="N59" s="332"/>
    </row>
    <row r="60" spans="1:15">
      <c r="N60" s="332"/>
    </row>
    <row r="61" spans="1:15">
      <c r="N61" s="332"/>
    </row>
    <row r="62" spans="1:15">
      <c r="N62" s="332"/>
    </row>
    <row r="63" spans="1:15">
      <c r="N63" s="332"/>
    </row>
    <row r="64" spans="1:15">
      <c r="N64" s="332"/>
    </row>
    <row r="65" spans="14:14">
      <c r="N65" s="332"/>
    </row>
    <row r="66" spans="14:14">
      <c r="N66" s="332"/>
    </row>
    <row r="67" spans="14:14">
      <c r="N67" s="332"/>
    </row>
    <row r="68" spans="14:14">
      <c r="N68" s="332"/>
    </row>
    <row r="69" spans="14:14">
      <c r="N69" s="332"/>
    </row>
    <row r="70" spans="14:14">
      <c r="N70" s="332"/>
    </row>
    <row r="71" spans="14:14">
      <c r="N71" s="332"/>
    </row>
    <row r="72" spans="14:14">
      <c r="N72" s="332"/>
    </row>
    <row r="73" spans="14:14">
      <c r="N73" s="332"/>
    </row>
    <row r="74" spans="14:14">
      <c r="N74" s="332"/>
    </row>
    <row r="75" spans="14:14">
      <c r="N75" s="332"/>
    </row>
    <row r="76" spans="14:14">
      <c r="N76" s="332"/>
    </row>
    <row r="77" spans="14:14">
      <c r="N77" s="332"/>
    </row>
    <row r="78" spans="14:14">
      <c r="N78" s="332"/>
    </row>
    <row r="79" spans="14:14">
      <c r="N79" s="332"/>
    </row>
    <row r="80" spans="14:14">
      <c r="N80" s="332"/>
    </row>
    <row r="81" spans="14:14">
      <c r="N81" s="332"/>
    </row>
    <row r="82" spans="14:14">
      <c r="N82" s="332"/>
    </row>
    <row r="83" spans="14:14">
      <c r="N83" s="332"/>
    </row>
    <row r="84" spans="14:14">
      <c r="N84" s="332"/>
    </row>
    <row r="85" spans="14:14">
      <c r="N85" s="332"/>
    </row>
    <row r="86" spans="14:14">
      <c r="N86" s="332"/>
    </row>
    <row r="87" spans="14:14">
      <c r="N87" s="332"/>
    </row>
    <row r="88" spans="14:14">
      <c r="N88" s="332"/>
    </row>
    <row r="89" spans="14:14">
      <c r="N89" s="332"/>
    </row>
    <row r="90" spans="14:14">
      <c r="N90" s="332"/>
    </row>
    <row r="91" spans="14:14">
      <c r="N91" s="332"/>
    </row>
    <row r="92" spans="14:14">
      <c r="N92" s="332"/>
    </row>
    <row r="93" spans="14:14">
      <c r="N93" s="332"/>
    </row>
    <row r="94" spans="14:14">
      <c r="N94" s="332"/>
    </row>
    <row r="95" spans="14:14">
      <c r="N95" s="332"/>
    </row>
    <row r="96" spans="14:14">
      <c r="N96" s="332"/>
    </row>
    <row r="97" spans="14:14">
      <c r="N97" s="332"/>
    </row>
    <row r="98" spans="14:14">
      <c r="N98" s="332"/>
    </row>
    <row r="99" spans="14:14">
      <c r="N99" s="332"/>
    </row>
    <row r="100" spans="14:14">
      <c r="N100" s="332"/>
    </row>
    <row r="101" spans="14:14">
      <c r="N101" s="332"/>
    </row>
    <row r="102" spans="14:14">
      <c r="N102" s="332"/>
    </row>
    <row r="103" spans="14:14">
      <c r="N103" s="332"/>
    </row>
    <row r="104" spans="14:14">
      <c r="N104" s="332"/>
    </row>
    <row r="105" spans="14:14">
      <c r="N105" s="332"/>
    </row>
    <row r="106" spans="14:14">
      <c r="N106" s="332"/>
    </row>
    <row r="107" spans="14:14">
      <c r="N107" s="332"/>
    </row>
    <row r="108" spans="14:14">
      <c r="N108" s="332"/>
    </row>
    <row r="109" spans="14:14">
      <c r="N109" s="332"/>
    </row>
    <row r="110" spans="14:14">
      <c r="N110" s="332"/>
    </row>
    <row r="111" spans="14:14">
      <c r="N111" s="332"/>
    </row>
    <row r="112" spans="14:14">
      <c r="N112" s="332"/>
    </row>
    <row r="113" spans="14:14">
      <c r="N113" s="332"/>
    </row>
    <row r="114" spans="14:14">
      <c r="N114" s="332"/>
    </row>
    <row r="115" spans="14:14">
      <c r="N115" s="332"/>
    </row>
    <row r="116" spans="14:14">
      <c r="N116" s="332"/>
    </row>
    <row r="117" spans="14:14">
      <c r="N117" s="332"/>
    </row>
    <row r="118" spans="14:14">
      <c r="N118" s="332"/>
    </row>
    <row r="119" spans="14:14">
      <c r="N119" s="332"/>
    </row>
    <row r="120" spans="14:14">
      <c r="N120" s="332"/>
    </row>
    <row r="121" spans="14:14">
      <c r="N121" s="332"/>
    </row>
    <row r="122" spans="14:14">
      <c r="N122" s="332"/>
    </row>
    <row r="123" spans="14:14">
      <c r="N123" s="332"/>
    </row>
    <row r="124" spans="14:14">
      <c r="N124" s="332"/>
    </row>
    <row r="125" spans="14:14">
      <c r="N125" s="332"/>
    </row>
    <row r="126" spans="14:14">
      <c r="N126" s="332"/>
    </row>
    <row r="127" spans="14:14">
      <c r="N127" s="332"/>
    </row>
    <row r="128" spans="14:14">
      <c r="N128" s="332"/>
    </row>
    <row r="129" spans="14:14">
      <c r="N129" s="332"/>
    </row>
    <row r="130" spans="14:14">
      <c r="N130" s="332"/>
    </row>
    <row r="131" spans="14:14">
      <c r="N131" s="332"/>
    </row>
    <row r="132" spans="14:14">
      <c r="N132" s="332"/>
    </row>
    <row r="133" spans="14:14">
      <c r="N133" s="332"/>
    </row>
    <row r="134" spans="14:14">
      <c r="N134" s="332"/>
    </row>
    <row r="135" spans="14:14">
      <c r="N135" s="332"/>
    </row>
    <row r="136" spans="14:14">
      <c r="N136" s="332"/>
    </row>
    <row r="137" spans="14:14">
      <c r="N137" s="332"/>
    </row>
    <row r="138" spans="14:14">
      <c r="N138" s="332"/>
    </row>
    <row r="139" spans="14:14">
      <c r="N139" s="332"/>
    </row>
    <row r="140" spans="14:14">
      <c r="N140" s="332"/>
    </row>
    <row r="141" spans="14:14">
      <c r="N141" s="332"/>
    </row>
    <row r="142" spans="14:14">
      <c r="N142" s="332"/>
    </row>
    <row r="143" spans="14:14">
      <c r="N143" s="332"/>
    </row>
    <row r="144" spans="14:14">
      <c r="N144" s="332"/>
    </row>
    <row r="145" spans="14:14">
      <c r="N145" s="332"/>
    </row>
    <row r="146" spans="14:14">
      <c r="N146" s="332"/>
    </row>
    <row r="147" spans="14:14">
      <c r="N147" s="332"/>
    </row>
    <row r="148" spans="14:14">
      <c r="N148" s="332"/>
    </row>
    <row r="149" spans="14:14">
      <c r="N149" s="332"/>
    </row>
    <row r="150" spans="14:14">
      <c r="N150" s="332"/>
    </row>
    <row r="151" spans="14:14">
      <c r="N151" s="332"/>
    </row>
    <row r="152" spans="14:14">
      <c r="N152" s="332"/>
    </row>
    <row r="153" spans="14:14">
      <c r="N153" s="332"/>
    </row>
    <row r="154" spans="14:14">
      <c r="N154" s="332"/>
    </row>
    <row r="155" spans="14:14">
      <c r="N155" s="332"/>
    </row>
    <row r="156" spans="14:14">
      <c r="N156" s="332"/>
    </row>
    <row r="157" spans="14:14">
      <c r="N157" s="332"/>
    </row>
    <row r="158" spans="14:14">
      <c r="N158" s="332"/>
    </row>
    <row r="159" spans="14:14">
      <c r="N159" s="332"/>
    </row>
    <row r="160" spans="14:14">
      <c r="N160" s="332"/>
    </row>
    <row r="161" spans="14:14">
      <c r="N161" s="332"/>
    </row>
    <row r="162" spans="14:14">
      <c r="N162" s="332"/>
    </row>
    <row r="163" spans="14:14">
      <c r="N163" s="332"/>
    </row>
    <row r="164" spans="14:14">
      <c r="N164" s="332"/>
    </row>
    <row r="165" spans="14:14">
      <c r="N165" s="332"/>
    </row>
    <row r="166" spans="14:14">
      <c r="N166" s="332"/>
    </row>
    <row r="167" spans="14:14">
      <c r="N167" s="332"/>
    </row>
    <row r="168" spans="14:14">
      <c r="N168" s="332"/>
    </row>
    <row r="169" spans="14:14">
      <c r="N169" s="332"/>
    </row>
    <row r="170" spans="14:14">
      <c r="N170" s="332"/>
    </row>
    <row r="171" spans="14:14">
      <c r="N171" s="332"/>
    </row>
    <row r="172" spans="14:14">
      <c r="N172" s="332"/>
    </row>
    <row r="173" spans="14:14">
      <c r="N173" s="332"/>
    </row>
    <row r="174" spans="14:14">
      <c r="N174" s="332"/>
    </row>
    <row r="175" spans="14:14">
      <c r="N175" s="332"/>
    </row>
    <row r="176" spans="14:14">
      <c r="N176" s="332"/>
    </row>
    <row r="177" spans="14:14">
      <c r="N177" s="332"/>
    </row>
    <row r="178" spans="14:14">
      <c r="N178" s="332"/>
    </row>
    <row r="179" spans="14:14">
      <c r="N179" s="332"/>
    </row>
    <row r="180" spans="14:14">
      <c r="N180" s="332"/>
    </row>
    <row r="181" spans="14:14">
      <c r="N181" s="332"/>
    </row>
    <row r="182" spans="14:14">
      <c r="N182" s="332"/>
    </row>
    <row r="183" spans="14:14">
      <c r="N183" s="332"/>
    </row>
    <row r="184" spans="14:14">
      <c r="N184" s="332"/>
    </row>
    <row r="185" spans="14:14">
      <c r="N185" s="332"/>
    </row>
    <row r="186" spans="14:14">
      <c r="N186" s="332"/>
    </row>
    <row r="187" spans="14:14">
      <c r="N187" s="332"/>
    </row>
    <row r="188" spans="14:14">
      <c r="N188" s="332"/>
    </row>
    <row r="189" spans="14:14">
      <c r="N189" s="332"/>
    </row>
    <row r="190" spans="14:14">
      <c r="N190" s="332"/>
    </row>
    <row r="191" spans="14:14">
      <c r="N191" s="332"/>
    </row>
    <row r="192" spans="14:14">
      <c r="N192" s="332"/>
    </row>
    <row r="193" spans="14:14">
      <c r="N193" s="332"/>
    </row>
    <row r="194" spans="14:14">
      <c r="N194" s="332"/>
    </row>
    <row r="195" spans="14:14">
      <c r="N195" s="332"/>
    </row>
    <row r="196" spans="14:14">
      <c r="N196" s="332"/>
    </row>
    <row r="197" spans="14:14">
      <c r="N197" s="332"/>
    </row>
    <row r="198" spans="14:14">
      <c r="N198" s="332"/>
    </row>
    <row r="199" spans="14:14">
      <c r="N199" s="332"/>
    </row>
    <row r="200" spans="14:14">
      <c r="N200" s="332"/>
    </row>
    <row r="201" spans="14:14">
      <c r="N201" s="332"/>
    </row>
    <row r="202" spans="14:14">
      <c r="N202" s="332"/>
    </row>
    <row r="203" spans="14:14">
      <c r="N203" s="332"/>
    </row>
    <row r="204" spans="14:14">
      <c r="N204" s="332"/>
    </row>
    <row r="205" spans="14:14">
      <c r="N205" s="332"/>
    </row>
    <row r="206" spans="14:14">
      <c r="N206" s="332"/>
    </row>
    <row r="207" spans="14:14">
      <c r="N207" s="332"/>
    </row>
    <row r="208" spans="14:14">
      <c r="N208" s="332"/>
    </row>
    <row r="209" spans="14:14">
      <c r="N209" s="332"/>
    </row>
    <row r="210" spans="14:14">
      <c r="N210" s="332"/>
    </row>
    <row r="211" spans="14:14">
      <c r="N211" s="332"/>
    </row>
    <row r="212" spans="14:14">
      <c r="N212" s="332"/>
    </row>
    <row r="213" spans="14:14">
      <c r="N213" s="332"/>
    </row>
    <row r="214" spans="14:14">
      <c r="N214" s="332"/>
    </row>
    <row r="215" spans="14:14">
      <c r="N215" s="332"/>
    </row>
    <row r="216" spans="14:14">
      <c r="N216" s="332"/>
    </row>
    <row r="217" spans="14:14">
      <c r="N217" s="332"/>
    </row>
    <row r="218" spans="14:14">
      <c r="N218" s="332"/>
    </row>
    <row r="219" spans="14:14">
      <c r="N219" s="332"/>
    </row>
    <row r="220" spans="14:14">
      <c r="N220" s="332"/>
    </row>
    <row r="221" spans="14:14">
      <c r="N221" s="332"/>
    </row>
    <row r="222" spans="14:14">
      <c r="N222" s="332"/>
    </row>
    <row r="223" spans="14:14">
      <c r="N223" s="332"/>
    </row>
    <row r="224" spans="14:14">
      <c r="N224" s="332"/>
    </row>
    <row r="225" spans="14:14">
      <c r="N225" s="332"/>
    </row>
    <row r="226" spans="14:14">
      <c r="N226" s="332"/>
    </row>
    <row r="227" spans="14:14">
      <c r="N227" s="332"/>
    </row>
    <row r="228" spans="14:14">
      <c r="N228" s="332"/>
    </row>
    <row r="229" spans="14:14">
      <c r="N229" s="332"/>
    </row>
    <row r="230" spans="14:14">
      <c r="N230" s="332"/>
    </row>
    <row r="231" spans="14:14">
      <c r="N231" s="332"/>
    </row>
    <row r="232" spans="14:14">
      <c r="N232" s="332"/>
    </row>
    <row r="233" spans="14:14">
      <c r="N233" s="332"/>
    </row>
    <row r="234" spans="14:14">
      <c r="N234" s="332"/>
    </row>
    <row r="235" spans="14:14">
      <c r="N235" s="332"/>
    </row>
    <row r="236" spans="14:14">
      <c r="N236" s="332"/>
    </row>
    <row r="237" spans="14:14">
      <c r="N237" s="332"/>
    </row>
    <row r="238" spans="14:14">
      <c r="N238" s="332"/>
    </row>
    <row r="239" spans="14:14">
      <c r="N239" s="332"/>
    </row>
    <row r="240" spans="14:14">
      <c r="N240" s="332"/>
    </row>
    <row r="241" spans="14:14">
      <c r="N241" s="332"/>
    </row>
    <row r="242" spans="14:14">
      <c r="N242" s="332"/>
    </row>
    <row r="243" spans="14:14">
      <c r="N243" s="332"/>
    </row>
    <row r="244" spans="14:14">
      <c r="N244" s="332"/>
    </row>
    <row r="245" spans="14:14">
      <c r="N245" s="332"/>
    </row>
    <row r="246" spans="14:14">
      <c r="N246" s="332"/>
    </row>
    <row r="247" spans="14:14">
      <c r="N247" s="332"/>
    </row>
    <row r="248" spans="14:14">
      <c r="N248" s="332"/>
    </row>
    <row r="249" spans="14:14">
      <c r="N249" s="332"/>
    </row>
    <row r="250" spans="14:14">
      <c r="N250" s="332"/>
    </row>
    <row r="251" spans="14:14">
      <c r="N251" s="332"/>
    </row>
    <row r="252" spans="14:14">
      <c r="N252" s="332"/>
    </row>
    <row r="253" spans="14:14">
      <c r="N253" s="332"/>
    </row>
    <row r="254" spans="14:14">
      <c r="N254" s="332"/>
    </row>
    <row r="255" spans="14:14">
      <c r="N255" s="332"/>
    </row>
    <row r="256" spans="14:14">
      <c r="N256" s="332"/>
    </row>
    <row r="257" spans="14:14">
      <c r="N257" s="332"/>
    </row>
    <row r="258" spans="14:14">
      <c r="N258" s="332"/>
    </row>
    <row r="259" spans="14:14">
      <c r="N259" s="332"/>
    </row>
    <row r="260" spans="14:14">
      <c r="N260" s="332"/>
    </row>
    <row r="261" spans="14:14">
      <c r="N261" s="332"/>
    </row>
    <row r="262" spans="14:14">
      <c r="N262" s="332"/>
    </row>
    <row r="263" spans="14:14">
      <c r="N263" s="332"/>
    </row>
    <row r="264" spans="14:14">
      <c r="N264" s="332"/>
    </row>
    <row r="265" spans="14:14">
      <c r="N265" s="332"/>
    </row>
    <row r="266" spans="14:14">
      <c r="N266" s="332"/>
    </row>
    <row r="267" spans="14:14">
      <c r="N267" s="332"/>
    </row>
    <row r="268" spans="14:14">
      <c r="N268" s="332"/>
    </row>
    <row r="269" spans="14:14">
      <c r="N269" s="332"/>
    </row>
    <row r="270" spans="14:14">
      <c r="N270" s="332"/>
    </row>
    <row r="271" spans="14:14">
      <c r="N271" s="332"/>
    </row>
    <row r="272" spans="14:14">
      <c r="N272" s="332"/>
    </row>
    <row r="273" spans="14:14">
      <c r="N273" s="332"/>
    </row>
    <row r="274" spans="14:14">
      <c r="N274" s="332"/>
    </row>
    <row r="275" spans="14:14">
      <c r="N275" s="332"/>
    </row>
    <row r="276" spans="14:14">
      <c r="N276" s="332"/>
    </row>
    <row r="277" spans="14:14">
      <c r="N277" s="332"/>
    </row>
    <row r="278" spans="14:14">
      <c r="N278" s="332"/>
    </row>
    <row r="279" spans="14:14">
      <c r="N279" s="332"/>
    </row>
    <row r="280" spans="14:14">
      <c r="N280" s="332"/>
    </row>
    <row r="281" spans="14:14">
      <c r="N281" s="332"/>
    </row>
    <row r="282" spans="14:14">
      <c r="N282" s="332"/>
    </row>
    <row r="283" spans="14:14">
      <c r="N283" s="332"/>
    </row>
    <row r="284" spans="14:14">
      <c r="N284" s="332"/>
    </row>
    <row r="285" spans="14:14">
      <c r="N285" s="332"/>
    </row>
    <row r="286" spans="14:14">
      <c r="N286" s="332"/>
    </row>
    <row r="287" spans="14:14">
      <c r="N287" s="332"/>
    </row>
    <row r="288" spans="14:14">
      <c r="N288" s="332"/>
    </row>
    <row r="289" spans="14:14">
      <c r="N289" s="332"/>
    </row>
    <row r="290" spans="14:14">
      <c r="N290" s="332"/>
    </row>
    <row r="291" spans="14:14">
      <c r="N291" s="332"/>
    </row>
    <row r="292" spans="14:14">
      <c r="N292" s="332"/>
    </row>
    <row r="293" spans="14:14">
      <c r="N293" s="332"/>
    </row>
    <row r="294" spans="14:14">
      <c r="N294" s="332"/>
    </row>
    <row r="295" spans="14:14">
      <c r="N295" s="332"/>
    </row>
    <row r="296" spans="14:14">
      <c r="N296" s="332"/>
    </row>
    <row r="297" spans="14:14">
      <c r="N297" s="332"/>
    </row>
    <row r="298" spans="14:14">
      <c r="N298" s="332"/>
    </row>
    <row r="299" spans="14:14">
      <c r="N299" s="332"/>
    </row>
    <row r="300" spans="14:14">
      <c r="N300" s="332"/>
    </row>
    <row r="301" spans="14:14">
      <c r="N301" s="332"/>
    </row>
    <row r="302" spans="14:14">
      <c r="N302" s="332"/>
    </row>
    <row r="303" spans="14:14">
      <c r="N303" s="332"/>
    </row>
    <row r="304" spans="14:14">
      <c r="N304" s="332"/>
    </row>
    <row r="305" spans="14:14">
      <c r="N305" s="332"/>
    </row>
    <row r="306" spans="14:14">
      <c r="N306" s="332"/>
    </row>
    <row r="307" spans="14:14">
      <c r="N307" s="332"/>
    </row>
    <row r="308" spans="14:14">
      <c r="N308" s="332"/>
    </row>
    <row r="309" spans="14:14">
      <c r="N309" s="332"/>
    </row>
    <row r="310" spans="14:14">
      <c r="N310" s="332"/>
    </row>
    <row r="311" spans="14:14">
      <c r="N311" s="332"/>
    </row>
    <row r="312" spans="14:14">
      <c r="N312" s="332"/>
    </row>
    <row r="313" spans="14:14">
      <c r="N313" s="332"/>
    </row>
    <row r="314" spans="14:14">
      <c r="N314" s="332"/>
    </row>
    <row r="315" spans="14:14">
      <c r="N315" s="332"/>
    </row>
    <row r="316" spans="14:14">
      <c r="N316" s="332"/>
    </row>
    <row r="317" spans="14:14">
      <c r="N317" s="332"/>
    </row>
    <row r="318" spans="14:14">
      <c r="N318" s="332"/>
    </row>
    <row r="319" spans="14:14">
      <c r="N319" s="332"/>
    </row>
    <row r="320" spans="14:14">
      <c r="N320" s="332"/>
    </row>
    <row r="321" spans="14:14">
      <c r="N321" s="332"/>
    </row>
    <row r="322" spans="14:14">
      <c r="N322" s="332"/>
    </row>
    <row r="323" spans="14:14">
      <c r="N323" s="332"/>
    </row>
    <row r="324" spans="14:14">
      <c r="N324" s="332"/>
    </row>
    <row r="325" spans="14:14">
      <c r="N325" s="332"/>
    </row>
    <row r="326" spans="14:14">
      <c r="N326" s="332"/>
    </row>
    <row r="327" spans="14:14">
      <c r="N327" s="332"/>
    </row>
    <row r="328" spans="14:14">
      <c r="N328" s="332"/>
    </row>
    <row r="329" spans="14:14">
      <c r="N329" s="332"/>
    </row>
    <row r="330" spans="14:14">
      <c r="N330" s="332"/>
    </row>
    <row r="331" spans="14:14">
      <c r="N331" s="332"/>
    </row>
    <row r="332" spans="14:14">
      <c r="N332" s="332"/>
    </row>
    <row r="333" spans="14:14">
      <c r="N333" s="332"/>
    </row>
    <row r="334" spans="14:14">
      <c r="N334" s="332"/>
    </row>
    <row r="335" spans="14:14">
      <c r="N335" s="332"/>
    </row>
    <row r="336" spans="14:14">
      <c r="N336" s="332"/>
    </row>
    <row r="337" spans="14:14">
      <c r="N337" s="332"/>
    </row>
    <row r="338" spans="14:14">
      <c r="N338" s="332"/>
    </row>
    <row r="339" spans="14:14">
      <c r="N339" s="332"/>
    </row>
    <row r="340" spans="14:14">
      <c r="N340" s="332"/>
    </row>
    <row r="341" spans="14:14">
      <c r="N341" s="332"/>
    </row>
    <row r="342" spans="14:14">
      <c r="N342" s="332"/>
    </row>
    <row r="343" spans="14:14">
      <c r="N343" s="332"/>
    </row>
    <row r="344" spans="14:14">
      <c r="N344" s="332"/>
    </row>
    <row r="345" spans="14:14">
      <c r="N345" s="332"/>
    </row>
    <row r="346" spans="14:14">
      <c r="N346" s="332"/>
    </row>
    <row r="347" spans="14:14">
      <c r="N347" s="332"/>
    </row>
    <row r="348" spans="14:14">
      <c r="N348" s="332"/>
    </row>
    <row r="349" spans="14:14">
      <c r="N349" s="332"/>
    </row>
    <row r="350" spans="14:14">
      <c r="N350" s="332"/>
    </row>
    <row r="351" spans="14:14">
      <c r="N351" s="332"/>
    </row>
    <row r="352" spans="14:14">
      <c r="N352" s="332"/>
    </row>
    <row r="353" spans="14:14">
      <c r="N353" s="332"/>
    </row>
    <row r="354" spans="14:14">
      <c r="N354" s="332"/>
    </row>
    <row r="355" spans="14:14">
      <c r="N355" s="332"/>
    </row>
    <row r="356" spans="14:14">
      <c r="N356" s="332"/>
    </row>
    <row r="357" spans="14:14">
      <c r="N357" s="332"/>
    </row>
    <row r="358" spans="14:14">
      <c r="N358" s="332"/>
    </row>
    <row r="359" spans="14:14">
      <c r="N359" s="332"/>
    </row>
    <row r="360" spans="14:14">
      <c r="N360" s="332"/>
    </row>
    <row r="361" spans="14:14">
      <c r="N361" s="332"/>
    </row>
    <row r="362" spans="14:14">
      <c r="N362" s="332"/>
    </row>
    <row r="363" spans="14:14">
      <c r="N363" s="332"/>
    </row>
    <row r="364" spans="14:14">
      <c r="N364" s="332"/>
    </row>
    <row r="365" spans="14:14">
      <c r="N365" s="332"/>
    </row>
    <row r="366" spans="14:14">
      <c r="N366" s="332"/>
    </row>
    <row r="367" spans="14:14">
      <c r="N367" s="332"/>
    </row>
    <row r="368" spans="14:14">
      <c r="N368" s="332"/>
    </row>
    <row r="369" spans="14:14">
      <c r="N369" s="332"/>
    </row>
    <row r="370" spans="14:14">
      <c r="N370" s="332"/>
    </row>
    <row r="371" spans="14:14">
      <c r="N371" s="332"/>
    </row>
    <row r="372" spans="14:14">
      <c r="N372" s="332"/>
    </row>
    <row r="373" spans="14:14">
      <c r="N373" s="332"/>
    </row>
    <row r="374" spans="14:14">
      <c r="N374" s="332"/>
    </row>
    <row r="375" spans="14:14">
      <c r="N375" s="332"/>
    </row>
    <row r="376" spans="14:14">
      <c r="N376" s="332"/>
    </row>
    <row r="377" spans="14:14">
      <c r="N377" s="332"/>
    </row>
    <row r="378" spans="14:14">
      <c r="N378" s="332"/>
    </row>
    <row r="379" spans="14:14">
      <c r="N379" s="332"/>
    </row>
    <row r="380" spans="14:14">
      <c r="N380" s="332"/>
    </row>
    <row r="381" spans="14:14">
      <c r="N381" s="332"/>
    </row>
    <row r="382" spans="14:14">
      <c r="N382" s="332"/>
    </row>
    <row r="383" spans="14:14">
      <c r="N383" s="332"/>
    </row>
    <row r="384" spans="14:14">
      <c r="N384" s="332"/>
    </row>
    <row r="385" spans="14:14">
      <c r="N385" s="332"/>
    </row>
    <row r="386" spans="14:14">
      <c r="N386" s="332"/>
    </row>
    <row r="387" spans="14:14">
      <c r="N387" s="332"/>
    </row>
    <row r="388" spans="14:14">
      <c r="N388" s="332"/>
    </row>
    <row r="389" spans="14:14">
      <c r="N389" s="332"/>
    </row>
    <row r="390" spans="14:14">
      <c r="N390" s="332"/>
    </row>
    <row r="391" spans="14:14">
      <c r="N391" s="332"/>
    </row>
    <row r="392" spans="14:14">
      <c r="N392" s="332"/>
    </row>
    <row r="393" spans="14:14">
      <c r="N393" s="332"/>
    </row>
    <row r="394" spans="14:14">
      <c r="N394" s="332"/>
    </row>
    <row r="395" spans="14:14">
      <c r="N395" s="332"/>
    </row>
    <row r="396" spans="14:14">
      <c r="N396" s="332"/>
    </row>
    <row r="397" spans="14:14">
      <c r="N397" s="332"/>
    </row>
    <row r="398" spans="14:14">
      <c r="N398" s="332"/>
    </row>
    <row r="399" spans="14:14">
      <c r="N399" s="332"/>
    </row>
    <row r="400" spans="14:14">
      <c r="N400" s="332"/>
    </row>
    <row r="401" spans="14:14">
      <c r="N401" s="332"/>
    </row>
    <row r="402" spans="14:14">
      <c r="N402" s="332"/>
    </row>
    <row r="403" spans="14:14">
      <c r="N403" s="332"/>
    </row>
    <row r="404" spans="14:14">
      <c r="N404" s="332"/>
    </row>
    <row r="405" spans="14:14">
      <c r="N405" s="332"/>
    </row>
    <row r="406" spans="14:14">
      <c r="N406" s="332"/>
    </row>
    <row r="407" spans="14:14">
      <c r="N407" s="332"/>
    </row>
    <row r="408" spans="14:14">
      <c r="N408" s="332"/>
    </row>
    <row r="409" spans="14:14">
      <c r="N409" s="332"/>
    </row>
    <row r="410" spans="14:14">
      <c r="N410" s="332"/>
    </row>
    <row r="411" spans="14:14">
      <c r="N411" s="332"/>
    </row>
    <row r="412" spans="14:14">
      <c r="N412" s="332"/>
    </row>
    <row r="413" spans="14:14">
      <c r="N413" s="332"/>
    </row>
    <row r="414" spans="14:14">
      <c r="N414" s="332"/>
    </row>
    <row r="415" spans="14:14">
      <c r="N415" s="332"/>
    </row>
    <row r="416" spans="14:14">
      <c r="N416" s="332"/>
    </row>
    <row r="417" spans="14:14">
      <c r="N417" s="332"/>
    </row>
    <row r="418" spans="14:14">
      <c r="N418" s="332"/>
    </row>
    <row r="419" spans="14:14">
      <c r="N419" s="332"/>
    </row>
    <row r="420" spans="14:14">
      <c r="N420" s="332"/>
    </row>
    <row r="421" spans="14:14">
      <c r="N421" s="332"/>
    </row>
    <row r="1000005" spans="1:1">
      <c r="A1000005" s="111" t="s">
        <v>7</v>
      </c>
    </row>
    <row r="1000006" spans="1:1">
      <c r="A1000006" s="111" t="s">
        <v>2</v>
      </c>
    </row>
    <row r="1000007" spans="1:1">
      <c r="A1000007" s="111" t="s">
        <v>6</v>
      </c>
    </row>
    <row r="1000008" spans="1:1">
      <c r="A1000008" s="111" t="s">
        <v>3</v>
      </c>
    </row>
    <row r="1000009" spans="1:1">
      <c r="A1000009" s="111" t="s">
        <v>4</v>
      </c>
    </row>
    <row r="1000010" spans="1:1">
      <c r="A1000010" s="111" t="s">
        <v>5</v>
      </c>
    </row>
  </sheetData>
  <pageMargins left="0.15748031496062992" right="0.15748031496062992" top="0.51181102362204722" bottom="0.74803149606299213" header="0.31496062992125984" footer="0.31496062992125984"/>
  <pageSetup paperSize="9" scale="82" orientation="landscape" r:id="rId1"/>
  <headerFooter>
    <oddFooter>&amp;C&amp;D&amp;R&amp;F</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S900145"/>
  <sheetViews>
    <sheetView showGridLines="0" topLeftCell="B1" zoomScale="85" zoomScaleNormal="85" workbookViewId="0">
      <selection activeCell="O29" sqref="O29"/>
    </sheetView>
  </sheetViews>
  <sheetFormatPr defaultColWidth="9" defaultRowHeight="13.5"/>
  <cols>
    <col min="1" max="1" width="41.15234375" style="111" customWidth="1"/>
    <col min="2" max="2" width="9.23046875" style="111" customWidth="1"/>
    <col min="3" max="3" width="8.84375" style="111" customWidth="1"/>
    <col min="4" max="5" width="9" style="111"/>
    <col min="6" max="6" width="21.84375" style="111" customWidth="1"/>
    <col min="7" max="7" width="9.765625" style="111" bestFit="1" customWidth="1"/>
    <col min="8" max="8" width="12.3828125" style="111" customWidth="1"/>
    <col min="9" max="9" width="13.84375" style="111" customWidth="1"/>
    <col min="10" max="10" width="14" style="111" customWidth="1"/>
    <col min="11" max="11" width="9.765625" style="111" customWidth="1"/>
    <col min="12" max="12" width="11" style="111" customWidth="1"/>
    <col min="13" max="13" width="9.765625" style="111" customWidth="1"/>
    <col min="14" max="16384" width="9" style="111"/>
  </cols>
  <sheetData>
    <row r="1" spans="1:19" s="121" customFormat="1" ht="15">
      <c r="A1" s="126" t="s">
        <v>115</v>
      </c>
      <c r="N1" s="346"/>
    </row>
    <row r="2" spans="1:19" s="121" customFormat="1" ht="15">
      <c r="A2" s="126" t="str">
        <f>CompName</f>
        <v>Scottish Hydro Electric Transmission Plc</v>
      </c>
      <c r="N2" s="346"/>
    </row>
    <row r="3" spans="1:19" s="121" customFormat="1">
      <c r="A3" s="128" t="str">
        <f>RegYr</f>
        <v>Regulatory Year ending 31 March 2020</v>
      </c>
      <c r="N3" s="346"/>
    </row>
    <row r="4" spans="1:19">
      <c r="A4" s="137"/>
      <c r="B4" s="137"/>
      <c r="C4" s="137"/>
      <c r="D4" s="137"/>
      <c r="E4" s="137"/>
      <c r="F4" s="132"/>
      <c r="G4" s="137"/>
      <c r="H4" s="137"/>
      <c r="I4" s="137"/>
      <c r="J4" s="137"/>
      <c r="K4" s="137"/>
      <c r="L4" s="137"/>
      <c r="M4" s="137"/>
      <c r="N4" s="347"/>
      <c r="O4" s="137"/>
      <c r="P4" s="137"/>
      <c r="Q4" s="137"/>
      <c r="R4" s="137"/>
      <c r="S4" s="137"/>
    </row>
    <row r="5" spans="1:19" ht="24" customHeight="1">
      <c r="A5" s="143" t="s">
        <v>25</v>
      </c>
      <c r="G5" s="232"/>
      <c r="L5" s="118" t="s">
        <v>442</v>
      </c>
      <c r="N5" s="332"/>
    </row>
    <row r="6" spans="1:19" ht="14">
      <c r="A6" s="110" t="s">
        <v>459</v>
      </c>
      <c r="B6" s="130"/>
      <c r="C6" s="130"/>
      <c r="D6" s="130"/>
      <c r="E6" s="130"/>
      <c r="F6" s="130"/>
      <c r="G6" s="130"/>
      <c r="H6" s="130"/>
      <c r="I6" s="130"/>
      <c r="N6" s="332"/>
    </row>
    <row r="7" spans="1:19" ht="15" customHeight="1">
      <c r="C7" s="113"/>
      <c r="D7" s="130"/>
      <c r="E7" s="130"/>
      <c r="F7" s="112">
        <v>2014</v>
      </c>
      <c r="G7" s="112">
        <v>2015</v>
      </c>
      <c r="H7" s="112">
        <v>2016</v>
      </c>
      <c r="I7" s="112">
        <v>2017</v>
      </c>
      <c r="J7" s="112">
        <v>2018</v>
      </c>
      <c r="K7" s="112">
        <v>2019</v>
      </c>
      <c r="L7" s="112">
        <v>2020</v>
      </c>
      <c r="M7" s="112">
        <v>2021</v>
      </c>
      <c r="N7" s="112">
        <v>2022</v>
      </c>
      <c r="O7" s="112">
        <v>2023</v>
      </c>
      <c r="P7" s="332"/>
    </row>
    <row r="8" spans="1:19">
      <c r="A8" s="111" t="s">
        <v>27</v>
      </c>
      <c r="B8" s="111" t="s">
        <v>265</v>
      </c>
      <c r="C8" s="259" t="s">
        <v>1</v>
      </c>
      <c r="F8" s="133">
        <f t="shared" ref="F8:M8" si="0">RI</f>
        <v>0.47198999999999997</v>
      </c>
      <c r="G8" s="133">
        <f t="shared" si="0"/>
        <v>0</v>
      </c>
      <c r="H8" s="133">
        <f t="shared" si="0"/>
        <v>1.6745572779660576</v>
      </c>
      <c r="I8" s="133">
        <f t="shared" si="0"/>
        <v>1.6336271720073634</v>
      </c>
      <c r="J8" s="133">
        <f t="shared" si="0"/>
        <v>1.6569650523257444</v>
      </c>
      <c r="K8" s="133">
        <f t="shared" si="0"/>
        <v>1.7073833443228175</v>
      </c>
      <c r="L8" s="133">
        <f t="shared" si="0"/>
        <v>1.7376910821727769</v>
      </c>
      <c r="M8" s="133">
        <f t="shared" si="0"/>
        <v>1.760202176730383</v>
      </c>
      <c r="N8" s="133">
        <f>N31</f>
        <v>1.7856973464809391</v>
      </c>
      <c r="O8" s="133">
        <f>O31</f>
        <v>1.7952448566801309</v>
      </c>
      <c r="P8" s="343" t="s">
        <v>265</v>
      </c>
    </row>
    <row r="9" spans="1:19">
      <c r="A9" s="111" t="s">
        <v>28</v>
      </c>
      <c r="B9" s="111" t="s">
        <v>349</v>
      </c>
      <c r="C9" s="259" t="s">
        <v>1</v>
      </c>
      <c r="F9" s="133">
        <f t="shared" ref="F9:M9" si="1">SSO</f>
        <v>0</v>
      </c>
      <c r="G9" s="133">
        <f t="shared" si="1"/>
        <v>0</v>
      </c>
      <c r="H9" s="133">
        <f>SSO</f>
        <v>0</v>
      </c>
      <c r="I9" s="133">
        <f t="shared" si="1"/>
        <v>0</v>
      </c>
      <c r="J9" s="133">
        <f t="shared" si="1"/>
        <v>0</v>
      </c>
      <c r="K9" s="133">
        <f t="shared" si="1"/>
        <v>-2.3347611429833566</v>
      </c>
      <c r="L9" s="133">
        <f t="shared" si="1"/>
        <v>-2.6966383003321153</v>
      </c>
      <c r="M9" s="133">
        <f t="shared" si="1"/>
        <v>-3.1095408582371169</v>
      </c>
      <c r="N9" s="133">
        <f>N60</f>
        <v>-3.2171256406696251</v>
      </c>
      <c r="O9" s="133">
        <f>O60</f>
        <v>-3.3590703985177255</v>
      </c>
      <c r="P9" s="343" t="s">
        <v>349</v>
      </c>
    </row>
    <row r="10" spans="1:19">
      <c r="A10" s="131" t="s">
        <v>29</v>
      </c>
      <c r="B10" s="131" t="s">
        <v>222</v>
      </c>
      <c r="C10" s="262" t="s">
        <v>1</v>
      </c>
      <c r="D10" s="131"/>
      <c r="E10" s="131"/>
      <c r="F10" s="139">
        <f t="shared" ref="F10:M10" si="2">SFI</f>
        <v>0</v>
      </c>
      <c r="G10" s="139">
        <f t="shared" si="2"/>
        <v>0</v>
      </c>
      <c r="H10" s="139">
        <f t="shared" si="2"/>
        <v>0.15706518710335124</v>
      </c>
      <c r="I10" s="139">
        <f t="shared" si="2"/>
        <v>0.17952166379637347</v>
      </c>
      <c r="J10" s="139">
        <f t="shared" si="2"/>
        <v>0.22598410853818363</v>
      </c>
      <c r="K10" s="139">
        <f t="shared" si="2"/>
        <v>0.25468545585289815</v>
      </c>
      <c r="L10" s="139">
        <f t="shared" si="2"/>
        <v>0.28652370122030263</v>
      </c>
      <c r="M10" s="139">
        <f t="shared" si="2"/>
        <v>0.31501229062863539</v>
      </c>
      <c r="N10" s="139">
        <f>N116</f>
        <v>0</v>
      </c>
      <c r="O10" s="139">
        <f>O116</f>
        <v>0</v>
      </c>
      <c r="P10" s="343" t="s">
        <v>222</v>
      </c>
    </row>
    <row r="11" spans="1:19">
      <c r="A11" s="131" t="s">
        <v>30</v>
      </c>
      <c r="B11" s="131" t="s">
        <v>350</v>
      </c>
      <c r="C11" s="262" t="s">
        <v>1</v>
      </c>
      <c r="D11" s="131"/>
      <c r="E11" s="131"/>
      <c r="F11" s="139">
        <f t="shared" ref="F11:M11" si="3">EDR</f>
        <v>0</v>
      </c>
      <c r="G11" s="139">
        <f t="shared" si="3"/>
        <v>0</v>
      </c>
      <c r="H11" s="139">
        <f t="shared" si="3"/>
        <v>0</v>
      </c>
      <c r="I11" s="139">
        <f t="shared" si="3"/>
        <v>0</v>
      </c>
      <c r="J11" s="139">
        <f t="shared" si="3"/>
        <v>0</v>
      </c>
      <c r="K11" s="139">
        <f t="shared" si="3"/>
        <v>0</v>
      </c>
      <c r="L11" s="139">
        <f t="shared" si="3"/>
        <v>0</v>
      </c>
      <c r="M11" s="139">
        <f t="shared" si="3"/>
        <v>0</v>
      </c>
      <c r="N11" s="139">
        <f>N132</f>
        <v>1.0082072</v>
      </c>
      <c r="O11" s="139">
        <f>O132</f>
        <v>0</v>
      </c>
      <c r="P11" s="343" t="s">
        <v>350</v>
      </c>
    </row>
    <row r="12" spans="1:19">
      <c r="A12" s="111" t="s">
        <v>293</v>
      </c>
      <c r="B12" s="111" t="s">
        <v>292</v>
      </c>
      <c r="C12" s="259" t="s">
        <v>1</v>
      </c>
      <c r="H12" s="133">
        <f>CONADJ</f>
        <v>0</v>
      </c>
      <c r="I12" s="133">
        <f t="shared" ref="I12:M12" si="4">CONADJ</f>
        <v>0</v>
      </c>
      <c r="J12" s="133">
        <f t="shared" si="4"/>
        <v>0</v>
      </c>
      <c r="K12" s="133">
        <f t="shared" si="4"/>
        <v>0</v>
      </c>
      <c r="L12" s="133">
        <f t="shared" si="4"/>
        <v>0</v>
      </c>
      <c r="M12" s="133">
        <f t="shared" si="4"/>
        <v>0</v>
      </c>
      <c r="N12" s="133">
        <f>N146</f>
        <v>0</v>
      </c>
      <c r="O12" s="133">
        <f>O146</f>
        <v>0</v>
      </c>
      <c r="P12" s="343" t="s">
        <v>292</v>
      </c>
    </row>
    <row r="13" spans="1:19">
      <c r="A13" s="111" t="s">
        <v>15</v>
      </c>
      <c r="B13" s="111" t="s">
        <v>189</v>
      </c>
      <c r="C13" s="259" t="s">
        <v>1</v>
      </c>
      <c r="F13" s="136">
        <f>SUM(F8:F11)-F12</f>
        <v>0.47198999999999997</v>
      </c>
      <c r="G13" s="136">
        <f t="shared" ref="G13:M13" si="5">SUM(G8:G11)-G12</f>
        <v>0</v>
      </c>
      <c r="H13" s="136">
        <f>SUM(H8:H11)-H12</f>
        <v>1.8316224650694088</v>
      </c>
      <c r="I13" s="136">
        <f t="shared" si="5"/>
        <v>1.8131488358037369</v>
      </c>
      <c r="J13" s="136">
        <f t="shared" si="5"/>
        <v>1.8829491608639279</v>
      </c>
      <c r="K13" s="136">
        <f t="shared" si="5"/>
        <v>-0.37269234280764096</v>
      </c>
      <c r="L13" s="136">
        <f t="shared" si="5"/>
        <v>-0.67242351693903579</v>
      </c>
      <c r="M13" s="136">
        <f t="shared" si="5"/>
        <v>-1.0343263908780984</v>
      </c>
      <c r="N13" s="136">
        <f t="shared" ref="N13:O13" si="6">SUM(N8:N11)-N12</f>
        <v>-0.42322109418868603</v>
      </c>
      <c r="O13" s="136">
        <f t="shared" si="6"/>
        <v>-1.5638255418375946</v>
      </c>
      <c r="P13" s="343" t="s">
        <v>189</v>
      </c>
    </row>
    <row r="14" spans="1:19">
      <c r="C14" s="259"/>
      <c r="F14" s="118"/>
      <c r="J14" s="118"/>
      <c r="N14" s="273"/>
      <c r="O14" s="273"/>
      <c r="P14" s="332"/>
    </row>
    <row r="15" spans="1:19" ht="14">
      <c r="A15" s="116" t="s">
        <v>27</v>
      </c>
      <c r="N15" s="273"/>
      <c r="O15" s="273"/>
      <c r="P15" s="332"/>
    </row>
    <row r="16" spans="1:19" ht="24" customHeight="1">
      <c r="E16" s="111" t="s">
        <v>527</v>
      </c>
      <c r="G16" s="209"/>
      <c r="H16" s="209" t="s">
        <v>528</v>
      </c>
      <c r="I16" s="209"/>
      <c r="J16" s="209"/>
      <c r="K16" s="209"/>
      <c r="L16" s="209"/>
      <c r="M16" s="209"/>
      <c r="N16" s="209"/>
      <c r="O16" s="209"/>
      <c r="P16" s="332"/>
    </row>
    <row r="17" spans="1:18" ht="16.5">
      <c r="A17" s="144" t="s">
        <v>343</v>
      </c>
      <c r="E17" s="420" t="s">
        <v>39</v>
      </c>
      <c r="F17" s="420"/>
      <c r="N17" s="273"/>
      <c r="O17" s="273"/>
      <c r="P17" s="332"/>
    </row>
    <row r="18" spans="1:18">
      <c r="A18" s="144" t="s">
        <v>460</v>
      </c>
      <c r="C18" s="259"/>
      <c r="N18" s="273"/>
      <c r="O18" s="273"/>
      <c r="P18" s="332"/>
    </row>
    <row r="19" spans="1:18" ht="14.5">
      <c r="A19" s="145"/>
      <c r="C19" s="259"/>
      <c r="F19" s="112">
        <v>2014</v>
      </c>
      <c r="G19" s="112">
        <v>2015</v>
      </c>
      <c r="H19" s="112">
        <v>2016</v>
      </c>
      <c r="I19" s="112">
        <v>2017</v>
      </c>
      <c r="J19" s="112">
        <v>2018</v>
      </c>
      <c r="K19" s="112">
        <v>2019</v>
      </c>
      <c r="L19" s="112">
        <v>2020</v>
      </c>
      <c r="M19" s="112">
        <v>2021</v>
      </c>
      <c r="N19" s="112">
        <v>2022</v>
      </c>
      <c r="O19" s="112">
        <v>2023</v>
      </c>
      <c r="P19" s="332"/>
    </row>
    <row r="20" spans="1:18">
      <c r="A20" s="111" t="s">
        <v>67</v>
      </c>
      <c r="B20" s="111" t="s">
        <v>196</v>
      </c>
      <c r="C20" s="259" t="s">
        <v>1</v>
      </c>
      <c r="F20" s="164">
        <f>F51</f>
        <v>0.47198999999999997</v>
      </c>
      <c r="G20" s="233">
        <v>0</v>
      </c>
      <c r="H20" s="219"/>
      <c r="I20" s="219"/>
      <c r="J20" s="219"/>
      <c r="K20" s="219"/>
      <c r="L20" s="219"/>
      <c r="M20" s="219"/>
      <c r="N20" s="219"/>
      <c r="O20" s="219"/>
      <c r="P20" s="332"/>
    </row>
    <row r="21" spans="1:18">
      <c r="A21" s="111" t="s">
        <v>63</v>
      </c>
      <c r="B21" s="111" t="s">
        <v>198</v>
      </c>
      <c r="C21" s="259" t="s">
        <v>579</v>
      </c>
      <c r="F21" s="233">
        <f t="shared" ref="F21:M21" si="7">VOLL</f>
        <v>1.6E-2</v>
      </c>
      <c r="G21" s="233">
        <f t="shared" si="7"/>
        <v>1.6E-2</v>
      </c>
      <c r="H21" s="233">
        <f t="shared" si="7"/>
        <v>1.6E-2</v>
      </c>
      <c r="I21" s="233">
        <f t="shared" si="7"/>
        <v>1.6E-2</v>
      </c>
      <c r="J21" s="233">
        <f t="shared" si="7"/>
        <v>1.6E-2</v>
      </c>
      <c r="K21" s="233">
        <f t="shared" si="7"/>
        <v>1.6E-2</v>
      </c>
      <c r="L21" s="233">
        <f t="shared" si="7"/>
        <v>1.6E-2</v>
      </c>
      <c r="M21" s="233">
        <f t="shared" si="7"/>
        <v>1.6E-2</v>
      </c>
      <c r="N21" s="233">
        <f>M21</f>
        <v>1.6E-2</v>
      </c>
      <c r="O21" s="233">
        <f>N21</f>
        <v>1.6E-2</v>
      </c>
      <c r="P21" s="343" t="s">
        <v>198</v>
      </c>
    </row>
    <row r="22" spans="1:18">
      <c r="A22" s="111" t="s">
        <v>65</v>
      </c>
      <c r="B22" s="111" t="s">
        <v>201</v>
      </c>
      <c r="C22" s="259" t="s">
        <v>200</v>
      </c>
      <c r="F22" s="164">
        <f t="shared" ref="F22:M22" si="8">ENST</f>
        <v>120</v>
      </c>
      <c r="G22" s="164">
        <f t="shared" si="8"/>
        <v>120</v>
      </c>
      <c r="H22" s="164">
        <f t="shared" si="8"/>
        <v>120</v>
      </c>
      <c r="I22" s="164">
        <f t="shared" si="8"/>
        <v>120</v>
      </c>
      <c r="J22" s="164">
        <f t="shared" si="8"/>
        <v>120</v>
      </c>
      <c r="K22" s="164">
        <f t="shared" si="8"/>
        <v>120</v>
      </c>
      <c r="L22" s="164">
        <f t="shared" si="8"/>
        <v>120</v>
      </c>
      <c r="M22" s="164">
        <f t="shared" si="8"/>
        <v>120</v>
      </c>
      <c r="N22" s="164"/>
      <c r="O22" s="164"/>
      <c r="P22" s="343" t="s">
        <v>201</v>
      </c>
    </row>
    <row r="23" spans="1:18">
      <c r="A23" s="111" t="s">
        <v>66</v>
      </c>
      <c r="B23" s="111" t="s">
        <v>203</v>
      </c>
      <c r="C23" s="114" t="s">
        <v>496</v>
      </c>
      <c r="F23" s="164">
        <f t="shared" ref="F23:M23" si="9">ENSA</f>
        <v>0</v>
      </c>
      <c r="G23" s="164">
        <f t="shared" si="9"/>
        <v>0</v>
      </c>
      <c r="H23" s="164">
        <f t="shared" si="9"/>
        <v>0</v>
      </c>
      <c r="I23" s="164">
        <f t="shared" si="9"/>
        <v>0</v>
      </c>
      <c r="J23" s="164">
        <f t="shared" si="9"/>
        <v>0</v>
      </c>
      <c r="K23" s="164">
        <f t="shared" si="9"/>
        <v>0</v>
      </c>
      <c r="L23" s="164">
        <f t="shared" si="9"/>
        <v>0</v>
      </c>
      <c r="M23" s="164">
        <f t="shared" si="9"/>
        <v>0</v>
      </c>
      <c r="N23" s="164"/>
      <c r="O23" s="164"/>
      <c r="P23" s="343" t="s">
        <v>203</v>
      </c>
    </row>
    <row r="24" spans="1:18">
      <c r="A24" s="111" t="s">
        <v>345</v>
      </c>
      <c r="B24" s="111" t="s">
        <v>211</v>
      </c>
      <c r="C24" s="259" t="s">
        <v>105</v>
      </c>
      <c r="F24" s="236">
        <f t="shared" ref="F24:M24" si="10">PTIS</f>
        <v>0.64935064935064934</v>
      </c>
      <c r="G24" s="236">
        <f t="shared" si="10"/>
        <v>0.63291139240506322</v>
      </c>
      <c r="H24" s="236">
        <f t="shared" si="10"/>
        <v>0.625</v>
      </c>
      <c r="I24" s="236">
        <f t="shared" si="10"/>
        <v>0.625</v>
      </c>
      <c r="J24" s="236">
        <f t="shared" si="10"/>
        <v>0.61728395061728392</v>
      </c>
      <c r="K24" s="236">
        <f t="shared" si="10"/>
        <v>0.61728395061728392</v>
      </c>
      <c r="L24" s="236">
        <f t="shared" si="10"/>
        <v>0.61728395061728392</v>
      </c>
      <c r="M24" s="236">
        <f t="shared" si="10"/>
        <v>0.60240963855421692</v>
      </c>
      <c r="N24" s="236"/>
      <c r="O24" s="236"/>
      <c r="P24" s="343" t="s">
        <v>211</v>
      </c>
    </row>
    <row r="25" spans="1:18">
      <c r="A25" s="111" t="s">
        <v>64</v>
      </c>
      <c r="B25" s="111" t="s">
        <v>202</v>
      </c>
      <c r="C25" s="259" t="s">
        <v>105</v>
      </c>
      <c r="F25" s="235">
        <f t="shared" ref="F25:M25" si="11">RIDPA</f>
        <v>0.03</v>
      </c>
      <c r="G25" s="235">
        <f t="shared" si="11"/>
        <v>0.03</v>
      </c>
      <c r="H25" s="235">
        <f t="shared" si="11"/>
        <v>0.03</v>
      </c>
      <c r="I25" s="235">
        <f t="shared" si="11"/>
        <v>0.03</v>
      </c>
      <c r="J25" s="235">
        <f t="shared" si="11"/>
        <v>0.03</v>
      </c>
      <c r="K25" s="235">
        <f t="shared" si="11"/>
        <v>0.03</v>
      </c>
      <c r="L25" s="235">
        <f t="shared" si="11"/>
        <v>0.03</v>
      </c>
      <c r="M25" s="235">
        <f t="shared" si="11"/>
        <v>0.03</v>
      </c>
      <c r="N25" s="235">
        <f>M25</f>
        <v>0.03</v>
      </c>
      <c r="O25" s="235">
        <f>N25</f>
        <v>0.03</v>
      </c>
      <c r="P25" s="343" t="s">
        <v>202</v>
      </c>
    </row>
    <row r="26" spans="1:18">
      <c r="A26" s="111" t="s">
        <v>61</v>
      </c>
      <c r="B26" s="111" t="s">
        <v>298</v>
      </c>
      <c r="C26" s="259" t="s">
        <v>1</v>
      </c>
      <c r="F26" s="164">
        <f t="shared" ref="F26:M26" si="12">BR</f>
        <v>121.5805473654021</v>
      </c>
      <c r="G26" s="164">
        <f t="shared" si="12"/>
        <v>144.88183379911854</v>
      </c>
      <c r="H26" s="164">
        <f t="shared" si="12"/>
        <v>257.33702665771352</v>
      </c>
      <c r="I26" s="164">
        <f t="shared" si="12"/>
        <v>257.63714260992293</v>
      </c>
      <c r="J26" s="164">
        <f t="shared" si="12"/>
        <v>212.33806976005224</v>
      </c>
      <c r="K26" s="164">
        <f t="shared" si="12"/>
        <v>256.82224727854003</v>
      </c>
      <c r="L26" s="164">
        <f t="shared" si="12"/>
        <v>271.06515945388799</v>
      </c>
      <c r="M26" s="164">
        <f t="shared" si="12"/>
        <v>291.03938687052568</v>
      </c>
      <c r="N26" s="164"/>
      <c r="O26" s="164"/>
      <c r="P26" s="343" t="s">
        <v>298</v>
      </c>
    </row>
    <row r="27" spans="1:18">
      <c r="A27" s="111" t="s">
        <v>137</v>
      </c>
      <c r="B27" s="111" t="s">
        <v>137</v>
      </c>
      <c r="C27" s="259" t="s">
        <v>1</v>
      </c>
      <c r="F27" s="164">
        <f t="shared" ref="F27:M27" si="13">TIRG</f>
        <v>43.13029648352763</v>
      </c>
      <c r="G27" s="164">
        <f t="shared" si="13"/>
        <v>45.642498240794303</v>
      </c>
      <c r="H27" s="164">
        <f t="shared" si="13"/>
        <v>44.861665942027251</v>
      </c>
      <c r="I27" s="164">
        <f t="shared" si="13"/>
        <v>0</v>
      </c>
      <c r="J27" s="164">
        <f t="shared" si="13"/>
        <v>84.256191454810178</v>
      </c>
      <c r="K27" s="164">
        <f t="shared" si="13"/>
        <v>83.929406675831544</v>
      </c>
      <c r="L27" s="164">
        <f t="shared" si="13"/>
        <v>83.48339417561121</v>
      </c>
      <c r="M27" s="164">
        <f t="shared" si="13"/>
        <v>81.445315519738841</v>
      </c>
      <c r="N27" s="164"/>
      <c r="O27" s="164"/>
      <c r="P27" s="343" t="s">
        <v>137</v>
      </c>
      <c r="Q27" s="332"/>
      <c r="R27" s="332"/>
    </row>
    <row r="28" spans="1:18">
      <c r="A28" s="111" t="s">
        <v>346</v>
      </c>
      <c r="B28" s="111" t="s">
        <v>123</v>
      </c>
      <c r="C28" s="259" t="s">
        <v>1</v>
      </c>
      <c r="F28" s="164">
        <f t="shared" ref="F28:M28" si="14">RPIA</f>
        <v>1.1666890673736021</v>
      </c>
      <c r="G28" s="164">
        <f t="shared" si="14"/>
        <v>1.1895563269638081</v>
      </c>
      <c r="H28" s="164">
        <f t="shared" si="14"/>
        <v>1.2023757108362261</v>
      </c>
      <c r="I28" s="164">
        <f t="shared" si="14"/>
        <v>1.2281396135646323</v>
      </c>
      <c r="J28" s="164">
        <f t="shared" si="14"/>
        <v>1.2740965949380583</v>
      </c>
      <c r="K28" s="164">
        <f t="shared" si="14"/>
        <v>1.3130274787154661</v>
      </c>
      <c r="L28" s="164">
        <f t="shared" si="14"/>
        <v>1.3470178479563604</v>
      </c>
      <c r="M28" s="164">
        <f t="shared" si="14"/>
        <v>1.3633924218822251</v>
      </c>
      <c r="N28" s="164"/>
      <c r="O28" s="164"/>
      <c r="P28" s="343" t="s">
        <v>123</v>
      </c>
    </row>
    <row r="29" spans="1:18">
      <c r="A29" s="111" t="s">
        <v>191</v>
      </c>
      <c r="B29" s="111" t="s">
        <v>127</v>
      </c>
      <c r="C29" s="259" t="s">
        <v>118</v>
      </c>
      <c r="F29" s="164">
        <f t="shared" ref="F29:M29" si="15">PVF</f>
        <v>1.04756</v>
      </c>
      <c r="G29" s="164">
        <f t="shared" si="15"/>
        <v>1.04525</v>
      </c>
      <c r="H29" s="164">
        <f t="shared" si="15"/>
        <v>1.0433250000000001</v>
      </c>
      <c r="I29" s="164">
        <f t="shared" si="15"/>
        <v>1.041345</v>
      </c>
      <c r="J29" s="164">
        <f t="shared" si="15"/>
        <v>1.0398050000000001</v>
      </c>
      <c r="K29" s="164">
        <f t="shared" si="15"/>
        <v>1.0378799999999999</v>
      </c>
      <c r="L29" s="164">
        <f t="shared" si="15"/>
        <v>1.0370550000000001</v>
      </c>
      <c r="M29" s="164">
        <f t="shared" si="15"/>
        <v>1.0356799999999999</v>
      </c>
      <c r="N29" s="164">
        <f>'R5 Input page'!N49</f>
        <v>1.04498</v>
      </c>
      <c r="O29" s="164">
        <f>'R5 Input page'!O49</f>
        <v>1.04558</v>
      </c>
      <c r="P29" s="343" t="s">
        <v>127</v>
      </c>
    </row>
    <row r="30" spans="1:18">
      <c r="A30" s="111" t="s">
        <v>347</v>
      </c>
      <c r="B30" s="111" t="s">
        <v>117</v>
      </c>
      <c r="C30" s="259" t="s">
        <v>118</v>
      </c>
      <c r="F30" s="164">
        <f t="shared" ref="F30:M30" si="16">RPIF</f>
        <v>1.1630161697108456</v>
      </c>
      <c r="G30" s="164">
        <f t="shared" si="16"/>
        <v>1.2050819527256253</v>
      </c>
      <c r="H30" s="164">
        <f t="shared" si="16"/>
        <v>1.2266493019576674</v>
      </c>
      <c r="I30" s="164">
        <f t="shared" si="16"/>
        <v>1.2327329838381795</v>
      </c>
      <c r="J30" s="164">
        <f t="shared" si="16"/>
        <v>1.2709189417960116</v>
      </c>
      <c r="K30" s="164">
        <f t="shared" si="16"/>
        <v>1.3140238772935624</v>
      </c>
      <c r="L30" s="164">
        <f t="shared" si="16"/>
        <v>1.3585865587485577</v>
      </c>
      <c r="M30" s="164">
        <f t="shared" si="16"/>
        <v>1.3798357939884227</v>
      </c>
      <c r="N30" s="164">
        <f>'R6 Base revenue'!N30</f>
        <v>1.4027951630045372</v>
      </c>
      <c r="O30" s="164">
        <f>'R6 Base revenue'!O30</f>
        <v>1.4341579421476001</v>
      </c>
      <c r="P30" s="343" t="s">
        <v>117</v>
      </c>
    </row>
    <row r="31" spans="1:18">
      <c r="A31" s="111" t="s">
        <v>27</v>
      </c>
      <c r="B31" s="111" t="s">
        <v>265</v>
      </c>
      <c r="C31" s="259" t="s">
        <v>1</v>
      </c>
      <c r="F31" s="225">
        <f>SUM(F20)</f>
        <v>0.47198999999999997</v>
      </c>
      <c r="G31" s="234"/>
      <c r="H31" s="225">
        <f>MAX(H21*(F22-F23)*F24,-H25*(F26+F27)/F28)*F29*G29*H30</f>
        <v>1.6745572779660576</v>
      </c>
      <c r="I31" s="225">
        <f t="shared" ref="I31:O31" si="17">MAX(I21*(G22-G23)*G24,-I25*(G26+G27)/G28)*G29*H29*I30</f>
        <v>1.6336271720073634</v>
      </c>
      <c r="J31" s="225">
        <f t="shared" si="17"/>
        <v>1.6569650523257444</v>
      </c>
      <c r="K31" s="225">
        <f t="shared" si="17"/>
        <v>1.7073833443228175</v>
      </c>
      <c r="L31" s="225">
        <f t="shared" si="17"/>
        <v>1.7376910821727769</v>
      </c>
      <c r="M31" s="225">
        <f t="shared" si="17"/>
        <v>1.760202176730383</v>
      </c>
      <c r="N31" s="225">
        <f>MAX(N21*(L22-L23)*L24,-N25*(L26+L27)/L28)*L29*M29*N30</f>
        <v>1.7856973464809391</v>
      </c>
      <c r="O31" s="225">
        <f t="shared" si="17"/>
        <v>1.7952448566801309</v>
      </c>
      <c r="P31" s="343" t="s">
        <v>265</v>
      </c>
    </row>
    <row r="32" spans="1:18">
      <c r="A32" s="145"/>
      <c r="C32" s="259"/>
      <c r="F32" s="118"/>
      <c r="G32" s="118"/>
      <c r="H32" s="118"/>
      <c r="I32" s="118"/>
      <c r="J32" s="118"/>
      <c r="K32" s="118"/>
      <c r="N32" s="273"/>
      <c r="O32" s="273"/>
      <c r="P32" s="332"/>
    </row>
    <row r="33" spans="1:17">
      <c r="A33" s="131"/>
      <c r="B33" s="131"/>
      <c r="C33" s="262"/>
      <c r="D33" s="131"/>
      <c r="E33" s="131"/>
      <c r="F33" s="118"/>
      <c r="G33" s="118"/>
      <c r="H33" s="234"/>
      <c r="I33" s="118"/>
      <c r="J33" s="118"/>
      <c r="K33" s="118"/>
      <c r="L33" s="131"/>
      <c r="M33" s="131"/>
      <c r="N33" s="131"/>
      <c r="O33" s="131"/>
      <c r="P33" s="332"/>
    </row>
    <row r="34" spans="1:17">
      <c r="A34" s="131" t="s">
        <v>402</v>
      </c>
      <c r="B34" s="131"/>
      <c r="C34" s="262"/>
      <c r="D34" s="131"/>
      <c r="E34" s="131"/>
      <c r="F34" s="131"/>
      <c r="G34" s="131"/>
      <c r="H34" s="131"/>
      <c r="I34" s="131"/>
      <c r="J34" s="131"/>
      <c r="K34" s="131"/>
      <c r="L34" s="131"/>
      <c r="M34" s="131"/>
      <c r="N34" s="131"/>
      <c r="O34" s="131"/>
      <c r="P34" s="332"/>
    </row>
    <row r="35" spans="1:17" ht="14.5">
      <c r="A35" s="131"/>
      <c r="B35" s="131"/>
      <c r="C35" s="262"/>
      <c r="D35" s="131"/>
      <c r="E35" s="131"/>
      <c r="F35" s="146">
        <v>2014</v>
      </c>
      <c r="G35" s="131"/>
      <c r="H35" s="131"/>
      <c r="I35" s="131"/>
      <c r="J35" s="131"/>
      <c r="K35" s="131"/>
      <c r="L35" s="131"/>
      <c r="M35" s="131"/>
      <c r="N35" s="131"/>
      <c r="O35" s="131"/>
      <c r="P35" s="332"/>
    </row>
    <row r="36" spans="1:17" ht="14">
      <c r="A36" s="115" t="s">
        <v>61</v>
      </c>
      <c r="B36" s="115" t="s">
        <v>403</v>
      </c>
      <c r="C36" s="262" t="s">
        <v>1</v>
      </c>
      <c r="D36" s="115"/>
      <c r="E36" s="131"/>
      <c r="F36" s="237">
        <f>'R6 Base revenue'!F12</f>
        <v>121.5805473654021</v>
      </c>
      <c r="G36" s="113"/>
      <c r="H36" s="113"/>
      <c r="I36" s="131"/>
      <c r="J36" s="131"/>
      <c r="K36" s="131"/>
      <c r="L36" s="131"/>
      <c r="M36" s="131"/>
      <c r="N36" s="131"/>
      <c r="O36" s="131"/>
      <c r="P36" s="332"/>
    </row>
    <row r="37" spans="1:17" ht="14">
      <c r="A37" s="115" t="s">
        <v>404</v>
      </c>
      <c r="B37" s="115" t="s">
        <v>405</v>
      </c>
      <c r="C37" s="262" t="s">
        <v>1</v>
      </c>
      <c r="D37" s="115"/>
      <c r="E37" s="131"/>
      <c r="F37" s="237">
        <f>'R6 Base revenue'!E52</f>
        <v>94.397999999999996</v>
      </c>
      <c r="G37" s="113"/>
      <c r="H37" s="113"/>
      <c r="I37" s="131"/>
      <c r="J37" s="131"/>
      <c r="K37" s="131"/>
      <c r="L37" s="131"/>
      <c r="M37" s="131"/>
      <c r="N37" s="131"/>
      <c r="O37" s="131"/>
      <c r="P37" s="332"/>
    </row>
    <row r="38" spans="1:17" ht="14">
      <c r="A38" s="115"/>
      <c r="B38" s="115"/>
      <c r="C38" s="262"/>
      <c r="D38" s="115"/>
      <c r="E38" s="131"/>
      <c r="F38" s="238"/>
      <c r="G38" s="113"/>
      <c r="H38" s="113"/>
      <c r="I38" s="131"/>
      <c r="J38" s="131"/>
      <c r="K38" s="131"/>
      <c r="L38" s="131"/>
      <c r="M38" s="131"/>
      <c r="N38" s="131"/>
      <c r="O38" s="131"/>
      <c r="P38" s="332"/>
      <c r="Q38" s="273"/>
    </row>
    <row r="39" spans="1:17" ht="14">
      <c r="A39" s="147" t="s">
        <v>406</v>
      </c>
      <c r="B39" s="115"/>
      <c r="C39" s="262"/>
      <c r="D39" s="115"/>
      <c r="E39" s="131"/>
      <c r="F39" s="238"/>
      <c r="G39" s="113"/>
      <c r="H39" s="113"/>
      <c r="I39" s="131"/>
      <c r="J39" s="131"/>
      <c r="K39" s="131"/>
      <c r="L39" s="131"/>
      <c r="M39" s="131"/>
      <c r="N39" s="131"/>
      <c r="O39" s="131"/>
      <c r="P39" s="332"/>
    </row>
    <row r="40" spans="1:17" ht="14">
      <c r="A40" s="115"/>
      <c r="B40" s="115"/>
      <c r="C40" s="262"/>
      <c r="D40" s="115"/>
      <c r="E40" s="131"/>
      <c r="F40" s="238"/>
      <c r="G40" s="113"/>
      <c r="H40" s="113"/>
      <c r="I40" s="131"/>
      <c r="J40" s="131"/>
      <c r="K40" s="131"/>
      <c r="L40" s="131"/>
      <c r="M40" s="131"/>
      <c r="N40" s="131"/>
      <c r="O40" s="131"/>
      <c r="P40" s="332"/>
    </row>
    <row r="41" spans="1:17" ht="14">
      <c r="A41" s="115" t="s">
        <v>407</v>
      </c>
      <c r="B41" s="115" t="s">
        <v>396</v>
      </c>
      <c r="C41" s="262" t="s">
        <v>105</v>
      </c>
      <c r="D41" s="148"/>
      <c r="E41" s="131"/>
      <c r="F41" s="373">
        <f>'R4 Licence Condition Values'!F31</f>
        <v>5.0000000000000001E-3</v>
      </c>
      <c r="G41" s="113"/>
      <c r="H41" s="113"/>
      <c r="I41" s="131"/>
      <c r="J41" s="131"/>
      <c r="K41" s="131"/>
      <c r="L41" s="131"/>
      <c r="M41" s="131"/>
      <c r="N41" s="131"/>
      <c r="O41" s="131"/>
      <c r="P41" s="332"/>
    </row>
    <row r="42" spans="1:17" ht="14">
      <c r="A42" s="115" t="s">
        <v>408</v>
      </c>
      <c r="B42" s="115" t="s">
        <v>202</v>
      </c>
      <c r="C42" s="262" t="s">
        <v>105</v>
      </c>
      <c r="D42" s="148"/>
      <c r="E42" s="131"/>
      <c r="F42" s="373">
        <f>'R4 Licence Condition Values'!F32</f>
        <v>-7.4999999999999997E-3</v>
      </c>
      <c r="G42" s="113"/>
      <c r="H42" s="113"/>
      <c r="I42" s="131"/>
      <c r="J42" s="131"/>
      <c r="K42" s="131"/>
      <c r="L42" s="131"/>
      <c r="M42" s="131"/>
      <c r="N42" s="131"/>
      <c r="O42" s="131"/>
      <c r="P42" s="332"/>
      <c r="Q42" s="273"/>
    </row>
    <row r="43" spans="1:17" ht="14">
      <c r="A43" s="115" t="s">
        <v>409</v>
      </c>
      <c r="B43" s="115" t="s">
        <v>394</v>
      </c>
      <c r="C43" s="262" t="s">
        <v>416</v>
      </c>
      <c r="D43" s="148"/>
      <c r="E43" s="131"/>
      <c r="F43" s="149">
        <f>'R4 Licence Condition Values'!F29</f>
        <v>12</v>
      </c>
      <c r="G43" s="113"/>
      <c r="H43" s="113"/>
      <c r="I43" s="131"/>
      <c r="J43" s="131"/>
      <c r="K43" s="131"/>
      <c r="L43" s="131"/>
      <c r="M43" s="131"/>
      <c r="N43" s="131"/>
      <c r="O43" s="131"/>
      <c r="P43" s="332"/>
    </row>
    <row r="44" spans="1:17" ht="14">
      <c r="A44" s="115" t="s">
        <v>410</v>
      </c>
      <c r="B44" s="115" t="s">
        <v>399</v>
      </c>
      <c r="C44" s="262" t="s">
        <v>416</v>
      </c>
      <c r="D44" s="148"/>
      <c r="E44" s="131"/>
      <c r="F44" s="149">
        <f>'R4 Licence Condition Values'!F34</f>
        <v>27</v>
      </c>
      <c r="G44" s="113"/>
      <c r="H44" s="113"/>
      <c r="I44" s="131"/>
      <c r="J44" s="131"/>
      <c r="K44" s="131"/>
      <c r="L44" s="131"/>
      <c r="M44" s="131"/>
      <c r="N44" s="131"/>
      <c r="O44" s="131"/>
      <c r="P44" s="332"/>
    </row>
    <row r="45" spans="1:17" ht="14">
      <c r="A45" s="115" t="s">
        <v>411</v>
      </c>
      <c r="B45" s="115" t="s">
        <v>401</v>
      </c>
      <c r="C45" s="262" t="s">
        <v>416</v>
      </c>
      <c r="D45" s="148"/>
      <c r="E45" s="131"/>
      <c r="F45" s="149">
        <f>'R5 Input page'!F70</f>
        <v>0</v>
      </c>
      <c r="G45" s="113"/>
      <c r="H45" s="113"/>
      <c r="I45" s="131"/>
      <c r="J45" s="131"/>
      <c r="K45" s="131"/>
      <c r="L45" s="131"/>
      <c r="M45" s="131"/>
      <c r="N45" s="131"/>
      <c r="O45" s="131"/>
      <c r="P45" s="332"/>
    </row>
    <row r="46" spans="1:17" ht="14">
      <c r="A46" s="115" t="s">
        <v>412</v>
      </c>
      <c r="B46" s="115" t="s">
        <v>392</v>
      </c>
      <c r="C46" s="262" t="s">
        <v>416</v>
      </c>
      <c r="D46" s="148"/>
      <c r="E46" s="131"/>
      <c r="F46" s="149">
        <f>'R4 Licence Condition Values'!F28</f>
        <v>10</v>
      </c>
      <c r="G46" s="113"/>
      <c r="H46" s="113"/>
      <c r="I46" s="131"/>
      <c r="J46" s="131"/>
      <c r="K46" s="131"/>
      <c r="L46" s="131"/>
      <c r="M46" s="131"/>
      <c r="N46" s="131"/>
      <c r="O46" s="131"/>
      <c r="P46" s="332"/>
    </row>
    <row r="47" spans="1:17" ht="14">
      <c r="A47" s="115"/>
      <c r="B47" s="115"/>
      <c r="C47" s="262"/>
      <c r="D47" s="131"/>
      <c r="E47" s="131"/>
      <c r="F47" s="238"/>
      <c r="G47" s="113"/>
      <c r="H47" s="113"/>
      <c r="I47" s="131"/>
      <c r="J47" s="131"/>
      <c r="K47" s="131"/>
      <c r="L47" s="131"/>
      <c r="M47" s="131"/>
      <c r="N47" s="131"/>
      <c r="O47" s="131"/>
      <c r="P47" s="332"/>
    </row>
    <row r="48" spans="1:17" ht="14">
      <c r="A48" s="115"/>
      <c r="B48" s="115"/>
      <c r="C48" s="262"/>
      <c r="D48" s="148"/>
      <c r="E48" s="131"/>
      <c r="F48" s="238"/>
      <c r="L48" s="131"/>
      <c r="M48" s="131"/>
      <c r="N48" s="131"/>
      <c r="O48" s="131"/>
      <c r="P48" s="332"/>
    </row>
    <row r="49" spans="1:19">
      <c r="A49" s="115" t="s">
        <v>413</v>
      </c>
      <c r="B49" s="115" t="s">
        <v>414</v>
      </c>
      <c r="C49" s="262" t="s">
        <v>105</v>
      </c>
      <c r="D49" s="148"/>
      <c r="E49" s="131"/>
      <c r="F49" s="239">
        <f>IF(F45&lt;F46,F41*((F46-F45)/F46),IF(F45&gt;F43,MAX(F42,F42*((F45-F43)/(F44-F43))),0))</f>
        <v>5.0000000000000001E-3</v>
      </c>
      <c r="L49" s="131"/>
      <c r="M49" s="131"/>
      <c r="N49" s="131"/>
      <c r="O49" s="131"/>
      <c r="P49" s="332"/>
    </row>
    <row r="50" spans="1:19" ht="14">
      <c r="A50" s="115"/>
      <c r="B50" s="115"/>
      <c r="C50" s="262"/>
      <c r="D50" s="148"/>
      <c r="E50" s="113"/>
      <c r="F50" s="224"/>
      <c r="G50" s="118"/>
      <c r="H50" s="118"/>
      <c r="I50" s="118"/>
      <c r="J50" s="118"/>
      <c r="K50" s="118"/>
      <c r="L50" s="131"/>
      <c r="M50" s="131"/>
      <c r="N50" s="131"/>
      <c r="O50" s="131"/>
      <c r="P50" s="332"/>
    </row>
    <row r="51" spans="1:19">
      <c r="A51" s="115" t="s">
        <v>415</v>
      </c>
      <c r="B51" s="115" t="s">
        <v>265</v>
      </c>
      <c r="C51" s="261" t="s">
        <v>1</v>
      </c>
      <c r="D51" s="148"/>
      <c r="E51" s="131"/>
      <c r="F51" s="239">
        <f>F37*F49</f>
        <v>0.47198999999999997</v>
      </c>
      <c r="G51" s="118"/>
      <c r="H51" s="118"/>
      <c r="I51" s="118"/>
      <c r="J51" s="118"/>
      <c r="K51" s="118"/>
      <c r="L51" s="131"/>
      <c r="M51" s="131"/>
      <c r="N51" s="131"/>
      <c r="O51" s="131"/>
      <c r="P51" s="332"/>
    </row>
    <row r="52" spans="1:19">
      <c r="A52" s="131"/>
      <c r="B52" s="131"/>
      <c r="C52" s="262"/>
      <c r="D52" s="131"/>
      <c r="E52" s="131"/>
      <c r="F52" s="131"/>
      <c r="G52" s="131"/>
      <c r="H52" s="131"/>
      <c r="I52" s="131"/>
      <c r="J52" s="131"/>
      <c r="K52" s="131"/>
      <c r="L52" s="131"/>
      <c r="M52" s="131"/>
      <c r="N52" s="131"/>
      <c r="O52" s="131"/>
      <c r="P52" s="332"/>
    </row>
    <row r="53" spans="1:19" ht="14">
      <c r="A53" s="116" t="s">
        <v>28</v>
      </c>
      <c r="B53" s="131"/>
      <c r="C53" s="262"/>
      <c r="D53" s="131"/>
      <c r="E53" s="131"/>
      <c r="F53" s="131"/>
      <c r="G53" s="131"/>
      <c r="H53" s="131"/>
      <c r="I53" s="131"/>
      <c r="J53" s="131"/>
      <c r="K53" s="131"/>
      <c r="L53" s="131"/>
      <c r="M53" s="131"/>
      <c r="N53" s="131"/>
      <c r="O53" s="131"/>
      <c r="P53" s="332"/>
    </row>
    <row r="54" spans="1:19">
      <c r="A54" s="131"/>
      <c r="B54" s="131"/>
      <c r="C54" s="262"/>
      <c r="D54" s="131"/>
      <c r="E54" s="131"/>
      <c r="F54" s="131"/>
      <c r="G54" s="131"/>
      <c r="H54" s="131"/>
      <c r="I54" s="131"/>
      <c r="J54" s="131"/>
      <c r="K54" s="131"/>
      <c r="L54" s="118"/>
      <c r="M54" s="131"/>
      <c r="N54" s="131"/>
      <c r="O54" s="131"/>
      <c r="P54" s="332"/>
    </row>
    <row r="55" spans="1:19" ht="21.75" customHeight="1">
      <c r="A55" s="144" t="s">
        <v>348</v>
      </c>
      <c r="B55" s="131"/>
      <c r="C55" s="262"/>
      <c r="D55" s="131"/>
      <c r="E55" s="131"/>
      <c r="F55" s="131"/>
      <c r="G55" s="131"/>
      <c r="H55" s="131"/>
      <c r="I55" s="131"/>
      <c r="J55" s="131"/>
      <c r="K55" s="131"/>
      <c r="L55" s="131"/>
      <c r="M55" s="131"/>
      <c r="N55" s="131"/>
      <c r="O55" s="131"/>
      <c r="P55" s="332"/>
    </row>
    <row r="56" spans="1:19" ht="14.5">
      <c r="A56" s="144" t="s">
        <v>465</v>
      </c>
      <c r="B56" s="131"/>
      <c r="C56" s="262"/>
      <c r="D56" s="131"/>
      <c r="E56" s="131"/>
      <c r="F56" s="112">
        <v>2014</v>
      </c>
      <c r="G56" s="112">
        <v>2015</v>
      </c>
      <c r="H56" s="112">
        <v>2016</v>
      </c>
      <c r="I56" s="112">
        <v>2017</v>
      </c>
      <c r="J56" s="112">
        <v>2018</v>
      </c>
      <c r="K56" s="112">
        <v>2019</v>
      </c>
      <c r="L56" s="112">
        <v>2020</v>
      </c>
      <c r="M56" s="112">
        <v>2021</v>
      </c>
      <c r="N56" s="112">
        <v>2022</v>
      </c>
      <c r="O56" s="112">
        <v>2023</v>
      </c>
      <c r="P56" s="332"/>
    </row>
    <row r="57" spans="1:19">
      <c r="A57" s="131" t="s">
        <v>43</v>
      </c>
      <c r="B57" s="131" t="s">
        <v>209</v>
      </c>
      <c r="C57" s="262"/>
      <c r="D57" s="131"/>
      <c r="E57" s="131"/>
      <c r="F57" s="240">
        <f t="shared" ref="F57:M57" si="18">IF(SER&lt;F68*SERLIMIT,SER,F68*SERLIMIT)</f>
        <v>0</v>
      </c>
      <c r="G57" s="240">
        <f t="shared" si="18"/>
        <v>0</v>
      </c>
      <c r="H57" s="240">
        <f t="shared" si="18"/>
        <v>0</v>
      </c>
      <c r="I57" s="240">
        <f t="shared" si="18"/>
        <v>0</v>
      </c>
      <c r="J57" s="240">
        <f t="shared" si="18"/>
        <v>0</v>
      </c>
      <c r="K57" s="240">
        <f t="shared" si="18"/>
        <v>0</v>
      </c>
      <c r="L57" s="240">
        <f t="shared" si="18"/>
        <v>0</v>
      </c>
      <c r="M57" s="240">
        <f t="shared" si="18"/>
        <v>0</v>
      </c>
      <c r="N57" s="240"/>
      <c r="O57" s="240"/>
      <c r="P57" s="343" t="s">
        <v>209</v>
      </c>
    </row>
    <row r="58" spans="1:19">
      <c r="A58" s="111" t="s">
        <v>44</v>
      </c>
      <c r="B58" s="111" t="s">
        <v>302</v>
      </c>
      <c r="C58" s="259"/>
      <c r="F58" s="164">
        <f>SSI</f>
        <v>0</v>
      </c>
      <c r="G58" s="164">
        <f t="shared" ref="G58:M58" si="19">SSI</f>
        <v>0</v>
      </c>
      <c r="H58" s="164">
        <f t="shared" si="19"/>
        <v>0</v>
      </c>
      <c r="I58" s="164">
        <f t="shared" si="19"/>
        <v>-2.3187342834893063</v>
      </c>
      <c r="J58" s="164">
        <f t="shared" si="19"/>
        <v>-2.6693483509337614</v>
      </c>
      <c r="K58" s="164">
        <f t="shared" si="19"/>
        <v>-3.0667648855893441</v>
      </c>
      <c r="L58" s="164">
        <f t="shared" si="19"/>
        <v>-3.1909369826654927</v>
      </c>
      <c r="M58" s="164">
        <f t="shared" si="19"/>
        <v>-3.3523623215123801</v>
      </c>
      <c r="N58" s="164"/>
      <c r="O58" s="164"/>
      <c r="P58" s="343" t="s">
        <v>302</v>
      </c>
    </row>
    <row r="59" spans="1:19">
      <c r="A59" s="111" t="s">
        <v>208</v>
      </c>
      <c r="B59" s="111" t="s">
        <v>353</v>
      </c>
      <c r="C59" s="262" t="s">
        <v>105</v>
      </c>
      <c r="F59" s="164">
        <f>It</f>
        <v>0.5</v>
      </c>
      <c r="G59" s="164">
        <f t="shared" ref="G59:M59" si="20">It</f>
        <v>0.5</v>
      </c>
      <c r="H59" s="164">
        <f t="shared" si="20"/>
        <v>0.5</v>
      </c>
      <c r="I59" s="164">
        <f t="shared" si="20"/>
        <v>0.34</v>
      </c>
      <c r="J59" s="164">
        <f t="shared" si="20"/>
        <v>0.35</v>
      </c>
      <c r="K59" s="164">
        <f t="shared" si="20"/>
        <v>0.67</v>
      </c>
      <c r="L59" s="164">
        <f t="shared" si="20"/>
        <v>0.72</v>
      </c>
      <c r="M59" s="164">
        <f t="shared" si="20"/>
        <v>0.1</v>
      </c>
      <c r="N59" s="164">
        <f>'R5 Input page'!N52</f>
        <v>0.1</v>
      </c>
      <c r="O59" s="164">
        <f>'R5 Input page'!O52</f>
        <v>0.1</v>
      </c>
      <c r="P59" s="343" t="s">
        <v>32</v>
      </c>
      <c r="S59" s="157"/>
    </row>
    <row r="60" spans="1:19">
      <c r="A60" s="111" t="s">
        <v>28</v>
      </c>
      <c r="B60" s="111" t="s">
        <v>349</v>
      </c>
      <c r="C60" s="259"/>
      <c r="F60" s="219"/>
      <c r="G60" s="219"/>
      <c r="H60" s="225">
        <f>SUM(F57:F58)*(1+F59/100)*(1+G59/100)</f>
        <v>0</v>
      </c>
      <c r="I60" s="225">
        <f t="shared" ref="I60:O60" si="21">SUM(G57:G58)*(1+G59/100)*(1+H59/100)</f>
        <v>0</v>
      </c>
      <c r="J60" s="225">
        <f t="shared" si="21"/>
        <v>0</v>
      </c>
      <c r="K60" s="225">
        <f t="shared" si="21"/>
        <v>-2.3347611429833566</v>
      </c>
      <c r="L60" s="225">
        <f>SUM(J57:J58)*(1+J59/100)*(1+K59/100)</f>
        <v>-2.6966383003321153</v>
      </c>
      <c r="M60" s="225">
        <f t="shared" si="21"/>
        <v>-3.1095408582371169</v>
      </c>
      <c r="N60" s="225">
        <f t="shared" si="21"/>
        <v>-3.2171256406696251</v>
      </c>
      <c r="O60" s="225">
        <f t="shared" si="21"/>
        <v>-3.3590703985177255</v>
      </c>
      <c r="P60" s="343" t="s">
        <v>349</v>
      </c>
    </row>
    <row r="61" spans="1:19">
      <c r="C61" s="259"/>
      <c r="H61" s="118"/>
      <c r="N61" s="273"/>
      <c r="O61" s="273"/>
      <c r="P61" s="332"/>
    </row>
    <row r="62" spans="1:19">
      <c r="C62" s="259"/>
      <c r="H62" s="118"/>
      <c r="N62" s="273"/>
      <c r="O62" s="273"/>
      <c r="P62" s="332"/>
    </row>
    <row r="63" spans="1:19" s="273" customFormat="1" ht="17.5">
      <c r="A63" s="330" t="s">
        <v>303</v>
      </c>
      <c r="B63" s="131"/>
      <c r="C63" s="262"/>
      <c r="D63" s="319"/>
      <c r="E63" s="131"/>
      <c r="F63" s="320" t="s">
        <v>581</v>
      </c>
      <c r="L63" s="118"/>
      <c r="P63" s="332"/>
    </row>
    <row r="64" spans="1:19" s="273" customFormat="1">
      <c r="A64" s="330" t="s">
        <v>466</v>
      </c>
      <c r="B64" s="131"/>
      <c r="C64" s="262"/>
      <c r="D64" s="131"/>
      <c r="E64" s="131"/>
      <c r="F64" s="131"/>
      <c r="P64" s="332"/>
    </row>
    <row r="65" spans="1:17" s="273" customFormat="1" ht="14.5">
      <c r="A65" s="331"/>
      <c r="B65" s="131"/>
      <c r="C65" s="262"/>
      <c r="D65" s="131"/>
      <c r="E65" s="131"/>
      <c r="F65" s="146">
        <v>2014</v>
      </c>
      <c r="G65" s="112">
        <v>2015</v>
      </c>
      <c r="H65" s="112">
        <v>2016</v>
      </c>
      <c r="I65" s="112">
        <v>2017</v>
      </c>
      <c r="J65" s="112">
        <v>2018</v>
      </c>
      <c r="K65" s="112">
        <v>2019</v>
      </c>
      <c r="L65" s="112">
        <v>2020</v>
      </c>
      <c r="M65" s="112">
        <v>2021</v>
      </c>
      <c r="N65" s="112">
        <v>2022</v>
      </c>
      <c r="O65" s="112">
        <v>2023</v>
      </c>
      <c r="P65" s="332"/>
    </row>
    <row r="66" spans="1:17" s="273" customFormat="1">
      <c r="A66" s="331" t="s">
        <v>204</v>
      </c>
      <c r="B66" s="131" t="s">
        <v>298</v>
      </c>
      <c r="C66" s="276" t="s">
        <v>1</v>
      </c>
      <c r="D66" s="131"/>
      <c r="E66" s="131"/>
      <c r="F66" s="321">
        <f t="shared" ref="F66:M66" si="22">BR</f>
        <v>121.5805473654021</v>
      </c>
      <c r="G66" s="322">
        <f t="shared" si="22"/>
        <v>144.88183379911854</v>
      </c>
      <c r="H66" s="322">
        <f t="shared" si="22"/>
        <v>257.33702665771352</v>
      </c>
      <c r="I66" s="322">
        <f t="shared" si="22"/>
        <v>257.63714260992293</v>
      </c>
      <c r="J66" s="322">
        <f t="shared" si="22"/>
        <v>212.33806976005224</v>
      </c>
      <c r="K66" s="322">
        <f t="shared" si="22"/>
        <v>256.82224727854003</v>
      </c>
      <c r="L66" s="322">
        <f t="shared" si="22"/>
        <v>271.06515945388799</v>
      </c>
      <c r="M66" s="322">
        <f t="shared" si="22"/>
        <v>291.03938687052568</v>
      </c>
      <c r="N66" s="322"/>
      <c r="O66" s="322"/>
      <c r="P66" s="343" t="s">
        <v>298</v>
      </c>
    </row>
    <row r="67" spans="1:17" s="273" customFormat="1">
      <c r="A67" s="331" t="s">
        <v>205</v>
      </c>
      <c r="B67" s="131" t="s">
        <v>137</v>
      </c>
      <c r="C67" s="276" t="s">
        <v>1</v>
      </c>
      <c r="D67" s="131"/>
      <c r="E67" s="131"/>
      <c r="F67" s="321">
        <f t="shared" ref="F67:M67" si="23">TIRG</f>
        <v>43.13029648352763</v>
      </c>
      <c r="G67" s="322">
        <f t="shared" si="23"/>
        <v>45.642498240794303</v>
      </c>
      <c r="H67" s="322">
        <f t="shared" si="23"/>
        <v>44.861665942027251</v>
      </c>
      <c r="I67" s="322">
        <f t="shared" si="23"/>
        <v>0</v>
      </c>
      <c r="J67" s="322">
        <f t="shared" si="23"/>
        <v>84.256191454810178</v>
      </c>
      <c r="K67" s="322">
        <f t="shared" si="23"/>
        <v>83.929406675831544</v>
      </c>
      <c r="L67" s="322">
        <f t="shared" si="23"/>
        <v>83.48339417561121</v>
      </c>
      <c r="M67" s="322">
        <f t="shared" si="23"/>
        <v>81.445315519738841</v>
      </c>
      <c r="N67" s="322"/>
      <c r="O67" s="322"/>
      <c r="P67" s="343" t="s">
        <v>137</v>
      </c>
    </row>
    <row r="68" spans="1:17" s="273" customFormat="1">
      <c r="A68" s="331"/>
      <c r="B68" s="131" t="s">
        <v>85</v>
      </c>
      <c r="C68" s="276" t="s">
        <v>1</v>
      </c>
      <c r="D68" s="131"/>
      <c r="E68" s="131"/>
      <c r="F68" s="323">
        <f>F66+F67</f>
        <v>164.71084384892973</v>
      </c>
      <c r="G68" s="324">
        <f t="shared" ref="G68:M68" si="24">G66+G67</f>
        <v>190.52433203991285</v>
      </c>
      <c r="H68" s="324">
        <f t="shared" si="24"/>
        <v>302.19869259974075</v>
      </c>
      <c r="I68" s="324">
        <f t="shared" si="24"/>
        <v>257.63714260992293</v>
      </c>
      <c r="J68" s="324">
        <f t="shared" si="24"/>
        <v>296.5942612148624</v>
      </c>
      <c r="K68" s="324">
        <f t="shared" si="24"/>
        <v>340.75165395437159</v>
      </c>
      <c r="L68" s="324">
        <f t="shared" si="24"/>
        <v>354.54855362949922</v>
      </c>
      <c r="M68" s="324">
        <f t="shared" si="24"/>
        <v>372.48470239026449</v>
      </c>
      <c r="N68" s="324">
        <f t="shared" ref="N68:O68" si="25">N66+N67</f>
        <v>0</v>
      </c>
      <c r="O68" s="324">
        <f t="shared" si="25"/>
        <v>0</v>
      </c>
      <c r="P68" s="343"/>
    </row>
    <row r="69" spans="1:17" s="273" customFormat="1">
      <c r="A69" s="331" t="s">
        <v>567</v>
      </c>
      <c r="B69" s="131" t="s">
        <v>548</v>
      </c>
      <c r="C69" s="276" t="s">
        <v>118</v>
      </c>
      <c r="D69" s="131"/>
      <c r="E69" s="131"/>
      <c r="F69" s="321">
        <f t="shared" ref="F69:M69" si="26">SSPRO</f>
        <v>0</v>
      </c>
      <c r="G69" s="321">
        <f t="shared" si="26"/>
        <v>0</v>
      </c>
      <c r="H69" s="321">
        <f t="shared" si="26"/>
        <v>0</v>
      </c>
      <c r="I69" s="321">
        <f t="shared" si="26"/>
        <v>0.6</v>
      </c>
      <c r="J69" s="321">
        <f t="shared" si="26"/>
        <v>0.6</v>
      </c>
      <c r="K69" s="321">
        <f t="shared" si="26"/>
        <v>0.6</v>
      </c>
      <c r="L69" s="321">
        <f t="shared" si="26"/>
        <v>0.6</v>
      </c>
      <c r="M69" s="321">
        <f t="shared" si="26"/>
        <v>0.6</v>
      </c>
      <c r="N69" s="321"/>
      <c r="O69" s="321"/>
      <c r="P69" s="343" t="s">
        <v>548</v>
      </c>
    </row>
    <row r="70" spans="1:17" s="273" customFormat="1">
      <c r="A70" s="331" t="s">
        <v>206</v>
      </c>
      <c r="B70" s="131" t="s">
        <v>304</v>
      </c>
      <c r="C70" s="276" t="s">
        <v>118</v>
      </c>
      <c r="D70" s="131"/>
      <c r="E70" s="131"/>
      <c r="F70" s="321">
        <f t="shared" ref="F70:M70" si="27">SS</f>
        <v>0</v>
      </c>
      <c r="G70" s="321">
        <f t="shared" si="27"/>
        <v>0</v>
      </c>
      <c r="H70" s="321">
        <f t="shared" si="27"/>
        <v>0</v>
      </c>
      <c r="I70" s="321">
        <f t="shared" si="27"/>
        <v>-1</v>
      </c>
      <c r="J70" s="321">
        <f t="shared" si="27"/>
        <v>-1</v>
      </c>
      <c r="K70" s="321">
        <f t="shared" si="27"/>
        <v>-1</v>
      </c>
      <c r="L70" s="321">
        <f t="shared" si="27"/>
        <v>-1</v>
      </c>
      <c r="M70" s="321">
        <f t="shared" si="27"/>
        <v>-1</v>
      </c>
      <c r="N70" s="321"/>
      <c r="O70" s="321"/>
      <c r="P70" s="343" t="s">
        <v>304</v>
      </c>
    </row>
    <row r="71" spans="1:17" s="273" customFormat="1">
      <c r="A71" s="331"/>
      <c r="B71" s="131" t="s">
        <v>207</v>
      </c>
      <c r="C71" s="276" t="s">
        <v>118</v>
      </c>
      <c r="D71" s="131"/>
      <c r="E71" s="131"/>
      <c r="F71" s="325">
        <f>F69*F70</f>
        <v>0</v>
      </c>
      <c r="G71" s="326">
        <f t="shared" ref="G71:M71" si="28">G69*G70</f>
        <v>0</v>
      </c>
      <c r="H71" s="326">
        <f t="shared" si="28"/>
        <v>0</v>
      </c>
      <c r="I71" s="326">
        <f t="shared" si="28"/>
        <v>-0.6</v>
      </c>
      <c r="J71" s="326">
        <f t="shared" si="28"/>
        <v>-0.6</v>
      </c>
      <c r="K71" s="326">
        <f t="shared" si="28"/>
        <v>-0.6</v>
      </c>
      <c r="L71" s="326">
        <f t="shared" si="28"/>
        <v>-0.6</v>
      </c>
      <c r="M71" s="326">
        <f t="shared" si="28"/>
        <v>-0.6</v>
      </c>
      <c r="N71" s="326">
        <f t="shared" ref="N71:O71" si="29">N69*N70</f>
        <v>0</v>
      </c>
      <c r="O71" s="326">
        <f t="shared" si="29"/>
        <v>0</v>
      </c>
      <c r="P71" s="343"/>
    </row>
    <row r="72" spans="1:17" s="273" customFormat="1">
      <c r="A72" s="331" t="s">
        <v>567</v>
      </c>
      <c r="B72" s="131" t="s">
        <v>562</v>
      </c>
      <c r="C72" s="276" t="s">
        <v>118</v>
      </c>
      <c r="D72" s="131"/>
      <c r="E72" s="131"/>
      <c r="F72" s="321">
        <f t="shared" ref="F72:M72" si="30">SKPIPRO</f>
        <v>0</v>
      </c>
      <c r="G72" s="321">
        <f t="shared" si="30"/>
        <v>0</v>
      </c>
      <c r="H72" s="321">
        <f t="shared" si="30"/>
        <v>0</v>
      </c>
      <c r="I72" s="321">
        <f t="shared" si="30"/>
        <v>0.3</v>
      </c>
      <c r="J72" s="321">
        <f t="shared" si="30"/>
        <v>0.3</v>
      </c>
      <c r="K72" s="321">
        <f t="shared" si="30"/>
        <v>0.3</v>
      </c>
      <c r="L72" s="321">
        <f t="shared" si="30"/>
        <v>0.3</v>
      </c>
      <c r="M72" s="321">
        <f t="shared" si="30"/>
        <v>0.3</v>
      </c>
      <c r="N72" s="321"/>
      <c r="O72" s="321"/>
      <c r="P72" s="343" t="s">
        <v>562</v>
      </c>
    </row>
    <row r="73" spans="1:17" s="273" customFormat="1">
      <c r="A73" s="331" t="s">
        <v>206</v>
      </c>
      <c r="B73" s="131" t="s">
        <v>305</v>
      </c>
      <c r="C73" s="276" t="s">
        <v>118</v>
      </c>
      <c r="D73" s="131"/>
      <c r="E73" s="131"/>
      <c r="F73" s="321">
        <f t="shared" ref="F73:M73" si="31">SKPI</f>
        <v>0</v>
      </c>
      <c r="G73" s="321">
        <f t="shared" si="31"/>
        <v>0</v>
      </c>
      <c r="H73" s="321">
        <f t="shared" si="31"/>
        <v>0</v>
      </c>
      <c r="I73" s="321">
        <f t="shared" si="31"/>
        <v>-1</v>
      </c>
      <c r="J73" s="321">
        <f t="shared" si="31"/>
        <v>-1</v>
      </c>
      <c r="K73" s="321">
        <f t="shared" si="31"/>
        <v>-1</v>
      </c>
      <c r="L73" s="321">
        <f t="shared" si="31"/>
        <v>-1</v>
      </c>
      <c r="M73" s="321">
        <f t="shared" si="31"/>
        <v>-1</v>
      </c>
      <c r="N73" s="321"/>
      <c r="O73" s="321"/>
      <c r="P73" s="343" t="s">
        <v>305</v>
      </c>
    </row>
    <row r="74" spans="1:17" s="273" customFormat="1">
      <c r="A74" s="331"/>
      <c r="B74" s="131" t="s">
        <v>207</v>
      </c>
      <c r="C74" s="276" t="s">
        <v>118</v>
      </c>
      <c r="D74" s="131"/>
      <c r="E74" s="131"/>
      <c r="F74" s="325">
        <f>F72*F73</f>
        <v>0</v>
      </c>
      <c r="G74" s="326">
        <f t="shared" ref="G74:M74" si="32">G72*G73</f>
        <v>0</v>
      </c>
      <c r="H74" s="326">
        <f t="shared" si="32"/>
        <v>0</v>
      </c>
      <c r="I74" s="326">
        <f t="shared" si="32"/>
        <v>-0.3</v>
      </c>
      <c r="J74" s="326">
        <f t="shared" si="32"/>
        <v>-0.3</v>
      </c>
      <c r="K74" s="326">
        <f t="shared" si="32"/>
        <v>-0.3</v>
      </c>
      <c r="L74" s="326">
        <f t="shared" si="32"/>
        <v>-0.3</v>
      </c>
      <c r="M74" s="326">
        <f t="shared" si="32"/>
        <v>-0.3</v>
      </c>
      <c r="N74" s="326">
        <f t="shared" ref="N74:O74" si="33">N72*N73</f>
        <v>0</v>
      </c>
      <c r="O74" s="326">
        <f t="shared" si="33"/>
        <v>0</v>
      </c>
      <c r="P74" s="343"/>
    </row>
    <row r="75" spans="1:17" s="273" customFormat="1">
      <c r="A75" s="331" t="s">
        <v>567</v>
      </c>
      <c r="B75" s="131" t="s">
        <v>564</v>
      </c>
      <c r="C75" s="276" t="s">
        <v>118</v>
      </c>
      <c r="D75" s="131"/>
      <c r="E75" s="131"/>
      <c r="F75" s="321">
        <f t="shared" ref="F75:M75" si="34">SEAPRO</f>
        <v>0.1</v>
      </c>
      <c r="G75" s="321">
        <f t="shared" si="34"/>
        <v>0.1</v>
      </c>
      <c r="H75" s="321">
        <f t="shared" si="34"/>
        <v>0.1</v>
      </c>
      <c r="I75" s="321">
        <f t="shared" si="34"/>
        <v>0.1</v>
      </c>
      <c r="J75" s="321">
        <f t="shared" si="34"/>
        <v>0.1</v>
      </c>
      <c r="K75" s="321">
        <f t="shared" si="34"/>
        <v>0.1</v>
      </c>
      <c r="L75" s="321">
        <f t="shared" si="34"/>
        <v>0.1</v>
      </c>
      <c r="M75" s="321">
        <f t="shared" si="34"/>
        <v>0.1</v>
      </c>
      <c r="N75" s="321"/>
      <c r="O75" s="321"/>
      <c r="P75" s="343" t="s">
        <v>564</v>
      </c>
    </row>
    <row r="76" spans="1:17" s="273" customFormat="1">
      <c r="A76" s="331" t="s">
        <v>206</v>
      </c>
      <c r="B76" s="131" t="s">
        <v>306</v>
      </c>
      <c r="C76" s="276" t="s">
        <v>118</v>
      </c>
      <c r="D76" s="131"/>
      <c r="E76" s="131"/>
      <c r="F76" s="321">
        <f t="shared" ref="F76:M76" si="35">SEA</f>
        <v>0</v>
      </c>
      <c r="G76" s="321">
        <f t="shared" si="35"/>
        <v>0</v>
      </c>
      <c r="H76" s="321">
        <f t="shared" si="35"/>
        <v>0</v>
      </c>
      <c r="I76" s="321">
        <f t="shared" si="35"/>
        <v>0</v>
      </c>
      <c r="J76" s="321">
        <f t="shared" si="35"/>
        <v>0</v>
      </c>
      <c r="K76" s="321">
        <f t="shared" si="35"/>
        <v>0</v>
      </c>
      <c r="L76" s="321">
        <f t="shared" si="35"/>
        <v>0</v>
      </c>
      <c r="M76" s="321">
        <f t="shared" si="35"/>
        <v>0</v>
      </c>
      <c r="N76" s="321"/>
      <c r="O76" s="321"/>
      <c r="P76" s="343" t="s">
        <v>306</v>
      </c>
    </row>
    <row r="77" spans="1:17" s="273" customFormat="1">
      <c r="A77" s="331"/>
      <c r="B77" s="131" t="s">
        <v>207</v>
      </c>
      <c r="C77" s="276" t="s">
        <v>118</v>
      </c>
      <c r="D77" s="131"/>
      <c r="E77" s="131"/>
      <c r="F77" s="325">
        <f>F75*F76</f>
        <v>0</v>
      </c>
      <c r="G77" s="326">
        <f t="shared" ref="G77:M77" si="36">G75*G76</f>
        <v>0</v>
      </c>
      <c r="H77" s="326">
        <f t="shared" si="36"/>
        <v>0</v>
      </c>
      <c r="I77" s="326">
        <f t="shared" si="36"/>
        <v>0</v>
      </c>
      <c r="J77" s="326">
        <f t="shared" si="36"/>
        <v>0</v>
      </c>
      <c r="K77" s="326">
        <f t="shared" si="36"/>
        <v>0</v>
      </c>
      <c r="L77" s="326">
        <f t="shared" si="36"/>
        <v>0</v>
      </c>
      <c r="M77" s="326">
        <f t="shared" si="36"/>
        <v>0</v>
      </c>
      <c r="N77" s="326">
        <f t="shared" ref="N77:O77" si="37">N75*N76</f>
        <v>0</v>
      </c>
      <c r="O77" s="326">
        <f t="shared" si="37"/>
        <v>0</v>
      </c>
      <c r="P77" s="332"/>
    </row>
    <row r="78" spans="1:17" s="273" customFormat="1">
      <c r="A78" s="331" t="s">
        <v>44</v>
      </c>
      <c r="B78" s="131" t="s">
        <v>302</v>
      </c>
      <c r="C78" s="276"/>
      <c r="D78" s="131"/>
      <c r="E78" s="131"/>
      <c r="F78" s="325">
        <f>0.01*(F71+F74+F77)*(F66+F67)</f>
        <v>0</v>
      </c>
      <c r="G78" s="326">
        <f>0.01*(G71+G74+G77)*(G66+G67)</f>
        <v>0</v>
      </c>
      <c r="H78" s="326">
        <f t="shared" ref="H78:M78" si="38">0.01*(H71+H74+H77)*(H66+H67)</f>
        <v>0</v>
      </c>
      <c r="I78" s="326">
        <f t="shared" si="38"/>
        <v>-2.3187342834893063</v>
      </c>
      <c r="J78" s="326">
        <f t="shared" si="38"/>
        <v>-2.6693483509337614</v>
      </c>
      <c r="K78" s="326">
        <f t="shared" si="38"/>
        <v>-3.0667648855893441</v>
      </c>
      <c r="L78" s="326">
        <f t="shared" si="38"/>
        <v>-3.1909369826654927</v>
      </c>
      <c r="M78" s="326">
        <f t="shared" si="38"/>
        <v>-3.3523623215123801</v>
      </c>
      <c r="N78" s="326">
        <f t="shared" ref="N78:O78" si="39">0.01*(N71+N74+N77)*(N66+N67)</f>
        <v>0</v>
      </c>
      <c r="O78" s="326">
        <f t="shared" si="39"/>
        <v>0</v>
      </c>
      <c r="P78" s="343" t="s">
        <v>302</v>
      </c>
    </row>
    <row r="79" spans="1:17" s="273" customFormat="1">
      <c r="A79" s="331"/>
      <c r="B79" s="131"/>
      <c r="C79" s="262"/>
      <c r="D79" s="131"/>
      <c r="E79" s="131"/>
      <c r="F79" s="234"/>
      <c r="G79" s="234"/>
      <c r="H79" s="234"/>
      <c r="I79" s="234"/>
      <c r="J79" s="234"/>
      <c r="K79" s="234"/>
      <c r="L79" s="234"/>
      <c r="M79" s="234"/>
      <c r="N79" s="234"/>
      <c r="O79" s="234"/>
      <c r="P79" s="343"/>
    </row>
    <row r="80" spans="1:17" s="273" customFormat="1" ht="17.5">
      <c r="A80" s="331"/>
      <c r="B80" s="131"/>
      <c r="C80" s="262"/>
      <c r="D80" s="131"/>
      <c r="E80" s="131"/>
      <c r="F80" s="231" t="s">
        <v>590</v>
      </c>
      <c r="K80" s="231" t="s">
        <v>591</v>
      </c>
      <c r="P80" s="343"/>
      <c r="Q80" s="332"/>
    </row>
    <row r="81" spans="1:17" s="273" customFormat="1" ht="17.5">
      <c r="A81" s="330" t="s">
        <v>568</v>
      </c>
      <c r="B81" s="131"/>
      <c r="C81" s="262"/>
      <c r="D81" s="131"/>
      <c r="E81" s="131"/>
      <c r="F81" s="155" t="s">
        <v>592</v>
      </c>
      <c r="K81" s="155" t="s">
        <v>597</v>
      </c>
      <c r="P81" s="343"/>
      <c r="Q81" s="332"/>
    </row>
    <row r="82" spans="1:17" s="273" customFormat="1" ht="15.5">
      <c r="A82" s="330" t="s">
        <v>569</v>
      </c>
      <c r="B82" s="131"/>
      <c r="C82" s="262"/>
      <c r="D82" s="131"/>
      <c r="E82" s="131"/>
      <c r="F82" s="155"/>
      <c r="P82" s="343"/>
      <c r="Q82" s="332"/>
    </row>
    <row r="83" spans="1:17" s="273" customFormat="1" ht="15.5">
      <c r="A83" s="331"/>
      <c r="B83" s="131"/>
      <c r="C83" s="262"/>
      <c r="D83" s="131"/>
      <c r="E83" s="131"/>
      <c r="F83" s="155"/>
      <c r="P83" s="331"/>
      <c r="Q83" s="332"/>
    </row>
    <row r="84" spans="1:17" s="273" customFormat="1">
      <c r="A84" s="331" t="s">
        <v>536</v>
      </c>
      <c r="B84" s="121" t="s">
        <v>537</v>
      </c>
      <c r="C84" s="273" t="s">
        <v>538</v>
      </c>
      <c r="F84" s="139">
        <f t="shared" ref="F84:M84" si="40">SST</f>
        <v>0</v>
      </c>
      <c r="G84" s="139">
        <f t="shared" si="40"/>
        <v>0</v>
      </c>
      <c r="H84" s="139">
        <f t="shared" si="40"/>
        <v>0</v>
      </c>
      <c r="I84" s="139">
        <f t="shared" si="40"/>
        <v>7.4</v>
      </c>
      <c r="J84" s="139">
        <f t="shared" si="40"/>
        <v>7.4</v>
      </c>
      <c r="K84" s="139">
        <f t="shared" si="40"/>
        <v>7.4</v>
      </c>
      <c r="L84" s="139">
        <f t="shared" si="40"/>
        <v>7.4</v>
      </c>
      <c r="M84" s="139">
        <f t="shared" si="40"/>
        <v>7.4</v>
      </c>
      <c r="N84" s="139"/>
      <c r="O84" s="139"/>
      <c r="P84" s="377" t="s">
        <v>537</v>
      </c>
      <c r="Q84" s="332"/>
    </row>
    <row r="85" spans="1:17" s="273" customFormat="1">
      <c r="A85" s="331" t="s">
        <v>539</v>
      </c>
      <c r="B85" s="121" t="s">
        <v>540</v>
      </c>
      <c r="C85" s="273" t="s">
        <v>538</v>
      </c>
      <c r="F85" s="139">
        <f t="shared" ref="F85:M85" si="41">SSCAP</f>
        <v>0</v>
      </c>
      <c r="G85" s="139">
        <f t="shared" si="41"/>
        <v>0</v>
      </c>
      <c r="H85" s="139">
        <f t="shared" si="41"/>
        <v>0</v>
      </c>
      <c r="I85" s="139">
        <f t="shared" si="41"/>
        <v>9</v>
      </c>
      <c r="J85" s="139">
        <f t="shared" si="41"/>
        <v>9</v>
      </c>
      <c r="K85" s="139">
        <f t="shared" si="41"/>
        <v>9</v>
      </c>
      <c r="L85" s="139">
        <f t="shared" si="41"/>
        <v>9</v>
      </c>
      <c r="M85" s="139">
        <f t="shared" si="41"/>
        <v>9</v>
      </c>
      <c r="N85" s="139"/>
      <c r="O85" s="139"/>
      <c r="P85" s="377" t="s">
        <v>540</v>
      </c>
      <c r="Q85" s="332"/>
    </row>
    <row r="86" spans="1:17" s="273" customFormat="1">
      <c r="A86" s="331" t="s">
        <v>543</v>
      </c>
      <c r="B86" s="131" t="s">
        <v>544</v>
      </c>
      <c r="C86" s="273" t="s">
        <v>573</v>
      </c>
      <c r="F86" s="139">
        <f t="shared" ref="F86:M86" si="42">SSUPA</f>
        <v>1</v>
      </c>
      <c r="G86" s="139">
        <f t="shared" si="42"/>
        <v>1</v>
      </c>
      <c r="H86" s="139">
        <f t="shared" si="42"/>
        <v>1</v>
      </c>
      <c r="I86" s="139">
        <f t="shared" si="42"/>
        <v>1</v>
      </c>
      <c r="J86" s="139">
        <f t="shared" si="42"/>
        <v>1</v>
      </c>
      <c r="K86" s="139">
        <f t="shared" si="42"/>
        <v>1</v>
      </c>
      <c r="L86" s="139">
        <f t="shared" si="42"/>
        <v>1</v>
      </c>
      <c r="M86" s="139">
        <f t="shared" si="42"/>
        <v>1</v>
      </c>
      <c r="N86" s="139"/>
      <c r="O86" s="139"/>
      <c r="P86" s="343" t="s">
        <v>544</v>
      </c>
      <c r="Q86" s="332"/>
    </row>
    <row r="87" spans="1:17" s="273" customFormat="1">
      <c r="A87" s="331" t="s">
        <v>541</v>
      </c>
      <c r="B87" s="121" t="s">
        <v>542</v>
      </c>
      <c r="C87" s="273" t="s">
        <v>538</v>
      </c>
      <c r="F87" s="139">
        <f t="shared" ref="F87:M87" si="43">SSCOL</f>
        <v>0</v>
      </c>
      <c r="G87" s="139">
        <f t="shared" si="43"/>
        <v>0</v>
      </c>
      <c r="H87" s="139">
        <f t="shared" si="43"/>
        <v>0</v>
      </c>
      <c r="I87" s="139">
        <f t="shared" si="43"/>
        <v>5.8</v>
      </c>
      <c r="J87" s="139">
        <f t="shared" si="43"/>
        <v>5.8</v>
      </c>
      <c r="K87" s="139">
        <f t="shared" si="43"/>
        <v>5.8</v>
      </c>
      <c r="L87" s="139">
        <f t="shared" si="43"/>
        <v>5.8</v>
      </c>
      <c r="M87" s="139">
        <f t="shared" si="43"/>
        <v>5.8</v>
      </c>
      <c r="N87" s="139"/>
      <c r="O87" s="139"/>
      <c r="P87" s="377" t="s">
        <v>542</v>
      </c>
      <c r="Q87" s="332"/>
    </row>
    <row r="88" spans="1:17" s="273" customFormat="1">
      <c r="A88" s="331" t="s">
        <v>545</v>
      </c>
      <c r="B88" s="121" t="s">
        <v>546</v>
      </c>
      <c r="C88" s="273" t="s">
        <v>573</v>
      </c>
      <c r="F88" s="139">
        <f t="shared" ref="F88:M88" si="44">SSDPA</f>
        <v>-1</v>
      </c>
      <c r="G88" s="139">
        <f t="shared" si="44"/>
        <v>-1</v>
      </c>
      <c r="H88" s="139">
        <f t="shared" si="44"/>
        <v>-1</v>
      </c>
      <c r="I88" s="139">
        <f t="shared" si="44"/>
        <v>-1</v>
      </c>
      <c r="J88" s="139">
        <f t="shared" si="44"/>
        <v>-1</v>
      </c>
      <c r="K88" s="139">
        <f t="shared" si="44"/>
        <v>-1</v>
      </c>
      <c r="L88" s="139">
        <f t="shared" si="44"/>
        <v>-1</v>
      </c>
      <c r="M88" s="139">
        <f t="shared" si="44"/>
        <v>-1</v>
      </c>
      <c r="N88" s="139"/>
      <c r="O88" s="139"/>
      <c r="P88" s="377" t="s">
        <v>546</v>
      </c>
      <c r="Q88" s="332"/>
    </row>
    <row r="89" spans="1:17" s="273" customFormat="1">
      <c r="A89" s="331" t="s">
        <v>570</v>
      </c>
      <c r="B89" s="121" t="s">
        <v>351</v>
      </c>
      <c r="C89" s="273" t="s">
        <v>538</v>
      </c>
      <c r="F89" s="139">
        <f t="shared" ref="F89:M89" si="45">SSC</f>
        <v>0</v>
      </c>
      <c r="G89" s="139">
        <f t="shared" si="45"/>
        <v>0</v>
      </c>
      <c r="H89" s="139">
        <f t="shared" si="45"/>
        <v>0</v>
      </c>
      <c r="I89" s="139">
        <f t="shared" si="45"/>
        <v>0</v>
      </c>
      <c r="J89" s="139">
        <f t="shared" si="45"/>
        <v>0</v>
      </c>
      <c r="K89" s="139">
        <f t="shared" si="45"/>
        <v>0</v>
      </c>
      <c r="L89" s="139">
        <f t="shared" si="45"/>
        <v>0</v>
      </c>
      <c r="M89" s="139">
        <f t="shared" si="45"/>
        <v>0</v>
      </c>
      <c r="N89" s="139"/>
      <c r="O89" s="139"/>
      <c r="P89" s="343" t="s">
        <v>351</v>
      </c>
      <c r="Q89" s="332"/>
    </row>
    <row r="90" spans="1:17" s="273" customFormat="1">
      <c r="A90" s="331"/>
      <c r="B90" s="121" t="s">
        <v>304</v>
      </c>
      <c r="C90" s="273" t="s">
        <v>118</v>
      </c>
      <c r="D90" s="160"/>
      <c r="E90" s="160"/>
      <c r="F90" s="421"/>
      <c r="G90" s="421"/>
      <c r="H90" s="422"/>
      <c r="I90" s="327">
        <f t="shared" ref="I90:M90" si="46">IF(I89&gt;I84,MIN(I86,I86*(I89-I84)/(I85-I84)),IF(I89&lt;I84,MAX(I88,I88*(I84-I89)/(I84-I87)),0))</f>
        <v>-1</v>
      </c>
      <c r="J90" s="327">
        <f>IF(J89&gt;J84,MIN(J86,J86*(J89-J84)/(J85-J84)),IF(J89&lt;J84,MAX(J88,J88*(J84-J89)/(J84-J87)),0))</f>
        <v>-1</v>
      </c>
      <c r="K90" s="327">
        <f t="shared" si="46"/>
        <v>-1</v>
      </c>
      <c r="L90" s="327">
        <f t="shared" si="46"/>
        <v>-1</v>
      </c>
      <c r="M90" s="327">
        <f t="shared" si="46"/>
        <v>-1</v>
      </c>
      <c r="N90" s="327">
        <f t="shared" ref="N90:O90" si="47">IF(N89&gt;N84,MIN(N86,N86*(N89-N84)/(N85-N84)),IF(N89&lt;N84,MAX(N88,N88*(N84-N89)/(N84-N87)),0))</f>
        <v>0</v>
      </c>
      <c r="O90" s="327">
        <f t="shared" si="47"/>
        <v>0</v>
      </c>
      <c r="P90" s="343" t="s">
        <v>304</v>
      </c>
      <c r="Q90" s="332"/>
    </row>
    <row r="91" spans="1:17" s="273" customFormat="1" ht="15.5">
      <c r="A91" s="331"/>
      <c r="B91" s="131"/>
      <c r="C91" s="262"/>
      <c r="D91" s="131"/>
      <c r="E91" s="131"/>
      <c r="F91" s="155"/>
      <c r="P91" s="343"/>
    </row>
    <row r="92" spans="1:17" s="273" customFormat="1" ht="15.5">
      <c r="A92" s="332"/>
      <c r="B92" s="131"/>
      <c r="C92" s="262"/>
      <c r="D92" s="131"/>
      <c r="E92" s="131"/>
      <c r="F92" s="155"/>
      <c r="P92" s="343"/>
    </row>
    <row r="93" spans="1:17" s="273" customFormat="1" ht="17.5">
      <c r="A93" s="330" t="s">
        <v>571</v>
      </c>
      <c r="B93" s="131"/>
      <c r="C93" s="262"/>
      <c r="D93" s="131"/>
      <c r="E93" s="131"/>
      <c r="F93" s="231" t="s">
        <v>593</v>
      </c>
      <c r="G93" s="382"/>
      <c r="H93" s="382"/>
      <c r="I93" s="382"/>
      <c r="J93" s="383"/>
      <c r="K93" s="382"/>
      <c r="L93" s="231" t="s">
        <v>595</v>
      </c>
      <c r="P93" s="332"/>
      <c r="Q93" s="332"/>
    </row>
    <row r="94" spans="1:17" s="273" customFormat="1" ht="17.5">
      <c r="A94" s="330" t="s">
        <v>569</v>
      </c>
      <c r="B94" s="131"/>
      <c r="C94" s="262"/>
      <c r="D94" s="131"/>
      <c r="E94" s="131"/>
      <c r="F94" s="155" t="s">
        <v>594</v>
      </c>
      <c r="G94" s="382"/>
      <c r="H94" s="382"/>
      <c r="I94" s="382"/>
      <c r="J94" s="382"/>
      <c r="K94" s="382"/>
      <c r="L94" s="155" t="s">
        <v>596</v>
      </c>
      <c r="P94" s="332"/>
      <c r="Q94" s="332"/>
    </row>
    <row r="95" spans="1:17" s="273" customFormat="1">
      <c r="A95" s="331"/>
      <c r="B95" s="131"/>
      <c r="C95" s="262"/>
      <c r="D95" s="131"/>
      <c r="E95" s="131"/>
      <c r="F95" s="131"/>
      <c r="P95" s="331"/>
      <c r="Q95" s="332"/>
    </row>
    <row r="96" spans="1:17" s="273" customFormat="1">
      <c r="A96" s="331" t="s">
        <v>551</v>
      </c>
      <c r="B96" s="121" t="s">
        <v>552</v>
      </c>
      <c r="C96" s="273" t="s">
        <v>538</v>
      </c>
      <c r="F96" s="139">
        <f t="shared" ref="F96:M96" si="48">SKPIT</f>
        <v>0</v>
      </c>
      <c r="G96" s="139">
        <f t="shared" si="48"/>
        <v>0</v>
      </c>
      <c r="H96" s="139">
        <f t="shared" si="48"/>
        <v>0</v>
      </c>
      <c r="I96" s="139">
        <f t="shared" si="48"/>
        <v>89</v>
      </c>
      <c r="J96" s="139">
        <f t="shared" si="48"/>
        <v>89</v>
      </c>
      <c r="K96" s="139">
        <f t="shared" si="48"/>
        <v>89</v>
      </c>
      <c r="L96" s="139">
        <f t="shared" si="48"/>
        <v>89</v>
      </c>
      <c r="M96" s="139">
        <f t="shared" si="48"/>
        <v>89</v>
      </c>
      <c r="N96" s="139"/>
      <c r="O96" s="139"/>
      <c r="P96" s="343" t="s">
        <v>552</v>
      </c>
      <c r="Q96" s="332"/>
    </row>
    <row r="97" spans="1:17" s="273" customFormat="1">
      <c r="A97" s="331" t="s">
        <v>553</v>
      </c>
      <c r="B97" s="121" t="s">
        <v>554</v>
      </c>
      <c r="C97" s="273" t="s">
        <v>538</v>
      </c>
      <c r="F97" s="139">
        <f t="shared" ref="F97:M97" si="49">SKPICAP</f>
        <v>0</v>
      </c>
      <c r="G97" s="139">
        <f t="shared" si="49"/>
        <v>0</v>
      </c>
      <c r="H97" s="139">
        <f t="shared" si="49"/>
        <v>0</v>
      </c>
      <c r="I97" s="139">
        <f t="shared" si="49"/>
        <v>100</v>
      </c>
      <c r="J97" s="139">
        <f t="shared" si="49"/>
        <v>100</v>
      </c>
      <c r="K97" s="139">
        <f t="shared" si="49"/>
        <v>100</v>
      </c>
      <c r="L97" s="139">
        <f t="shared" si="49"/>
        <v>100</v>
      </c>
      <c r="M97" s="139">
        <f t="shared" si="49"/>
        <v>100</v>
      </c>
      <c r="N97" s="139"/>
      <c r="O97" s="139"/>
      <c r="P97" s="343" t="s">
        <v>554</v>
      </c>
      <c r="Q97" s="332"/>
    </row>
    <row r="98" spans="1:17" s="273" customFormat="1">
      <c r="A98" s="331" t="s">
        <v>555</v>
      </c>
      <c r="B98" s="131" t="s">
        <v>556</v>
      </c>
      <c r="C98" s="273" t="s">
        <v>573</v>
      </c>
      <c r="F98" s="139">
        <f t="shared" ref="F98:M98" si="50">SKPIUPA</f>
        <v>1</v>
      </c>
      <c r="G98" s="139">
        <f t="shared" si="50"/>
        <v>1</v>
      </c>
      <c r="H98" s="139">
        <f t="shared" si="50"/>
        <v>1</v>
      </c>
      <c r="I98" s="139">
        <f t="shared" si="50"/>
        <v>1</v>
      </c>
      <c r="J98" s="139">
        <f t="shared" si="50"/>
        <v>1</v>
      </c>
      <c r="K98" s="139">
        <f t="shared" si="50"/>
        <v>1</v>
      </c>
      <c r="L98" s="139">
        <f t="shared" si="50"/>
        <v>1</v>
      </c>
      <c r="M98" s="139">
        <f t="shared" si="50"/>
        <v>1</v>
      </c>
      <c r="N98" s="139"/>
      <c r="O98" s="139"/>
      <c r="P98" s="343" t="s">
        <v>556</v>
      </c>
      <c r="Q98" s="332"/>
    </row>
    <row r="99" spans="1:17" s="273" customFormat="1">
      <c r="A99" s="331" t="s">
        <v>557</v>
      </c>
      <c r="B99" s="121" t="s">
        <v>558</v>
      </c>
      <c r="C99" s="273" t="s">
        <v>538</v>
      </c>
      <c r="F99" s="139">
        <f t="shared" ref="F99:M99" si="51">SKPICOL</f>
        <v>0</v>
      </c>
      <c r="G99" s="139">
        <f t="shared" si="51"/>
        <v>0</v>
      </c>
      <c r="H99" s="139">
        <f t="shared" si="51"/>
        <v>0</v>
      </c>
      <c r="I99" s="139">
        <f t="shared" si="51"/>
        <v>78</v>
      </c>
      <c r="J99" s="139">
        <f t="shared" si="51"/>
        <v>78</v>
      </c>
      <c r="K99" s="139">
        <f t="shared" si="51"/>
        <v>78</v>
      </c>
      <c r="L99" s="139">
        <f t="shared" si="51"/>
        <v>78</v>
      </c>
      <c r="M99" s="139">
        <f t="shared" si="51"/>
        <v>78</v>
      </c>
      <c r="N99" s="139"/>
      <c r="O99" s="139"/>
      <c r="P99" s="343" t="s">
        <v>558</v>
      </c>
      <c r="Q99" s="332"/>
    </row>
    <row r="100" spans="1:17" s="273" customFormat="1">
      <c r="A100" s="331" t="s">
        <v>559</v>
      </c>
      <c r="B100" s="121" t="s">
        <v>560</v>
      </c>
      <c r="C100" s="273" t="s">
        <v>573</v>
      </c>
      <c r="F100" s="139">
        <f t="shared" ref="F100:M100" si="52">SKPIDPA</f>
        <v>-1</v>
      </c>
      <c r="G100" s="139">
        <f t="shared" si="52"/>
        <v>-1</v>
      </c>
      <c r="H100" s="139">
        <f t="shared" si="52"/>
        <v>-1</v>
      </c>
      <c r="I100" s="139">
        <f t="shared" si="52"/>
        <v>-1</v>
      </c>
      <c r="J100" s="139">
        <f t="shared" si="52"/>
        <v>-1</v>
      </c>
      <c r="K100" s="139">
        <f t="shared" si="52"/>
        <v>-1</v>
      </c>
      <c r="L100" s="139">
        <f t="shared" si="52"/>
        <v>-1</v>
      </c>
      <c r="M100" s="139">
        <f t="shared" si="52"/>
        <v>-1</v>
      </c>
      <c r="N100" s="139"/>
      <c r="O100" s="139"/>
      <c r="P100" s="343" t="s">
        <v>560</v>
      </c>
      <c r="Q100" s="332"/>
    </row>
    <row r="101" spans="1:17" s="273" customFormat="1">
      <c r="A101" s="331" t="s">
        <v>572</v>
      </c>
      <c r="B101" s="121" t="s">
        <v>566</v>
      </c>
      <c r="C101" s="273" t="s">
        <v>538</v>
      </c>
      <c r="F101" s="139">
        <f t="shared" ref="F101:M101" si="53">SKPIC</f>
        <v>0</v>
      </c>
      <c r="G101" s="139">
        <f t="shared" si="53"/>
        <v>0</v>
      </c>
      <c r="H101" s="139">
        <f t="shared" si="53"/>
        <v>0</v>
      </c>
      <c r="I101" s="139">
        <f t="shared" si="53"/>
        <v>0</v>
      </c>
      <c r="J101" s="139">
        <f t="shared" si="53"/>
        <v>0</v>
      </c>
      <c r="K101" s="139">
        <f t="shared" si="53"/>
        <v>0</v>
      </c>
      <c r="L101" s="139">
        <f t="shared" si="53"/>
        <v>0</v>
      </c>
      <c r="M101" s="139">
        <f t="shared" si="53"/>
        <v>0</v>
      </c>
      <c r="N101" s="139"/>
      <c r="O101" s="139"/>
      <c r="P101" s="343" t="s">
        <v>566</v>
      </c>
      <c r="Q101" s="332"/>
    </row>
    <row r="102" spans="1:17" s="273" customFormat="1">
      <c r="A102" s="331"/>
      <c r="B102" s="121" t="s">
        <v>305</v>
      </c>
      <c r="C102" s="273" t="s">
        <v>118</v>
      </c>
      <c r="D102" s="160"/>
      <c r="E102" s="160"/>
      <c r="F102" s="421"/>
      <c r="G102" s="421"/>
      <c r="H102" s="422"/>
      <c r="I102" s="327">
        <f t="shared" ref="I102" si="54">IF(I101&gt;I96,MIN(I98,I98*(I101-I96)/(I97-I96)),IF(I101&lt;I96,MAX(I100,I100*(I96-I101)/(I96-I99)),0))</f>
        <v>-1</v>
      </c>
      <c r="J102" s="327">
        <f>IF(J101&gt;J96,MIN(J98,J98*(J101-J96)/(J97-J96)),IF(J101&lt;J96,MAX(J100,J100*(J96-J101)/(J96-J99)),0))</f>
        <v>-1</v>
      </c>
      <c r="K102" s="327">
        <f t="shared" ref="K102:L102" si="55">IF(K101&gt;K96,MIN(K98,K98*(K101-K96)/(K97-K96)),IF(K101&lt;K96,MAX(K100,K100*(K96-K101)/(K96-K99)),0))</f>
        <v>-1</v>
      </c>
      <c r="L102" s="327">
        <f t="shared" si="55"/>
        <v>-1</v>
      </c>
      <c r="M102" s="327">
        <f>IF(M101&gt;M96,MIN(M98,M98*(M101-M96)/(M97-M96)),IF(M101&lt;M96,MAX(M100,M100*(M96-M101)/(M96-M99)),0))</f>
        <v>-1</v>
      </c>
      <c r="N102" s="327">
        <f>IF(N101&gt;N96,MIN(N98,N98*(N101-N96)/(N97-N96)),IF(N101&lt;N96,MAX(N100,N100*(N96-N101)/(N96-N99)),0))</f>
        <v>0</v>
      </c>
      <c r="O102" s="327">
        <f>IF(O101&gt;O96,MIN(O98,O98*(O101-O96)/(O97-O96)),IF(O101&lt;O96,MAX(O100,O100*(O96-O101)/(O96-O99)),0))</f>
        <v>0</v>
      </c>
      <c r="P102" s="343" t="s">
        <v>305</v>
      </c>
      <c r="Q102" s="332"/>
    </row>
    <row r="103" spans="1:17" s="273" customFormat="1">
      <c r="A103" s="131"/>
      <c r="B103" s="131"/>
      <c r="C103" s="262"/>
      <c r="D103" s="131"/>
      <c r="E103" s="131"/>
      <c r="F103" s="131"/>
      <c r="P103" s="332"/>
    </row>
    <row r="104" spans="1:17">
      <c r="C104" s="259"/>
      <c r="F104" s="118"/>
      <c r="G104" s="242"/>
      <c r="H104" s="242"/>
      <c r="I104" s="242"/>
      <c r="J104" s="118"/>
      <c r="N104" s="273"/>
      <c r="O104" s="273"/>
      <c r="P104" s="332"/>
    </row>
    <row r="105" spans="1:17" ht="14">
      <c r="A105" s="152" t="s">
        <v>210</v>
      </c>
      <c r="C105" s="259"/>
      <c r="N105" s="273"/>
      <c r="O105" s="273"/>
      <c r="P105" s="332"/>
    </row>
    <row r="106" spans="1:17">
      <c r="A106" s="110"/>
      <c r="C106" s="259"/>
      <c r="N106" s="273"/>
      <c r="O106" s="273"/>
      <c r="P106" s="332"/>
    </row>
    <row r="107" spans="1:17" ht="17.5">
      <c r="A107" s="110" t="s">
        <v>45</v>
      </c>
      <c r="C107" s="259"/>
      <c r="F107" s="129" t="s">
        <v>357</v>
      </c>
      <c r="M107" s="118"/>
      <c r="N107" s="118"/>
      <c r="O107" s="118"/>
      <c r="P107" s="332"/>
    </row>
    <row r="108" spans="1:17" ht="14.5">
      <c r="A108" s="110" t="s">
        <v>469</v>
      </c>
      <c r="C108" s="259"/>
      <c r="F108" s="112">
        <v>2014</v>
      </c>
      <c r="G108" s="112">
        <v>2015</v>
      </c>
      <c r="H108" s="112">
        <v>2016</v>
      </c>
      <c r="I108" s="112">
        <v>2017</v>
      </c>
      <c r="J108" s="112">
        <v>2018</v>
      </c>
      <c r="K108" s="112">
        <v>2019</v>
      </c>
      <c r="L108" s="112">
        <v>2020</v>
      </c>
      <c r="M108" s="112">
        <v>2021</v>
      </c>
      <c r="N108" s="112">
        <v>2022</v>
      </c>
      <c r="O108" s="112">
        <v>2023</v>
      </c>
      <c r="P108" s="332"/>
    </row>
    <row r="109" spans="1:17">
      <c r="A109" s="111" t="s">
        <v>47</v>
      </c>
      <c r="B109" s="111" t="s">
        <v>307</v>
      </c>
      <c r="C109" s="259" t="s">
        <v>448</v>
      </c>
      <c r="F109" s="230">
        <f>F187</f>
        <v>150.69999999999999</v>
      </c>
      <c r="G109" s="230">
        <f>G187</f>
        <v>173.1</v>
      </c>
      <c r="H109" s="230">
        <f t="shared" ref="H109:M109" si="56">CTE</f>
        <v>210.7</v>
      </c>
      <c r="I109" s="230">
        <f t="shared" si="56"/>
        <v>226.1</v>
      </c>
      <c r="J109" s="230">
        <f t="shared" si="56"/>
        <v>245.3</v>
      </c>
      <c r="K109" s="230">
        <f t="shared" si="56"/>
        <v>261.39999999999998</v>
      </c>
      <c r="L109" s="230">
        <f t="shared" si="56"/>
        <v>270.89999999999998</v>
      </c>
      <c r="M109" s="230">
        <f t="shared" si="56"/>
        <v>274.7</v>
      </c>
      <c r="N109" s="230"/>
      <c r="O109" s="230"/>
      <c r="P109" s="343" t="s">
        <v>307</v>
      </c>
    </row>
    <row r="110" spans="1:17">
      <c r="A110" s="111" t="s">
        <v>48</v>
      </c>
      <c r="B110" s="111" t="s">
        <v>219</v>
      </c>
      <c r="C110" s="259" t="s">
        <v>448</v>
      </c>
      <c r="F110" s="230">
        <f t="shared" ref="F110:M110" si="57">ALE</f>
        <v>0</v>
      </c>
      <c r="G110" s="230">
        <f t="shared" si="57"/>
        <v>0</v>
      </c>
      <c r="H110" s="230">
        <f t="shared" si="57"/>
        <v>0</v>
      </c>
      <c r="I110" s="230">
        <f t="shared" si="57"/>
        <v>0</v>
      </c>
      <c r="J110" s="230">
        <f t="shared" si="57"/>
        <v>0</v>
      </c>
      <c r="K110" s="230">
        <f t="shared" si="57"/>
        <v>0</v>
      </c>
      <c r="L110" s="230">
        <f t="shared" si="57"/>
        <v>0</v>
      </c>
      <c r="M110" s="230">
        <f t="shared" si="57"/>
        <v>0</v>
      </c>
      <c r="N110" s="230"/>
      <c r="O110" s="230"/>
      <c r="P110" s="343" t="s">
        <v>219</v>
      </c>
    </row>
    <row r="111" spans="1:17">
      <c r="A111" s="111" t="s">
        <v>49</v>
      </c>
      <c r="B111" s="111" t="s">
        <v>46</v>
      </c>
      <c r="C111" s="259" t="s">
        <v>118</v>
      </c>
      <c r="E111" s="131"/>
      <c r="F111" s="228">
        <f t="shared" ref="F111:M111" si="58">CF</f>
        <v>23.9</v>
      </c>
      <c r="G111" s="228">
        <f t="shared" si="58"/>
        <v>23.9</v>
      </c>
      <c r="H111" s="228">
        <f t="shared" si="58"/>
        <v>23.9</v>
      </c>
      <c r="I111" s="228">
        <f t="shared" si="58"/>
        <v>23.9</v>
      </c>
      <c r="J111" s="228">
        <f t="shared" si="58"/>
        <v>23.9</v>
      </c>
      <c r="K111" s="228">
        <f t="shared" si="58"/>
        <v>23.9</v>
      </c>
      <c r="L111" s="228">
        <f t="shared" si="58"/>
        <v>23.9</v>
      </c>
      <c r="M111" s="228">
        <f t="shared" si="58"/>
        <v>23.9</v>
      </c>
      <c r="N111" s="228"/>
      <c r="O111" s="228"/>
      <c r="P111" s="343" t="s">
        <v>46</v>
      </c>
    </row>
    <row r="112" spans="1:17">
      <c r="A112" s="111" t="s">
        <v>50</v>
      </c>
      <c r="B112" s="111" t="s">
        <v>220</v>
      </c>
      <c r="C112" s="259" t="s">
        <v>582</v>
      </c>
      <c r="F112" s="230">
        <f t="shared" ref="F112:M112" si="59">NTPC/1000000</f>
        <v>5.0000000000000002E-5</v>
      </c>
      <c r="G112" s="230">
        <f t="shared" si="59"/>
        <v>5.1E-5</v>
      </c>
      <c r="H112" s="230">
        <f t="shared" si="59"/>
        <v>5.1999999999999997E-5</v>
      </c>
      <c r="I112" s="230">
        <f t="shared" si="59"/>
        <v>5.3000000000000001E-5</v>
      </c>
      <c r="J112" s="230">
        <f t="shared" si="59"/>
        <v>5.3999999999999998E-5</v>
      </c>
      <c r="K112" s="230">
        <f t="shared" si="59"/>
        <v>5.5000000000000002E-5</v>
      </c>
      <c r="L112" s="230">
        <f t="shared" si="59"/>
        <v>5.5999999999999999E-5</v>
      </c>
      <c r="M112" s="230">
        <f t="shared" si="59"/>
        <v>5.7000000000000003E-5</v>
      </c>
      <c r="N112" s="230"/>
      <c r="O112" s="230"/>
      <c r="P112" s="343" t="s">
        <v>220</v>
      </c>
    </row>
    <row r="113" spans="1:17">
      <c r="A113" s="111" t="s">
        <v>217</v>
      </c>
      <c r="B113" s="111" t="s">
        <v>211</v>
      </c>
      <c r="C113" s="259" t="s">
        <v>118</v>
      </c>
      <c r="F113" s="230">
        <f>F124</f>
        <v>0.64935064935064934</v>
      </c>
      <c r="G113" s="230">
        <f t="shared" ref="G113:M113" si="60">G124</f>
        <v>0.63291139240506322</v>
      </c>
      <c r="H113" s="230">
        <f t="shared" si="60"/>
        <v>0.625</v>
      </c>
      <c r="I113" s="230">
        <f t="shared" si="60"/>
        <v>0.625</v>
      </c>
      <c r="J113" s="230">
        <f t="shared" si="60"/>
        <v>0.61728395061728392</v>
      </c>
      <c r="K113" s="230">
        <f t="shared" si="60"/>
        <v>0.61728395061728392</v>
      </c>
      <c r="L113" s="230">
        <f t="shared" si="60"/>
        <v>0.61728395061728392</v>
      </c>
      <c r="M113" s="230">
        <f t="shared" si="60"/>
        <v>0.60240963855421692</v>
      </c>
      <c r="N113" s="230"/>
      <c r="O113" s="230"/>
      <c r="P113" s="343" t="s">
        <v>211</v>
      </c>
    </row>
    <row r="114" spans="1:17">
      <c r="A114" s="111" t="s">
        <v>191</v>
      </c>
      <c r="B114" s="111" t="s">
        <v>127</v>
      </c>
      <c r="C114" s="259" t="s">
        <v>118</v>
      </c>
      <c r="F114" s="230">
        <f t="shared" ref="F114:M114" si="61">PVF</f>
        <v>1.04756</v>
      </c>
      <c r="G114" s="230">
        <f t="shared" si="61"/>
        <v>1.04525</v>
      </c>
      <c r="H114" s="230">
        <f t="shared" si="61"/>
        <v>1.0433250000000001</v>
      </c>
      <c r="I114" s="230">
        <f t="shared" si="61"/>
        <v>1.041345</v>
      </c>
      <c r="J114" s="230">
        <f t="shared" si="61"/>
        <v>1.0398050000000001</v>
      </c>
      <c r="K114" s="230">
        <f t="shared" si="61"/>
        <v>1.0378799999999999</v>
      </c>
      <c r="L114" s="230">
        <f t="shared" si="61"/>
        <v>1.0370550000000001</v>
      </c>
      <c r="M114" s="230">
        <f t="shared" si="61"/>
        <v>1.0356799999999999</v>
      </c>
      <c r="N114" s="230"/>
      <c r="O114" s="230"/>
      <c r="P114" s="343" t="s">
        <v>127</v>
      </c>
    </row>
    <row r="115" spans="1:17">
      <c r="A115" s="111" t="s">
        <v>212</v>
      </c>
      <c r="B115" s="111" t="s">
        <v>117</v>
      </c>
      <c r="C115" s="259" t="s">
        <v>118</v>
      </c>
      <c r="F115" s="230">
        <f t="shared" ref="F115:M115" si="62">RPIF</f>
        <v>1.1630161697108456</v>
      </c>
      <c r="G115" s="230">
        <f t="shared" si="62"/>
        <v>1.2050819527256253</v>
      </c>
      <c r="H115" s="230">
        <f t="shared" si="62"/>
        <v>1.2266493019576674</v>
      </c>
      <c r="I115" s="230">
        <f t="shared" si="62"/>
        <v>1.2327329838381795</v>
      </c>
      <c r="J115" s="230">
        <f t="shared" si="62"/>
        <v>1.2709189417960116</v>
      </c>
      <c r="K115" s="230">
        <f t="shared" si="62"/>
        <v>1.3140238772935624</v>
      </c>
      <c r="L115" s="230">
        <f t="shared" si="62"/>
        <v>1.3585865587485577</v>
      </c>
      <c r="M115" s="230">
        <f t="shared" si="62"/>
        <v>1.3798357939884227</v>
      </c>
      <c r="N115" s="230"/>
      <c r="O115" s="230"/>
      <c r="P115" s="343" t="s">
        <v>117</v>
      </c>
    </row>
    <row r="116" spans="1:17">
      <c r="A116" s="111" t="s">
        <v>29</v>
      </c>
      <c r="B116" s="111" t="s">
        <v>222</v>
      </c>
      <c r="C116" s="259" t="s">
        <v>448</v>
      </c>
      <c r="F116" s="245"/>
      <c r="G116" s="245"/>
      <c r="H116" s="229">
        <f>(F109-F110)*H111*F112*F113*F114*G114*H115</f>
        <v>0.15706518710335124</v>
      </c>
      <c r="I116" s="229">
        <f t="shared" ref="I116:O116" si="63">(G109-G110)*I111*G112*G113*G114*H114*I115</f>
        <v>0.17952166379637347</v>
      </c>
      <c r="J116" s="229">
        <f>(H109-H110)*J111*H112*H113*H114*I114*J115</f>
        <v>0.22598410853818363</v>
      </c>
      <c r="K116" s="229">
        <f t="shared" si="63"/>
        <v>0.25468545585289815</v>
      </c>
      <c r="L116" s="229">
        <f t="shared" si="63"/>
        <v>0.28652370122030263</v>
      </c>
      <c r="M116" s="229">
        <f t="shared" si="63"/>
        <v>0.31501229062863539</v>
      </c>
      <c r="N116" s="229">
        <f t="shared" si="63"/>
        <v>0</v>
      </c>
      <c r="O116" s="229">
        <f t="shared" si="63"/>
        <v>0</v>
      </c>
      <c r="P116" s="343" t="s">
        <v>222</v>
      </c>
    </row>
    <row r="117" spans="1:17">
      <c r="C117" s="259"/>
      <c r="F117" s="118"/>
      <c r="G117" s="242"/>
      <c r="H117" s="242"/>
      <c r="I117" s="242"/>
      <c r="J117" s="118"/>
      <c r="N117" s="273"/>
      <c r="O117" s="273"/>
      <c r="P117" s="343"/>
    </row>
    <row r="118" spans="1:17">
      <c r="C118" s="259"/>
      <c r="N118" s="273"/>
      <c r="O118" s="273"/>
      <c r="P118" s="343"/>
    </row>
    <row r="119" spans="1:17">
      <c r="C119" s="259"/>
      <c r="F119" s="296"/>
      <c r="J119" s="118"/>
      <c r="N119" s="273"/>
      <c r="O119" s="273"/>
      <c r="P119" s="332"/>
    </row>
    <row r="120" spans="1:17" ht="15.5">
      <c r="A120" s="110" t="s">
        <v>344</v>
      </c>
      <c r="C120" s="259"/>
      <c r="F120" s="151" t="s">
        <v>521</v>
      </c>
      <c r="N120" s="273"/>
      <c r="O120" s="273"/>
      <c r="P120" s="332"/>
    </row>
    <row r="121" spans="1:17" ht="14.5">
      <c r="A121" s="110" t="s">
        <v>470</v>
      </c>
      <c r="C121" s="259"/>
      <c r="F121" s="112">
        <v>2014</v>
      </c>
      <c r="G121" s="112">
        <v>2015</v>
      </c>
      <c r="H121" s="112">
        <v>2016</v>
      </c>
      <c r="I121" s="112">
        <v>2017</v>
      </c>
      <c r="J121" s="112">
        <v>2018</v>
      </c>
      <c r="K121" s="112">
        <v>2019</v>
      </c>
      <c r="L121" s="112">
        <v>2020</v>
      </c>
      <c r="M121" s="112">
        <v>2021</v>
      </c>
      <c r="N121" s="112">
        <v>2022</v>
      </c>
      <c r="O121" s="112">
        <v>2023</v>
      </c>
      <c r="P121" s="332"/>
    </row>
    <row r="122" spans="1:17">
      <c r="A122" s="111" t="s">
        <v>214</v>
      </c>
      <c r="B122" s="111" t="s">
        <v>213</v>
      </c>
      <c r="C122" s="259" t="s">
        <v>105</v>
      </c>
      <c r="F122" s="243">
        <f t="shared" ref="F122:M122" si="64">TIS</f>
        <v>0.5</v>
      </c>
      <c r="G122" s="243">
        <f t="shared" si="64"/>
        <v>0.5</v>
      </c>
      <c r="H122" s="243">
        <f t="shared" si="64"/>
        <v>0.5</v>
      </c>
      <c r="I122" s="243">
        <f t="shared" si="64"/>
        <v>0.5</v>
      </c>
      <c r="J122" s="243">
        <f t="shared" si="64"/>
        <v>0.5</v>
      </c>
      <c r="K122" s="243">
        <f t="shared" si="64"/>
        <v>0.5</v>
      </c>
      <c r="L122" s="243">
        <f t="shared" si="64"/>
        <v>0.5</v>
      </c>
      <c r="M122" s="243">
        <f t="shared" si="64"/>
        <v>0.5</v>
      </c>
      <c r="N122" s="243">
        <f>M122</f>
        <v>0.5</v>
      </c>
      <c r="O122" s="243">
        <f>N122</f>
        <v>0.5</v>
      </c>
      <c r="P122" s="343" t="s">
        <v>213</v>
      </c>
    </row>
    <row r="123" spans="1:17">
      <c r="A123" s="111" t="s">
        <v>216</v>
      </c>
      <c r="B123" s="111" t="s">
        <v>215</v>
      </c>
      <c r="C123" s="259" t="s">
        <v>105</v>
      </c>
      <c r="F123" s="230">
        <f t="shared" ref="F123:M123" si="65">TR</f>
        <v>0.23</v>
      </c>
      <c r="G123" s="230">
        <f t="shared" si="65"/>
        <v>0.21</v>
      </c>
      <c r="H123" s="230">
        <f t="shared" si="65"/>
        <v>0.2</v>
      </c>
      <c r="I123" s="230">
        <f t="shared" si="65"/>
        <v>0.2</v>
      </c>
      <c r="J123" s="230">
        <f t="shared" si="65"/>
        <v>0.19</v>
      </c>
      <c r="K123" s="230">
        <f t="shared" si="65"/>
        <v>0.19</v>
      </c>
      <c r="L123" s="230">
        <f t="shared" si="65"/>
        <v>0.19</v>
      </c>
      <c r="M123" s="230">
        <f t="shared" si="65"/>
        <v>0.17</v>
      </c>
      <c r="N123" s="230">
        <f>'R5 Input page'!N82</f>
        <v>0.17</v>
      </c>
      <c r="O123" s="230">
        <f>'R5 Input page'!O82</f>
        <v>0.17</v>
      </c>
      <c r="P123" s="343" t="s">
        <v>215</v>
      </c>
    </row>
    <row r="124" spans="1:17">
      <c r="A124" s="111" t="s">
        <v>345</v>
      </c>
      <c r="B124" s="111" t="s">
        <v>211</v>
      </c>
      <c r="C124" s="259" t="s">
        <v>118</v>
      </c>
      <c r="F124" s="229">
        <f>F122/(1-F123)</f>
        <v>0.64935064935064934</v>
      </c>
      <c r="G124" s="229">
        <f>G122/(1-G123)</f>
        <v>0.63291139240506322</v>
      </c>
      <c r="H124" s="229">
        <f>H122/(1-H123)</f>
        <v>0.625</v>
      </c>
      <c r="I124" s="229">
        <f t="shared" ref="I124:M124" si="66">I122/(1-I123)</f>
        <v>0.625</v>
      </c>
      <c r="J124" s="229">
        <f t="shared" si="66"/>
        <v>0.61728395061728392</v>
      </c>
      <c r="K124" s="229">
        <f t="shared" si="66"/>
        <v>0.61728395061728392</v>
      </c>
      <c r="L124" s="229">
        <f t="shared" si="66"/>
        <v>0.61728395061728392</v>
      </c>
      <c r="M124" s="229">
        <f t="shared" si="66"/>
        <v>0.60240963855421692</v>
      </c>
      <c r="N124" s="229">
        <f t="shared" ref="N124:O124" si="67">N122/(1-N123)</f>
        <v>0.60240963855421692</v>
      </c>
      <c r="O124" s="229">
        <f t="shared" si="67"/>
        <v>0.60240963855421692</v>
      </c>
      <c r="P124" s="343" t="s">
        <v>211</v>
      </c>
      <c r="Q124" s="332"/>
    </row>
    <row r="125" spans="1:17">
      <c r="C125" s="259"/>
      <c r="F125" s="118"/>
      <c r="G125" s="242"/>
      <c r="H125" s="242"/>
      <c r="I125" s="242"/>
      <c r="J125" s="118"/>
      <c r="N125" s="273"/>
      <c r="O125" s="273"/>
      <c r="P125" s="332"/>
    </row>
    <row r="126" spans="1:17">
      <c r="C126" s="259"/>
      <c r="N126" s="273"/>
      <c r="O126" s="273"/>
      <c r="P126" s="332"/>
    </row>
    <row r="127" spans="1:17">
      <c r="C127" s="259"/>
      <c r="N127" s="273"/>
      <c r="O127" s="273"/>
      <c r="P127" s="332"/>
    </row>
    <row r="128" spans="1:17" ht="17.5">
      <c r="A128" s="110" t="s">
        <v>224</v>
      </c>
      <c r="C128" s="259"/>
      <c r="F128" s="155" t="s">
        <v>223</v>
      </c>
      <c r="J128" s="118"/>
      <c r="N128" s="273"/>
      <c r="O128" s="273"/>
      <c r="P128" s="332"/>
    </row>
    <row r="129" spans="1:16" ht="14.5">
      <c r="A129" s="110" t="s">
        <v>471</v>
      </c>
      <c r="C129" s="259"/>
      <c r="F129" s="112">
        <v>2014</v>
      </c>
      <c r="G129" s="112">
        <v>2015</v>
      </c>
      <c r="H129" s="112">
        <v>2016</v>
      </c>
      <c r="I129" s="112">
        <v>2017</v>
      </c>
      <c r="J129" s="112">
        <v>2018</v>
      </c>
      <c r="K129" s="112">
        <v>2019</v>
      </c>
      <c r="L129" s="112">
        <v>2020</v>
      </c>
      <c r="M129" s="112">
        <v>2021</v>
      </c>
      <c r="N129" s="112">
        <v>2022</v>
      </c>
      <c r="O129" s="112">
        <v>2023</v>
      </c>
      <c r="P129" s="332"/>
    </row>
    <row r="130" spans="1:16" ht="15.5">
      <c r="A130" s="111" t="s">
        <v>228</v>
      </c>
      <c r="B130" s="111" t="s">
        <v>522</v>
      </c>
      <c r="C130" s="259" t="s">
        <v>1</v>
      </c>
      <c r="F130" s="164">
        <f t="shared" ref="F130:M130" si="68">EDRO</f>
        <v>0</v>
      </c>
      <c r="G130" s="164">
        <f t="shared" si="68"/>
        <v>0</v>
      </c>
      <c r="H130" s="164">
        <f t="shared" si="68"/>
        <v>0</v>
      </c>
      <c r="I130" s="164">
        <f t="shared" si="68"/>
        <v>0</v>
      </c>
      <c r="J130" s="164">
        <f t="shared" si="68"/>
        <v>0</v>
      </c>
      <c r="K130" s="164">
        <f t="shared" si="68"/>
        <v>0</v>
      </c>
      <c r="L130" s="164">
        <v>1</v>
      </c>
      <c r="M130" s="164">
        <f t="shared" si="68"/>
        <v>0</v>
      </c>
      <c r="N130" s="164"/>
      <c r="O130" s="164"/>
      <c r="P130" s="343" t="s">
        <v>227</v>
      </c>
    </row>
    <row r="131" spans="1:16" ht="15.5">
      <c r="A131" s="111" t="s">
        <v>208</v>
      </c>
      <c r="B131" s="111" t="s">
        <v>225</v>
      </c>
      <c r="C131" s="259" t="s">
        <v>105</v>
      </c>
      <c r="F131" s="164">
        <f t="shared" ref="F131:M131" si="69">It</f>
        <v>0.5</v>
      </c>
      <c r="G131" s="164">
        <f t="shared" si="69"/>
        <v>0.5</v>
      </c>
      <c r="H131" s="164">
        <f t="shared" si="69"/>
        <v>0.5</v>
      </c>
      <c r="I131" s="164">
        <f t="shared" si="69"/>
        <v>0.34</v>
      </c>
      <c r="J131" s="164">
        <f t="shared" si="69"/>
        <v>0.35</v>
      </c>
      <c r="K131" s="164">
        <f t="shared" si="69"/>
        <v>0.67</v>
      </c>
      <c r="L131" s="164">
        <f t="shared" si="69"/>
        <v>0.72</v>
      </c>
      <c r="M131" s="164">
        <f t="shared" si="69"/>
        <v>0.1</v>
      </c>
      <c r="N131" s="164">
        <f>'R5 Input page'!N52</f>
        <v>0.1</v>
      </c>
      <c r="O131" s="164">
        <f>'R5 Input page'!O52</f>
        <v>0.1</v>
      </c>
      <c r="P131" s="343" t="s">
        <v>353</v>
      </c>
    </row>
    <row r="132" spans="1:16" ht="15.5">
      <c r="A132" s="111" t="s">
        <v>30</v>
      </c>
      <c r="B132" s="111" t="s">
        <v>226</v>
      </c>
      <c r="C132" s="259" t="s">
        <v>1</v>
      </c>
      <c r="F132" s="219"/>
      <c r="G132" s="219"/>
      <c r="H132" s="225">
        <f>F130*(1+F131/100)*(1+G131/100)</f>
        <v>0</v>
      </c>
      <c r="I132" s="225">
        <f t="shared" ref="I132:O132" si="70">G130*(1+G131/100)*(1+H131/100)</f>
        <v>0</v>
      </c>
      <c r="J132" s="225">
        <f t="shared" si="70"/>
        <v>0</v>
      </c>
      <c r="K132" s="225">
        <f t="shared" si="70"/>
        <v>0</v>
      </c>
      <c r="L132" s="225">
        <f t="shared" si="70"/>
        <v>0</v>
      </c>
      <c r="M132" s="225">
        <f t="shared" si="70"/>
        <v>0</v>
      </c>
      <c r="N132" s="225">
        <f>L130*(1+L131/100)*(1+M131/100)</f>
        <v>1.0082072</v>
      </c>
      <c r="O132" s="225">
        <f t="shared" si="70"/>
        <v>0</v>
      </c>
      <c r="P132" s="343" t="s">
        <v>350</v>
      </c>
    </row>
    <row r="133" spans="1:16">
      <c r="C133" s="259"/>
      <c r="F133" s="118"/>
      <c r="G133" s="242"/>
      <c r="H133" s="242"/>
      <c r="I133" s="242"/>
      <c r="J133" s="118"/>
      <c r="N133" s="273"/>
      <c r="O133" s="273"/>
      <c r="P133" s="332"/>
    </row>
    <row r="134" spans="1:16">
      <c r="C134" s="259"/>
      <c r="N134" s="273"/>
      <c r="O134" s="273"/>
      <c r="P134" s="332"/>
    </row>
    <row r="135" spans="1:16">
      <c r="C135" s="259"/>
      <c r="N135" s="273"/>
      <c r="O135" s="273"/>
      <c r="P135" s="332"/>
    </row>
    <row r="136" spans="1:16">
      <c r="C136" s="259"/>
      <c r="N136" s="273"/>
      <c r="O136" s="273"/>
      <c r="P136" s="332"/>
    </row>
    <row r="137" spans="1:16">
      <c r="A137" s="110" t="s">
        <v>294</v>
      </c>
      <c r="C137" s="259"/>
      <c r="J137" s="118"/>
      <c r="N137" s="273"/>
      <c r="O137" s="273"/>
      <c r="P137" s="332"/>
    </row>
    <row r="138" spans="1:16">
      <c r="A138" s="110" t="s">
        <v>472</v>
      </c>
      <c r="C138" s="259"/>
      <c r="N138" s="273"/>
      <c r="O138" s="273"/>
      <c r="P138" s="332"/>
    </row>
    <row r="139" spans="1:16" ht="14.5">
      <c r="C139" s="259"/>
      <c r="F139" s="112">
        <v>2014</v>
      </c>
      <c r="G139" s="112">
        <v>2015</v>
      </c>
      <c r="H139" s="112">
        <v>2016</v>
      </c>
      <c r="I139" s="112">
        <v>2017</v>
      </c>
      <c r="J139" s="112">
        <v>2018</v>
      </c>
      <c r="K139" s="112">
        <v>2019</v>
      </c>
      <c r="L139" s="112">
        <v>2020</v>
      </c>
      <c r="M139" s="112">
        <v>2021</v>
      </c>
      <c r="N139" s="112">
        <v>2022</v>
      </c>
      <c r="O139" s="112">
        <v>2023</v>
      </c>
      <c r="P139" s="332"/>
    </row>
    <row r="140" spans="1:16">
      <c r="A140" s="111" t="s">
        <v>295</v>
      </c>
      <c r="B140" s="111" t="s">
        <v>300</v>
      </c>
      <c r="C140" s="259" t="s">
        <v>1</v>
      </c>
      <c r="F140" s="164">
        <f t="shared" ref="F140:M140" si="71">UNTO</f>
        <v>0</v>
      </c>
      <c r="G140" s="164">
        <f t="shared" si="71"/>
        <v>0</v>
      </c>
      <c r="H140" s="164">
        <f t="shared" si="71"/>
        <v>0</v>
      </c>
      <c r="I140" s="164">
        <f t="shared" si="71"/>
        <v>0</v>
      </c>
      <c r="J140" s="164">
        <f t="shared" si="71"/>
        <v>0</v>
      </c>
      <c r="K140" s="164">
        <f t="shared" si="71"/>
        <v>0</v>
      </c>
      <c r="L140" s="164">
        <f t="shared" si="71"/>
        <v>0</v>
      </c>
      <c r="M140" s="164">
        <f t="shared" si="71"/>
        <v>0</v>
      </c>
      <c r="N140" s="164"/>
      <c r="O140" s="164"/>
      <c r="P140" s="343" t="s">
        <v>300</v>
      </c>
    </row>
    <row r="141" spans="1:16">
      <c r="A141" s="111" t="s">
        <v>296</v>
      </c>
      <c r="B141" s="111" t="s">
        <v>301</v>
      </c>
      <c r="C141" s="259" t="s">
        <v>1</v>
      </c>
      <c r="F141" s="164">
        <f t="shared" ref="F141:M141" si="72">TOTO</f>
        <v>0</v>
      </c>
      <c r="G141" s="164">
        <f t="shared" si="72"/>
        <v>0</v>
      </c>
      <c r="H141" s="164">
        <f t="shared" si="72"/>
        <v>0</v>
      </c>
      <c r="I141" s="164">
        <f t="shared" si="72"/>
        <v>0</v>
      </c>
      <c r="J141" s="164">
        <f t="shared" si="72"/>
        <v>0</v>
      </c>
      <c r="K141" s="164">
        <f t="shared" si="72"/>
        <v>0</v>
      </c>
      <c r="L141" s="164">
        <f t="shared" si="72"/>
        <v>0</v>
      </c>
      <c r="M141" s="164">
        <f t="shared" si="72"/>
        <v>0</v>
      </c>
      <c r="N141" s="164"/>
      <c r="O141" s="164"/>
      <c r="P141" s="343" t="s">
        <v>301</v>
      </c>
    </row>
    <row r="142" spans="1:16">
      <c r="A142" s="111" t="s">
        <v>297</v>
      </c>
      <c r="B142" s="111" t="s">
        <v>298</v>
      </c>
      <c r="C142" s="259" t="s">
        <v>1</v>
      </c>
      <c r="F142" s="164">
        <f t="shared" ref="F142:M142" si="73">BR</f>
        <v>121.5805473654021</v>
      </c>
      <c r="G142" s="164">
        <f t="shared" si="73"/>
        <v>144.88183379911854</v>
      </c>
      <c r="H142" s="164">
        <f t="shared" si="73"/>
        <v>257.33702665771352</v>
      </c>
      <c r="I142" s="164">
        <f t="shared" si="73"/>
        <v>257.63714260992293</v>
      </c>
      <c r="J142" s="164">
        <f t="shared" si="73"/>
        <v>212.33806976005224</v>
      </c>
      <c r="K142" s="164">
        <f t="shared" si="73"/>
        <v>256.82224727854003</v>
      </c>
      <c r="L142" s="164">
        <f t="shared" si="73"/>
        <v>271.06515945388799</v>
      </c>
      <c r="M142" s="164">
        <f t="shared" si="73"/>
        <v>291.03938687052568</v>
      </c>
      <c r="N142" s="164"/>
      <c r="O142" s="164"/>
      <c r="P142" s="343" t="s">
        <v>298</v>
      </c>
    </row>
    <row r="143" spans="1:16">
      <c r="A143" s="111" t="s">
        <v>205</v>
      </c>
      <c r="B143" s="111" t="s">
        <v>137</v>
      </c>
      <c r="C143" s="259" t="s">
        <v>1</v>
      </c>
      <c r="F143" s="164">
        <f t="shared" ref="F143:M143" si="74">TIRG</f>
        <v>43.13029648352763</v>
      </c>
      <c r="G143" s="164">
        <f t="shared" si="74"/>
        <v>45.642498240794303</v>
      </c>
      <c r="H143" s="164">
        <f t="shared" si="74"/>
        <v>44.861665942027251</v>
      </c>
      <c r="I143" s="164">
        <f t="shared" si="74"/>
        <v>0</v>
      </c>
      <c r="J143" s="164">
        <f t="shared" si="74"/>
        <v>84.256191454810178</v>
      </c>
      <c r="K143" s="164">
        <f t="shared" si="74"/>
        <v>83.929406675831544</v>
      </c>
      <c r="L143" s="164">
        <f t="shared" si="74"/>
        <v>83.48339417561121</v>
      </c>
      <c r="M143" s="164">
        <f t="shared" si="74"/>
        <v>81.445315519738841</v>
      </c>
      <c r="N143" s="164"/>
      <c r="O143" s="164"/>
      <c r="P143" s="343" t="s">
        <v>137</v>
      </c>
    </row>
    <row r="144" spans="1:16">
      <c r="A144" s="111" t="s">
        <v>118</v>
      </c>
      <c r="C144" s="259" t="s">
        <v>118</v>
      </c>
      <c r="F144" s="233">
        <v>5.0000000000000001E-3</v>
      </c>
      <c r="G144" s="233">
        <v>5.0000000000000001E-3</v>
      </c>
      <c r="H144" s="233">
        <v>5.0000000000000001E-3</v>
      </c>
      <c r="I144" s="233">
        <v>5.0000000000000001E-3</v>
      </c>
      <c r="J144" s="233">
        <v>5.0000000000000001E-3</v>
      </c>
      <c r="K144" s="233">
        <v>5.0000000000000001E-3</v>
      </c>
      <c r="L144" s="233">
        <v>5.0000000000000001E-3</v>
      </c>
      <c r="M144" s="233">
        <v>5.0000000000000001E-3</v>
      </c>
      <c r="N144" s="233">
        <v>5.0000000000000001E-3</v>
      </c>
      <c r="O144" s="233">
        <v>5.0000000000000001E-3</v>
      </c>
      <c r="P144" s="343"/>
    </row>
    <row r="145" spans="1:16">
      <c r="A145" s="111" t="s">
        <v>299</v>
      </c>
      <c r="B145" s="111" t="s">
        <v>32</v>
      </c>
      <c r="C145" s="259" t="s">
        <v>105</v>
      </c>
      <c r="F145" s="164">
        <f t="shared" ref="F145:M145" si="75">It</f>
        <v>0.5</v>
      </c>
      <c r="G145" s="164">
        <f t="shared" si="75"/>
        <v>0.5</v>
      </c>
      <c r="H145" s="164">
        <f t="shared" si="75"/>
        <v>0.5</v>
      </c>
      <c r="I145" s="164">
        <f t="shared" si="75"/>
        <v>0.34</v>
      </c>
      <c r="J145" s="164">
        <f t="shared" si="75"/>
        <v>0.35</v>
      </c>
      <c r="K145" s="164">
        <f t="shared" si="75"/>
        <v>0.67</v>
      </c>
      <c r="L145" s="164">
        <f t="shared" si="75"/>
        <v>0.72</v>
      </c>
      <c r="M145" s="164">
        <f t="shared" si="75"/>
        <v>0.1</v>
      </c>
      <c r="N145" s="164">
        <f>N131</f>
        <v>0.1</v>
      </c>
      <c r="O145" s="164">
        <f>O131</f>
        <v>0.1</v>
      </c>
      <c r="P145" s="343" t="s">
        <v>353</v>
      </c>
    </row>
    <row r="146" spans="1:16">
      <c r="B146" s="111" t="s">
        <v>445</v>
      </c>
      <c r="C146" s="259" t="s">
        <v>1</v>
      </c>
      <c r="F146" s="219"/>
      <c r="G146" s="219"/>
      <c r="H146" s="225">
        <f>IF(F141&gt;0,(F140/F141)*F144*(F142+F143)*(1+F145/100)*(1+G145/100),0)</f>
        <v>0</v>
      </c>
      <c r="I146" s="225">
        <f t="shared" ref="I146:O146" si="76">IF(G141&gt;0,(G140/G141)*G144*(G142+G143)*(1+G145/100)*(1+H145/100),0)</f>
        <v>0</v>
      </c>
      <c r="J146" s="225">
        <f t="shared" si="76"/>
        <v>0</v>
      </c>
      <c r="K146" s="225">
        <f t="shared" si="76"/>
        <v>0</v>
      </c>
      <c r="L146" s="225">
        <f t="shared" si="76"/>
        <v>0</v>
      </c>
      <c r="M146" s="225">
        <f t="shared" si="76"/>
        <v>0</v>
      </c>
      <c r="N146" s="225">
        <f t="shared" si="76"/>
        <v>0</v>
      </c>
      <c r="O146" s="225">
        <f t="shared" si="76"/>
        <v>0</v>
      </c>
      <c r="P146" s="343" t="s">
        <v>292</v>
      </c>
    </row>
    <row r="147" spans="1:16">
      <c r="C147" s="259"/>
      <c r="G147" s="118"/>
      <c r="H147" s="242"/>
      <c r="I147" s="242"/>
      <c r="J147" s="242"/>
      <c r="K147" s="118"/>
      <c r="N147" s="273"/>
      <c r="O147" s="273"/>
      <c r="P147" s="332"/>
    </row>
    <row r="148" spans="1:16">
      <c r="C148" s="259"/>
      <c r="N148" s="273"/>
      <c r="O148" s="273"/>
      <c r="P148" s="332"/>
    </row>
    <row r="149" spans="1:16">
      <c r="C149" s="259"/>
      <c r="N149" s="273"/>
      <c r="O149" s="273"/>
      <c r="P149" s="332"/>
    </row>
    <row r="150" spans="1:16">
      <c r="C150" s="259"/>
      <c r="N150" s="273"/>
      <c r="O150" s="273"/>
      <c r="P150" s="332"/>
    </row>
    <row r="151" spans="1:16">
      <c r="C151" s="259"/>
      <c r="N151" s="273"/>
      <c r="O151" s="273"/>
      <c r="P151" s="332"/>
    </row>
    <row r="152" spans="1:16">
      <c r="A152" s="110" t="s">
        <v>318</v>
      </c>
      <c r="C152" s="259"/>
      <c r="N152" s="273"/>
      <c r="O152" s="273"/>
      <c r="P152" s="332"/>
    </row>
    <row r="153" spans="1:16">
      <c r="C153" s="259"/>
      <c r="N153" s="273"/>
      <c r="O153" s="273"/>
      <c r="P153" s="332"/>
    </row>
    <row r="154" spans="1:16" ht="17.5">
      <c r="A154" s="110" t="s">
        <v>473</v>
      </c>
      <c r="B154" s="129" t="s">
        <v>319</v>
      </c>
      <c r="C154" s="259"/>
      <c r="H154" s="118"/>
      <c r="N154" s="273"/>
      <c r="O154" s="273"/>
      <c r="P154" s="332"/>
    </row>
    <row r="155" spans="1:16" ht="14.5">
      <c r="C155" s="259"/>
      <c r="F155" s="112">
        <v>2014</v>
      </c>
      <c r="G155" s="112">
        <v>2015</v>
      </c>
      <c r="H155" s="112">
        <v>2016</v>
      </c>
      <c r="I155" s="112">
        <v>2017</v>
      </c>
      <c r="J155" s="112">
        <v>2018</v>
      </c>
      <c r="K155" s="112">
        <v>2019</v>
      </c>
      <c r="L155" s="112">
        <v>2020</v>
      </c>
      <c r="M155" s="112">
        <v>2021</v>
      </c>
      <c r="N155" s="112">
        <v>2022</v>
      </c>
      <c r="O155" s="112">
        <v>2023</v>
      </c>
      <c r="P155" s="332"/>
    </row>
    <row r="156" spans="1:16">
      <c r="A156" s="111" t="s">
        <v>322</v>
      </c>
      <c r="B156" s="111" t="s">
        <v>320</v>
      </c>
      <c r="C156" s="259" t="s">
        <v>1</v>
      </c>
      <c r="F156" s="164">
        <f t="shared" ref="F156:M156" si="77">DCP</f>
        <v>0</v>
      </c>
      <c r="G156" s="164">
        <f t="shared" si="77"/>
        <v>0</v>
      </c>
      <c r="H156" s="164">
        <f t="shared" si="77"/>
        <v>0</v>
      </c>
      <c r="I156" s="164">
        <f t="shared" si="77"/>
        <v>0</v>
      </c>
      <c r="J156" s="164">
        <f t="shared" si="77"/>
        <v>0</v>
      </c>
      <c r="K156" s="164">
        <f t="shared" si="77"/>
        <v>0</v>
      </c>
      <c r="L156" s="164">
        <f t="shared" si="77"/>
        <v>0</v>
      </c>
      <c r="M156" s="164">
        <f t="shared" si="77"/>
        <v>0</v>
      </c>
      <c r="N156" s="164"/>
      <c r="O156" s="164"/>
      <c r="P156" s="343" t="s">
        <v>320</v>
      </c>
    </row>
    <row r="157" spans="1:16">
      <c r="A157" s="111" t="s">
        <v>323</v>
      </c>
      <c r="B157" s="111" t="s">
        <v>321</v>
      </c>
      <c r="C157" s="259" t="s">
        <v>1</v>
      </c>
      <c r="F157" s="164">
        <f t="shared" ref="F157:M157" si="78">CCP</f>
        <v>0</v>
      </c>
      <c r="G157" s="164">
        <f t="shared" si="78"/>
        <v>0</v>
      </c>
      <c r="H157" s="164">
        <f t="shared" si="78"/>
        <v>0</v>
      </c>
      <c r="I157" s="164">
        <f t="shared" si="78"/>
        <v>0</v>
      </c>
      <c r="J157" s="164">
        <f t="shared" si="78"/>
        <v>0</v>
      </c>
      <c r="K157" s="164">
        <f t="shared" si="78"/>
        <v>0</v>
      </c>
      <c r="L157" s="164">
        <f t="shared" si="78"/>
        <v>0</v>
      </c>
      <c r="M157" s="164">
        <f t="shared" si="78"/>
        <v>0</v>
      </c>
      <c r="N157" s="164"/>
      <c r="O157" s="164"/>
      <c r="P157" s="343" t="s">
        <v>321</v>
      </c>
    </row>
    <row r="158" spans="1:16">
      <c r="A158" s="111" t="s">
        <v>191</v>
      </c>
      <c r="B158" s="111" t="s">
        <v>127</v>
      </c>
      <c r="C158" s="259" t="s">
        <v>118</v>
      </c>
      <c r="F158" s="164">
        <f>PVF</f>
        <v>1.04756</v>
      </c>
      <c r="G158" s="164">
        <f t="shared" ref="G158:M158" si="79">PVF</f>
        <v>1.04525</v>
      </c>
      <c r="H158" s="164">
        <f t="shared" si="79"/>
        <v>1.0433250000000001</v>
      </c>
      <c r="I158" s="164">
        <f t="shared" si="79"/>
        <v>1.041345</v>
      </c>
      <c r="J158" s="164">
        <f t="shared" si="79"/>
        <v>1.0398050000000001</v>
      </c>
      <c r="K158" s="164">
        <f t="shared" si="79"/>
        <v>1.0378799999999999</v>
      </c>
      <c r="L158" s="164">
        <f t="shared" si="79"/>
        <v>1.0370550000000001</v>
      </c>
      <c r="M158" s="164">
        <f t="shared" si="79"/>
        <v>1.0356799999999999</v>
      </c>
      <c r="N158" s="164">
        <f>'R5 Input page'!N49</f>
        <v>1.04498</v>
      </c>
      <c r="O158" s="164">
        <f>'R5 Input page'!O49</f>
        <v>1.04558</v>
      </c>
      <c r="P158" s="343" t="s">
        <v>127</v>
      </c>
    </row>
    <row r="159" spans="1:16">
      <c r="A159" s="111" t="s">
        <v>212</v>
      </c>
      <c r="B159" s="111" t="s">
        <v>117</v>
      </c>
      <c r="C159" s="259" t="s">
        <v>118</v>
      </c>
      <c r="F159" s="164">
        <f t="shared" ref="F159:M159" si="80">RPIF</f>
        <v>1.1630161697108456</v>
      </c>
      <c r="G159" s="164">
        <f t="shared" si="80"/>
        <v>1.2050819527256253</v>
      </c>
      <c r="H159" s="164">
        <f t="shared" si="80"/>
        <v>1.2266493019576674</v>
      </c>
      <c r="I159" s="164">
        <f t="shared" si="80"/>
        <v>1.2327329838381795</v>
      </c>
      <c r="J159" s="164">
        <f t="shared" si="80"/>
        <v>1.2709189417960116</v>
      </c>
      <c r="K159" s="164">
        <f t="shared" si="80"/>
        <v>1.3140238772935624</v>
      </c>
      <c r="L159" s="164">
        <f t="shared" si="80"/>
        <v>1.3585865587485577</v>
      </c>
      <c r="M159" s="164">
        <f t="shared" si="80"/>
        <v>1.3798357939884227</v>
      </c>
      <c r="N159" s="164">
        <f>'R6 Base revenue'!N30</f>
        <v>1.4027951630045372</v>
      </c>
      <c r="O159" s="164">
        <f>'R6 Base revenue'!O30</f>
        <v>1.4341579421476001</v>
      </c>
      <c r="P159" s="343" t="s">
        <v>117</v>
      </c>
    </row>
    <row r="160" spans="1:16">
      <c r="A160" s="111" t="s">
        <v>318</v>
      </c>
      <c r="B160" s="111" t="s">
        <v>310</v>
      </c>
      <c r="C160" s="259" t="s">
        <v>1</v>
      </c>
      <c r="F160" s="219"/>
      <c r="G160" s="219"/>
      <c r="H160" s="225">
        <f>(F156+F157)*F158*G158*H159</f>
        <v>0</v>
      </c>
      <c r="I160" s="225">
        <f t="shared" ref="I160:O160" si="81">(G156+G157)*G158*H158*I159</f>
        <v>0</v>
      </c>
      <c r="J160" s="225">
        <f t="shared" si="81"/>
        <v>0</v>
      </c>
      <c r="K160" s="225">
        <f t="shared" si="81"/>
        <v>0</v>
      </c>
      <c r="L160" s="225">
        <f t="shared" si="81"/>
        <v>0</v>
      </c>
      <c r="M160" s="225">
        <f t="shared" si="81"/>
        <v>0</v>
      </c>
      <c r="N160" s="225">
        <f t="shared" si="81"/>
        <v>0</v>
      </c>
      <c r="O160" s="225">
        <f t="shared" si="81"/>
        <v>0</v>
      </c>
      <c r="P160" s="343" t="s">
        <v>310</v>
      </c>
    </row>
    <row r="161" spans="1:16">
      <c r="C161" s="259"/>
      <c r="G161" s="118"/>
      <c r="H161" s="242"/>
      <c r="I161" s="242"/>
      <c r="J161" s="242"/>
      <c r="K161" s="118"/>
      <c r="N161" s="273"/>
      <c r="O161" s="273"/>
      <c r="P161" s="343"/>
    </row>
    <row r="162" spans="1:16">
      <c r="C162" s="259"/>
      <c r="N162" s="273"/>
      <c r="O162" s="273"/>
      <c r="P162" s="343"/>
    </row>
    <row r="163" spans="1:16">
      <c r="C163" s="259"/>
      <c r="N163" s="273"/>
      <c r="O163" s="273"/>
      <c r="P163" s="343"/>
    </row>
    <row r="164" spans="1:16" ht="15.5">
      <c r="A164" s="111" t="s">
        <v>336</v>
      </c>
      <c r="C164" s="150"/>
      <c r="I164" s="118"/>
      <c r="N164" s="273"/>
      <c r="O164" s="273"/>
      <c r="P164" s="343"/>
    </row>
    <row r="165" spans="1:16" ht="15.5">
      <c r="A165" s="110" t="s">
        <v>474</v>
      </c>
      <c r="C165" s="258"/>
      <c r="F165" s="112">
        <v>2014</v>
      </c>
      <c r="G165" s="112">
        <v>2015</v>
      </c>
      <c r="H165" s="112">
        <v>2016</v>
      </c>
      <c r="I165" s="112">
        <v>2017</v>
      </c>
      <c r="J165" s="112">
        <v>2018</v>
      </c>
      <c r="K165" s="112">
        <v>2019</v>
      </c>
      <c r="L165" s="112">
        <v>2020</v>
      </c>
      <c r="M165" s="112">
        <v>2021</v>
      </c>
      <c r="N165" s="112">
        <v>2022</v>
      </c>
      <c r="O165" s="112">
        <v>2023</v>
      </c>
      <c r="P165" s="343"/>
    </row>
    <row r="166" spans="1:16">
      <c r="A166" s="111" t="s">
        <v>334</v>
      </c>
      <c r="B166" s="111" t="s">
        <v>324</v>
      </c>
      <c r="C166" s="95" t="s">
        <v>495</v>
      </c>
      <c r="F166" s="230">
        <f t="shared" ref="F166:M166" si="82">DCOS</f>
        <v>0</v>
      </c>
      <c r="G166" s="230">
        <f t="shared" si="82"/>
        <v>0</v>
      </c>
      <c r="H166" s="230">
        <f t="shared" si="82"/>
        <v>0</v>
      </c>
      <c r="I166" s="230">
        <f t="shared" si="82"/>
        <v>0</v>
      </c>
      <c r="J166" s="230">
        <f t="shared" si="82"/>
        <v>0</v>
      </c>
      <c r="K166" s="230">
        <f t="shared" si="82"/>
        <v>0</v>
      </c>
      <c r="L166" s="230">
        <f t="shared" si="82"/>
        <v>0</v>
      </c>
      <c r="M166" s="230">
        <f t="shared" si="82"/>
        <v>0</v>
      </c>
      <c r="N166" s="230"/>
      <c r="O166" s="230"/>
      <c r="P166" s="343" t="s">
        <v>324</v>
      </c>
    </row>
    <row r="167" spans="1:16" ht="27">
      <c r="A167" s="111" t="s">
        <v>332</v>
      </c>
      <c r="B167" s="111" t="s">
        <v>325</v>
      </c>
      <c r="C167" s="95" t="s">
        <v>516</v>
      </c>
      <c r="F167" s="230">
        <f t="shared" ref="F167:M167" si="83">DC</f>
        <v>0</v>
      </c>
      <c r="G167" s="230">
        <f t="shared" si="83"/>
        <v>0</v>
      </c>
      <c r="H167" s="230">
        <f t="shared" si="83"/>
        <v>0</v>
      </c>
      <c r="I167" s="230">
        <f t="shared" si="83"/>
        <v>0</v>
      </c>
      <c r="J167" s="230">
        <f t="shared" si="83"/>
        <v>0</v>
      </c>
      <c r="K167" s="230">
        <f t="shared" si="83"/>
        <v>0</v>
      </c>
      <c r="L167" s="230">
        <f t="shared" si="83"/>
        <v>0</v>
      </c>
      <c r="M167" s="230">
        <f t="shared" si="83"/>
        <v>0</v>
      </c>
      <c r="N167" s="230"/>
      <c r="O167" s="230"/>
      <c r="P167" s="343" t="s">
        <v>325</v>
      </c>
    </row>
    <row r="168" spans="1:16">
      <c r="A168" s="111" t="s">
        <v>333</v>
      </c>
      <c r="B168" s="111" t="s">
        <v>326</v>
      </c>
      <c r="C168" s="95" t="s">
        <v>495</v>
      </c>
      <c r="F168" s="230">
        <f t="shared" ref="F168:M168" si="84">EDCOS</f>
        <v>0</v>
      </c>
      <c r="G168" s="230">
        <f t="shared" si="84"/>
        <v>0</v>
      </c>
      <c r="H168" s="230">
        <f t="shared" si="84"/>
        <v>0</v>
      </c>
      <c r="I168" s="230">
        <f t="shared" si="84"/>
        <v>0</v>
      </c>
      <c r="J168" s="230">
        <f t="shared" si="84"/>
        <v>0</v>
      </c>
      <c r="K168" s="230">
        <f t="shared" si="84"/>
        <v>0</v>
      </c>
      <c r="L168" s="230">
        <f t="shared" si="84"/>
        <v>0</v>
      </c>
      <c r="M168" s="230">
        <f t="shared" si="84"/>
        <v>0</v>
      </c>
      <c r="N168" s="230"/>
      <c r="O168" s="230"/>
      <c r="P168" s="343" t="s">
        <v>326</v>
      </c>
    </row>
    <row r="169" spans="1:16" ht="27">
      <c r="A169" s="111" t="s">
        <v>335</v>
      </c>
      <c r="B169" s="111" t="s">
        <v>327</v>
      </c>
      <c r="C169" s="95" t="s">
        <v>516</v>
      </c>
      <c r="F169" s="230">
        <f t="shared" ref="F169:M169" si="85">EDC</f>
        <v>0</v>
      </c>
      <c r="G169" s="230">
        <f t="shared" si="85"/>
        <v>0</v>
      </c>
      <c r="H169" s="230">
        <f t="shared" si="85"/>
        <v>0</v>
      </c>
      <c r="I169" s="230">
        <f t="shared" si="85"/>
        <v>0</v>
      </c>
      <c r="J169" s="230">
        <f t="shared" si="85"/>
        <v>0</v>
      </c>
      <c r="K169" s="230">
        <f t="shared" si="85"/>
        <v>0</v>
      </c>
      <c r="L169" s="230">
        <f t="shared" si="85"/>
        <v>0</v>
      </c>
      <c r="M169" s="230">
        <f t="shared" si="85"/>
        <v>0</v>
      </c>
      <c r="N169" s="230"/>
      <c r="O169" s="230"/>
      <c r="P169" s="343" t="s">
        <v>327</v>
      </c>
    </row>
    <row r="170" spans="1:16">
      <c r="A170" s="111" t="s">
        <v>322</v>
      </c>
      <c r="B170" s="111" t="s">
        <v>320</v>
      </c>
      <c r="C170" s="259" t="s">
        <v>1</v>
      </c>
      <c r="F170" s="229">
        <f>((F166*F167)+(F168*F169))/1000000</f>
        <v>0</v>
      </c>
      <c r="G170" s="229">
        <f>((G166*G167)+(G168*G169))/1000000</f>
        <v>0</v>
      </c>
      <c r="H170" s="229">
        <f t="shared" ref="H170:M170" si="86">((H166*H167)+(H168*H169))/1000000</f>
        <v>0</v>
      </c>
      <c r="I170" s="229">
        <f t="shared" si="86"/>
        <v>0</v>
      </c>
      <c r="J170" s="229">
        <f t="shared" si="86"/>
        <v>0</v>
      </c>
      <c r="K170" s="229">
        <f t="shared" si="86"/>
        <v>0</v>
      </c>
      <c r="L170" s="229">
        <f t="shared" si="86"/>
        <v>0</v>
      </c>
      <c r="M170" s="229">
        <f t="shared" si="86"/>
        <v>0</v>
      </c>
      <c r="N170" s="229">
        <f t="shared" ref="N170:O170" si="87">((N166*N167)+(N168*N169))/1000000</f>
        <v>0</v>
      </c>
      <c r="O170" s="229">
        <f t="shared" si="87"/>
        <v>0</v>
      </c>
      <c r="P170" s="343" t="s">
        <v>320</v>
      </c>
    </row>
    <row r="171" spans="1:16">
      <c r="C171" s="259"/>
      <c r="F171" s="118"/>
      <c r="G171" s="242"/>
      <c r="H171" s="242"/>
      <c r="I171" s="242"/>
      <c r="J171" s="118"/>
      <c r="N171" s="273"/>
      <c r="O171" s="273"/>
      <c r="P171" s="343"/>
    </row>
    <row r="172" spans="1:16">
      <c r="C172" s="259"/>
      <c r="N172" s="273"/>
      <c r="O172" s="273"/>
      <c r="P172" s="343"/>
    </row>
    <row r="173" spans="1:16">
      <c r="C173" s="259"/>
      <c r="N173" s="273"/>
      <c r="O173" s="273"/>
      <c r="P173" s="343"/>
    </row>
    <row r="174" spans="1:16" ht="15.5">
      <c r="A174" s="111" t="s">
        <v>337</v>
      </c>
      <c r="C174" s="150"/>
      <c r="I174" s="118"/>
      <c r="N174" s="273"/>
      <c r="O174" s="273"/>
      <c r="P174" s="343"/>
    </row>
    <row r="175" spans="1:16" ht="15.5">
      <c r="A175" s="110" t="s">
        <v>475</v>
      </c>
      <c r="C175" s="258"/>
      <c r="F175" s="112">
        <v>2014</v>
      </c>
      <c r="G175" s="112">
        <v>2015</v>
      </c>
      <c r="H175" s="112">
        <v>2016</v>
      </c>
      <c r="I175" s="112">
        <v>2017</v>
      </c>
      <c r="J175" s="112">
        <v>2018</v>
      </c>
      <c r="K175" s="112">
        <v>2019</v>
      </c>
      <c r="L175" s="112">
        <v>2020</v>
      </c>
      <c r="M175" s="112">
        <v>2021</v>
      </c>
      <c r="N175" s="112">
        <v>2022</v>
      </c>
      <c r="O175" s="112">
        <v>2023</v>
      </c>
      <c r="P175" s="343"/>
    </row>
    <row r="176" spans="1:16">
      <c r="A176" s="111" t="s">
        <v>580</v>
      </c>
      <c r="B176" s="111" t="s">
        <v>328</v>
      </c>
      <c r="C176" s="95" t="s">
        <v>495</v>
      </c>
      <c r="F176" s="133">
        <f t="shared" ref="F176:M176" si="88">CCOS</f>
        <v>0</v>
      </c>
      <c r="G176" s="133">
        <f t="shared" si="88"/>
        <v>0</v>
      </c>
      <c r="H176" s="133">
        <f t="shared" si="88"/>
        <v>0</v>
      </c>
      <c r="I176" s="133">
        <f t="shared" si="88"/>
        <v>0</v>
      </c>
      <c r="J176" s="133">
        <f t="shared" si="88"/>
        <v>0</v>
      </c>
      <c r="K176" s="133">
        <f t="shared" si="88"/>
        <v>0</v>
      </c>
      <c r="L176" s="133">
        <f t="shared" si="88"/>
        <v>0</v>
      </c>
      <c r="M176" s="133">
        <f t="shared" si="88"/>
        <v>0</v>
      </c>
      <c r="N176" s="133"/>
      <c r="O176" s="133"/>
      <c r="P176" s="343" t="s">
        <v>328</v>
      </c>
    </row>
    <row r="177" spans="1:17" ht="27">
      <c r="A177" s="111" t="s">
        <v>332</v>
      </c>
      <c r="B177" s="111" t="s">
        <v>329</v>
      </c>
      <c r="C177" s="95" t="s">
        <v>516</v>
      </c>
      <c r="F177" s="133">
        <f t="shared" ref="F177:M177" si="89">CC</f>
        <v>0</v>
      </c>
      <c r="G177" s="133">
        <f t="shared" si="89"/>
        <v>0</v>
      </c>
      <c r="H177" s="133">
        <f t="shared" si="89"/>
        <v>0</v>
      </c>
      <c r="I177" s="133">
        <f t="shared" si="89"/>
        <v>0</v>
      </c>
      <c r="J177" s="133">
        <f t="shared" si="89"/>
        <v>0</v>
      </c>
      <c r="K177" s="133">
        <f t="shared" si="89"/>
        <v>0</v>
      </c>
      <c r="L177" s="133">
        <f t="shared" si="89"/>
        <v>0</v>
      </c>
      <c r="M177" s="133">
        <f t="shared" si="89"/>
        <v>0</v>
      </c>
      <c r="N177" s="133"/>
      <c r="O177" s="133"/>
      <c r="P177" s="343" t="s">
        <v>329</v>
      </c>
    </row>
    <row r="178" spans="1:17">
      <c r="A178" s="111" t="s">
        <v>339</v>
      </c>
      <c r="B178" s="111" t="s">
        <v>330</v>
      </c>
      <c r="C178" s="95" t="s">
        <v>495</v>
      </c>
      <c r="F178" s="133">
        <f t="shared" ref="F178:M178" si="90">ECCOS</f>
        <v>0</v>
      </c>
      <c r="G178" s="133">
        <f t="shared" si="90"/>
        <v>0</v>
      </c>
      <c r="H178" s="133">
        <f t="shared" si="90"/>
        <v>0</v>
      </c>
      <c r="I178" s="133">
        <f t="shared" si="90"/>
        <v>0</v>
      </c>
      <c r="J178" s="133">
        <f t="shared" si="90"/>
        <v>0</v>
      </c>
      <c r="K178" s="133">
        <f t="shared" si="90"/>
        <v>0</v>
      </c>
      <c r="L178" s="133">
        <f t="shared" si="90"/>
        <v>0</v>
      </c>
      <c r="M178" s="133">
        <f t="shared" si="90"/>
        <v>0</v>
      </c>
      <c r="N178" s="133"/>
      <c r="O178" s="133"/>
      <c r="P178" s="343" t="s">
        <v>330</v>
      </c>
    </row>
    <row r="179" spans="1:17" ht="27">
      <c r="A179" s="111" t="s">
        <v>335</v>
      </c>
      <c r="B179" s="111" t="s">
        <v>331</v>
      </c>
      <c r="C179" s="95" t="s">
        <v>516</v>
      </c>
      <c r="F179" s="133">
        <f t="shared" ref="F179:M179" si="91">ECC</f>
        <v>0</v>
      </c>
      <c r="G179" s="133">
        <f t="shared" si="91"/>
        <v>0</v>
      </c>
      <c r="H179" s="133">
        <f t="shared" si="91"/>
        <v>0</v>
      </c>
      <c r="I179" s="133">
        <f t="shared" si="91"/>
        <v>0</v>
      </c>
      <c r="J179" s="133">
        <f t="shared" si="91"/>
        <v>0</v>
      </c>
      <c r="K179" s="133">
        <f t="shared" si="91"/>
        <v>0</v>
      </c>
      <c r="L179" s="133">
        <f t="shared" si="91"/>
        <v>0</v>
      </c>
      <c r="M179" s="133">
        <f t="shared" si="91"/>
        <v>0</v>
      </c>
      <c r="N179" s="133"/>
      <c r="O179" s="133"/>
      <c r="P179" s="343" t="s">
        <v>331</v>
      </c>
    </row>
    <row r="180" spans="1:17">
      <c r="A180" s="111" t="s">
        <v>323</v>
      </c>
      <c r="B180" s="111" t="s">
        <v>321</v>
      </c>
      <c r="C180" s="259" t="s">
        <v>1</v>
      </c>
      <c r="F180" s="136">
        <f>((F176*F177)+(F178*F179))/1000000</f>
        <v>0</v>
      </c>
      <c r="G180" s="136">
        <f>((G176*G177)+(G178*G179))/1000000</f>
        <v>0</v>
      </c>
      <c r="H180" s="136">
        <f t="shared" ref="H180:M180" si="92">((H176*H177)+(H178*H179))/1000000</f>
        <v>0</v>
      </c>
      <c r="I180" s="136">
        <f t="shared" si="92"/>
        <v>0</v>
      </c>
      <c r="J180" s="136">
        <f t="shared" si="92"/>
        <v>0</v>
      </c>
      <c r="K180" s="136">
        <f t="shared" si="92"/>
        <v>0</v>
      </c>
      <c r="L180" s="136">
        <f t="shared" si="92"/>
        <v>0</v>
      </c>
      <c r="M180" s="136">
        <f t="shared" si="92"/>
        <v>0</v>
      </c>
      <c r="N180" s="136">
        <f t="shared" ref="N180:O180" si="93">((N176*N177)+(N178*N179))/1000000</f>
        <v>0</v>
      </c>
      <c r="O180" s="136">
        <f t="shared" si="93"/>
        <v>0</v>
      </c>
      <c r="P180" s="343" t="s">
        <v>321</v>
      </c>
    </row>
    <row r="181" spans="1:17">
      <c r="C181" s="259"/>
      <c r="F181" s="118"/>
      <c r="G181" s="242"/>
      <c r="H181" s="242"/>
      <c r="I181" s="242"/>
      <c r="J181" s="118"/>
      <c r="N181" s="273"/>
      <c r="O181" s="273"/>
      <c r="P181" s="332"/>
    </row>
    <row r="182" spans="1:17">
      <c r="C182" s="259"/>
      <c r="N182" s="273"/>
      <c r="O182" s="273"/>
      <c r="P182" s="332"/>
    </row>
    <row r="183" spans="1:17">
      <c r="C183" s="259"/>
      <c r="N183" s="273"/>
      <c r="O183" s="273"/>
      <c r="P183" s="332"/>
    </row>
    <row r="184" spans="1:17">
      <c r="A184" s="144" t="s">
        <v>377</v>
      </c>
      <c r="C184" s="259"/>
      <c r="N184" s="273"/>
      <c r="O184" s="273"/>
      <c r="P184" s="332"/>
    </row>
    <row r="185" spans="1:17">
      <c r="A185" s="110" t="s">
        <v>476</v>
      </c>
      <c r="B185" s="131"/>
      <c r="C185" s="262"/>
      <c r="D185" s="131"/>
      <c r="E185" s="131"/>
      <c r="F185" s="131"/>
      <c r="G185" s="131"/>
      <c r="H185" s="131"/>
      <c r="N185" s="273"/>
      <c r="O185" s="273"/>
      <c r="P185" s="332"/>
    </row>
    <row r="186" spans="1:17" ht="14.5">
      <c r="A186" s="131" t="s">
        <v>378</v>
      </c>
      <c r="B186" s="131"/>
      <c r="C186" s="262"/>
      <c r="D186" s="131"/>
      <c r="E186" s="131"/>
      <c r="F186" s="112">
        <v>2014</v>
      </c>
      <c r="G186" s="112">
        <v>2015</v>
      </c>
      <c r="H186" s="112">
        <v>2016</v>
      </c>
      <c r="I186" s="112">
        <v>2017</v>
      </c>
      <c r="J186" s="112">
        <v>2018</v>
      </c>
      <c r="K186" s="112">
        <v>2019</v>
      </c>
      <c r="L186" s="112">
        <v>2020</v>
      </c>
      <c r="M186" s="112">
        <v>2021</v>
      </c>
      <c r="N186" s="112">
        <v>2022</v>
      </c>
      <c r="O186" s="112">
        <v>2023</v>
      </c>
      <c r="P186" s="332"/>
    </row>
    <row r="187" spans="1:17">
      <c r="A187" s="121" t="s">
        <v>218</v>
      </c>
      <c r="B187" s="96" t="s">
        <v>51</v>
      </c>
      <c r="C187" s="262" t="s">
        <v>448</v>
      </c>
      <c r="D187" s="131"/>
      <c r="E187" s="131"/>
      <c r="F187" s="248">
        <f>'R4 Licence Condition Values'!F63</f>
        <v>150.69999999999999</v>
      </c>
      <c r="G187" s="248">
        <f>'R4 Licence Condition Values'!G63</f>
        <v>173.1</v>
      </c>
      <c r="H187" s="248">
        <f>'R4 Licence Condition Values'!H63</f>
        <v>210.7</v>
      </c>
      <c r="I187" s="248">
        <f>'R4 Licence Condition Values'!I63</f>
        <v>226.1</v>
      </c>
      <c r="J187" s="248">
        <f>'R4 Licence Condition Values'!J63</f>
        <v>245.3</v>
      </c>
      <c r="K187" s="248">
        <f>'R4 Licence Condition Values'!K63</f>
        <v>261.39999999999998</v>
      </c>
      <c r="L187" s="248">
        <f>'R4 Licence Condition Values'!L63</f>
        <v>270.89999999999998</v>
      </c>
      <c r="M187" s="248">
        <f>'R4 Licence Condition Values'!M63</f>
        <v>274.7</v>
      </c>
      <c r="N187" s="248"/>
      <c r="O187" s="248"/>
      <c r="P187" s="343" t="s">
        <v>51</v>
      </c>
      <c r="Q187" s="332"/>
    </row>
    <row r="188" spans="1:17">
      <c r="A188" s="121" t="s">
        <v>444</v>
      </c>
      <c r="B188" s="208" t="s">
        <v>443</v>
      </c>
      <c r="C188" s="262" t="s">
        <v>448</v>
      </c>
      <c r="D188" s="204"/>
      <c r="E188" s="131"/>
      <c r="F188" s="131"/>
      <c r="G188" s="131"/>
      <c r="H188" s="228">
        <f>H198</f>
        <v>0</v>
      </c>
      <c r="I188" s="249">
        <f>I208</f>
        <v>0</v>
      </c>
      <c r="J188" s="249">
        <f t="shared" ref="J188:M188" si="94">J208</f>
        <v>0</v>
      </c>
      <c r="K188" s="249">
        <f t="shared" si="94"/>
        <v>0</v>
      </c>
      <c r="L188" s="249">
        <f t="shared" si="94"/>
        <v>0</v>
      </c>
      <c r="M188" s="228">
        <f t="shared" si="94"/>
        <v>0</v>
      </c>
      <c r="N188" s="228"/>
      <c r="O188" s="228"/>
      <c r="P188" s="343"/>
    </row>
    <row r="189" spans="1:17">
      <c r="A189" s="121" t="s">
        <v>47</v>
      </c>
      <c r="B189" s="96" t="s">
        <v>307</v>
      </c>
      <c r="C189" s="262" t="s">
        <v>448</v>
      </c>
      <c r="D189" s="131"/>
      <c r="E189" s="131"/>
      <c r="F189" s="131"/>
      <c r="G189" s="131"/>
      <c r="H189" s="250">
        <f>H187+H188</f>
        <v>210.7</v>
      </c>
      <c r="I189" s="250">
        <f t="shared" ref="I189:M189" si="95">I187+I188</f>
        <v>226.1</v>
      </c>
      <c r="J189" s="250">
        <f t="shared" si="95"/>
        <v>245.3</v>
      </c>
      <c r="K189" s="250">
        <f t="shared" si="95"/>
        <v>261.39999999999998</v>
      </c>
      <c r="L189" s="250">
        <f t="shared" si="95"/>
        <v>270.89999999999998</v>
      </c>
      <c r="M189" s="250">
        <f t="shared" si="95"/>
        <v>274.7</v>
      </c>
      <c r="N189" s="250">
        <f t="shared" ref="N189:O189" si="96">N187+N188</f>
        <v>0</v>
      </c>
      <c r="O189" s="250">
        <f t="shared" si="96"/>
        <v>0</v>
      </c>
      <c r="P189" s="343" t="s">
        <v>307</v>
      </c>
    </row>
    <row r="190" spans="1:17">
      <c r="C190" s="259"/>
      <c r="N190" s="273"/>
      <c r="O190" s="273"/>
      <c r="P190" s="332"/>
    </row>
    <row r="191" spans="1:17">
      <c r="C191" s="259"/>
      <c r="N191" s="273"/>
      <c r="O191" s="273"/>
      <c r="P191" s="332"/>
    </row>
    <row r="192" spans="1:17">
      <c r="C192" s="259"/>
      <c r="F192" s="111" t="s">
        <v>523</v>
      </c>
      <c r="N192" s="273"/>
      <c r="O192" s="273"/>
      <c r="P192" s="332"/>
    </row>
    <row r="193" spans="1:16">
      <c r="A193" s="110" t="s">
        <v>467</v>
      </c>
      <c r="C193" s="259"/>
      <c r="J193" s="118"/>
      <c r="N193" s="273"/>
      <c r="O193" s="273"/>
      <c r="P193" s="332"/>
    </row>
    <row r="194" spans="1:16" ht="24" customHeight="1">
      <c r="C194" s="259"/>
      <c r="N194" s="273"/>
      <c r="O194" s="273"/>
      <c r="P194" s="332"/>
    </row>
    <row r="195" spans="1:16" ht="14.5">
      <c r="C195" s="259"/>
      <c r="F195" s="301"/>
      <c r="G195" s="304"/>
      <c r="H195" s="298">
        <v>2016</v>
      </c>
      <c r="N195" s="273"/>
      <c r="O195" s="273"/>
      <c r="P195" s="332"/>
    </row>
    <row r="196" spans="1:16">
      <c r="A196" s="111" t="s">
        <v>446</v>
      </c>
      <c r="B196" s="111" t="s">
        <v>446</v>
      </c>
      <c r="C196" s="259" t="s">
        <v>448</v>
      </c>
      <c r="F196" s="302"/>
      <c r="G196" s="305"/>
      <c r="H196" s="299">
        <f>SWWE</f>
        <v>0</v>
      </c>
      <c r="I196" s="343" t="s">
        <v>446</v>
      </c>
      <c r="J196" s="343"/>
      <c r="K196" s="332"/>
      <c r="L196" s="332"/>
      <c r="M196" s="332"/>
      <c r="N196" s="332"/>
      <c r="O196" s="332"/>
      <c r="P196" s="332"/>
    </row>
    <row r="197" spans="1:16">
      <c r="A197" s="111" t="s">
        <v>449</v>
      </c>
      <c r="B197" s="111" t="s">
        <v>447</v>
      </c>
      <c r="C197" s="259" t="s">
        <v>118</v>
      </c>
      <c r="F197" s="302"/>
      <c r="G197" s="305"/>
      <c r="H197" s="299">
        <f>TF</f>
        <v>0</v>
      </c>
      <c r="I197" s="343" t="s">
        <v>447</v>
      </c>
      <c r="J197" s="332"/>
      <c r="K197" s="332"/>
      <c r="L197" s="332"/>
      <c r="M197" s="332"/>
      <c r="N197" s="332"/>
      <c r="O197" s="332"/>
      <c r="P197" s="332"/>
    </row>
    <row r="198" spans="1:16">
      <c r="A198" s="111" t="s">
        <v>444</v>
      </c>
      <c r="B198" s="111" t="s">
        <v>443</v>
      </c>
      <c r="C198" s="259" t="s">
        <v>448</v>
      </c>
      <c r="F198" s="303"/>
      <c r="G198" s="306"/>
      <c r="H198" s="300">
        <f>H196*H197</f>
        <v>0</v>
      </c>
      <c r="I198" s="332"/>
      <c r="J198" s="343"/>
      <c r="K198" s="332"/>
      <c r="L198" s="332"/>
      <c r="M198" s="332"/>
      <c r="N198" s="332"/>
      <c r="O198" s="332"/>
      <c r="P198" s="332"/>
    </row>
    <row r="199" spans="1:16" s="241" customFormat="1">
      <c r="C199" s="264"/>
      <c r="H199" s="246"/>
      <c r="I199" s="246"/>
      <c r="J199" s="246"/>
      <c r="K199" s="246"/>
      <c r="L199" s="246"/>
      <c r="M199" s="246"/>
      <c r="N199" s="246"/>
      <c r="O199" s="246"/>
      <c r="P199" s="332"/>
    </row>
    <row r="200" spans="1:16">
      <c r="C200" s="259"/>
      <c r="N200" s="273"/>
      <c r="O200" s="273"/>
      <c r="P200" s="332"/>
    </row>
    <row r="201" spans="1:16">
      <c r="C201" s="259"/>
      <c r="F201" s="111" t="s">
        <v>524</v>
      </c>
      <c r="N201" s="273"/>
      <c r="O201" s="273"/>
      <c r="P201" s="332"/>
    </row>
    <row r="202" spans="1:16">
      <c r="A202" s="110" t="s">
        <v>467</v>
      </c>
      <c r="C202" s="259"/>
      <c r="N202" s="273"/>
      <c r="O202" s="273"/>
      <c r="P202" s="332"/>
    </row>
    <row r="203" spans="1:16">
      <c r="C203" s="259"/>
      <c r="N203" s="273"/>
      <c r="O203" s="273"/>
      <c r="P203" s="332"/>
    </row>
    <row r="204" spans="1:16" ht="14.5">
      <c r="C204" s="259"/>
      <c r="F204" s="118"/>
      <c r="I204" s="112">
        <v>2017</v>
      </c>
      <c r="J204" s="112">
        <v>2018</v>
      </c>
      <c r="K204" s="112">
        <v>2019</v>
      </c>
      <c r="L204" s="112">
        <v>2020</v>
      </c>
      <c r="M204" s="112">
        <v>2021</v>
      </c>
      <c r="N204" s="112">
        <v>2022</v>
      </c>
      <c r="O204" s="112">
        <v>2023</v>
      </c>
      <c r="P204" s="332"/>
    </row>
    <row r="205" spans="1:16">
      <c r="A205" s="111" t="s">
        <v>446</v>
      </c>
      <c r="B205" s="111" t="s">
        <v>446</v>
      </c>
      <c r="C205" s="259" t="s">
        <v>448</v>
      </c>
      <c r="I205" s="156">
        <f>SWWE</f>
        <v>0</v>
      </c>
      <c r="J205" s="156">
        <f>SWWE</f>
        <v>0</v>
      </c>
      <c r="K205" s="156">
        <f>SWWE</f>
        <v>0</v>
      </c>
      <c r="L205" s="156">
        <f>SWWE</f>
        <v>0</v>
      </c>
      <c r="M205" s="139">
        <f>SWWE</f>
        <v>0</v>
      </c>
      <c r="N205" s="139"/>
      <c r="O205" s="139"/>
      <c r="P205" s="343" t="s">
        <v>446</v>
      </c>
    </row>
    <row r="206" spans="1:16">
      <c r="A206" s="111" t="s">
        <v>449</v>
      </c>
      <c r="B206" s="111" t="s">
        <v>447</v>
      </c>
      <c r="C206" s="259" t="s">
        <v>118</v>
      </c>
      <c r="I206" s="156">
        <f>TF</f>
        <v>0</v>
      </c>
      <c r="J206" s="156">
        <f>TF</f>
        <v>0</v>
      </c>
      <c r="K206" s="156">
        <f>TF</f>
        <v>0</v>
      </c>
      <c r="L206" s="156">
        <f>TF</f>
        <v>0</v>
      </c>
      <c r="M206" s="139">
        <f>TF</f>
        <v>0</v>
      </c>
      <c r="N206" s="139"/>
      <c r="O206" s="139"/>
      <c r="P206" s="343" t="s">
        <v>447</v>
      </c>
    </row>
    <row r="207" spans="1:16">
      <c r="A207" s="111" t="s">
        <v>450</v>
      </c>
      <c r="B207" s="111" t="s">
        <v>450</v>
      </c>
      <c r="C207" s="259" t="s">
        <v>448</v>
      </c>
      <c r="F207" s="118"/>
      <c r="I207" s="156">
        <f>ASWWE</f>
        <v>0</v>
      </c>
      <c r="J207" s="156">
        <f>ASWWE</f>
        <v>0</v>
      </c>
      <c r="K207" s="156">
        <f>ASWWE</f>
        <v>0</v>
      </c>
      <c r="L207" s="156">
        <f>ASWWE</f>
        <v>0</v>
      </c>
      <c r="M207" s="139">
        <f>ASWWE</f>
        <v>0</v>
      </c>
      <c r="N207" s="139"/>
      <c r="O207" s="139"/>
      <c r="P207" s="343" t="s">
        <v>450</v>
      </c>
    </row>
    <row r="208" spans="1:16">
      <c r="A208" s="111" t="s">
        <v>444</v>
      </c>
      <c r="B208" s="111" t="s">
        <v>443</v>
      </c>
      <c r="C208" s="259" t="s">
        <v>448</v>
      </c>
      <c r="I208" s="158">
        <f>I205*I206+I207</f>
        <v>0</v>
      </c>
      <c r="J208" s="158">
        <f t="shared" ref="J208:M208" si="97">J205*J206+J207</f>
        <v>0</v>
      </c>
      <c r="K208" s="158">
        <f t="shared" si="97"/>
        <v>0</v>
      </c>
      <c r="L208" s="158">
        <f t="shared" si="97"/>
        <v>0</v>
      </c>
      <c r="M208" s="158">
        <f t="shared" si="97"/>
        <v>0</v>
      </c>
      <c r="N208" s="158">
        <f t="shared" ref="N208:O208" si="98">N205*N206+N207</f>
        <v>0</v>
      </c>
      <c r="O208" s="158">
        <f t="shared" si="98"/>
        <v>0</v>
      </c>
      <c r="P208" s="332"/>
    </row>
    <row r="209" spans="6:14">
      <c r="F209" s="118"/>
      <c r="N209" s="332"/>
    </row>
    <row r="210" spans="6:14">
      <c r="N210" s="332"/>
    </row>
    <row r="211" spans="6:14">
      <c r="N211" s="332"/>
    </row>
    <row r="212" spans="6:14">
      <c r="N212" s="332"/>
    </row>
    <row r="213" spans="6:14">
      <c r="N213" s="332"/>
    </row>
    <row r="214" spans="6:14">
      <c r="N214" s="332"/>
    </row>
    <row r="215" spans="6:14">
      <c r="N215" s="332"/>
    </row>
    <row r="216" spans="6:14">
      <c r="N216" s="332"/>
    </row>
    <row r="217" spans="6:14">
      <c r="N217" s="332"/>
    </row>
    <row r="218" spans="6:14">
      <c r="N218" s="332"/>
    </row>
    <row r="219" spans="6:14">
      <c r="N219" s="332"/>
    </row>
    <row r="220" spans="6:14">
      <c r="N220" s="332"/>
    </row>
    <row r="221" spans="6:14">
      <c r="N221" s="332"/>
    </row>
    <row r="222" spans="6:14">
      <c r="N222" s="332"/>
    </row>
    <row r="223" spans="6:14">
      <c r="N223" s="332"/>
    </row>
    <row r="224" spans="6:14">
      <c r="N224" s="332"/>
    </row>
    <row r="225" spans="14:14">
      <c r="N225" s="332"/>
    </row>
    <row r="226" spans="14:14">
      <c r="N226" s="332"/>
    </row>
    <row r="227" spans="14:14">
      <c r="N227" s="332"/>
    </row>
    <row r="228" spans="14:14">
      <c r="N228" s="332"/>
    </row>
    <row r="229" spans="14:14">
      <c r="N229" s="332"/>
    </row>
    <row r="230" spans="14:14">
      <c r="N230" s="332"/>
    </row>
    <row r="231" spans="14:14">
      <c r="N231" s="332"/>
    </row>
    <row r="232" spans="14:14">
      <c r="N232" s="332"/>
    </row>
    <row r="233" spans="14:14">
      <c r="N233" s="332"/>
    </row>
    <row r="234" spans="14:14">
      <c r="N234" s="332"/>
    </row>
    <row r="235" spans="14:14">
      <c r="N235" s="332"/>
    </row>
    <row r="236" spans="14:14">
      <c r="N236" s="332"/>
    </row>
    <row r="237" spans="14:14">
      <c r="N237" s="332"/>
    </row>
    <row r="238" spans="14:14">
      <c r="N238" s="332"/>
    </row>
    <row r="239" spans="14:14">
      <c r="N239" s="332"/>
    </row>
    <row r="240" spans="14:14">
      <c r="N240" s="332"/>
    </row>
    <row r="241" spans="14:14">
      <c r="N241" s="332"/>
    </row>
    <row r="242" spans="14:14">
      <c r="N242" s="332"/>
    </row>
    <row r="243" spans="14:14">
      <c r="N243" s="332"/>
    </row>
    <row r="244" spans="14:14">
      <c r="N244" s="332"/>
    </row>
    <row r="245" spans="14:14">
      <c r="N245" s="332"/>
    </row>
    <row r="246" spans="14:14">
      <c r="N246" s="332"/>
    </row>
    <row r="247" spans="14:14">
      <c r="N247" s="332"/>
    </row>
    <row r="248" spans="14:14">
      <c r="N248" s="332"/>
    </row>
    <row r="249" spans="14:14">
      <c r="N249" s="332"/>
    </row>
    <row r="250" spans="14:14">
      <c r="N250" s="332"/>
    </row>
    <row r="251" spans="14:14">
      <c r="N251" s="332"/>
    </row>
    <row r="252" spans="14:14">
      <c r="N252" s="332"/>
    </row>
    <row r="253" spans="14:14">
      <c r="N253" s="332"/>
    </row>
    <row r="254" spans="14:14">
      <c r="N254" s="332"/>
    </row>
    <row r="255" spans="14:14">
      <c r="N255" s="332"/>
    </row>
    <row r="256" spans="14:14">
      <c r="N256" s="332"/>
    </row>
    <row r="257" spans="14:14">
      <c r="N257" s="332"/>
    </row>
    <row r="258" spans="14:14">
      <c r="N258" s="332"/>
    </row>
    <row r="259" spans="14:14">
      <c r="N259" s="332"/>
    </row>
    <row r="260" spans="14:14">
      <c r="N260" s="332"/>
    </row>
    <row r="261" spans="14:14">
      <c r="N261" s="332"/>
    </row>
    <row r="262" spans="14:14">
      <c r="N262" s="332"/>
    </row>
    <row r="263" spans="14:14">
      <c r="N263" s="332"/>
    </row>
    <row r="264" spans="14:14">
      <c r="N264" s="332"/>
    </row>
    <row r="265" spans="14:14">
      <c r="N265" s="332"/>
    </row>
    <row r="266" spans="14:14">
      <c r="N266" s="332"/>
    </row>
    <row r="267" spans="14:14">
      <c r="N267" s="332"/>
    </row>
    <row r="268" spans="14:14">
      <c r="N268" s="332"/>
    </row>
    <row r="269" spans="14:14">
      <c r="N269" s="332"/>
    </row>
    <row r="270" spans="14:14">
      <c r="N270" s="332"/>
    </row>
    <row r="271" spans="14:14">
      <c r="N271" s="332"/>
    </row>
    <row r="272" spans="14:14">
      <c r="N272" s="332"/>
    </row>
    <row r="273" spans="14:14">
      <c r="N273" s="332"/>
    </row>
    <row r="274" spans="14:14">
      <c r="N274" s="332"/>
    </row>
    <row r="275" spans="14:14">
      <c r="N275" s="332"/>
    </row>
    <row r="276" spans="14:14">
      <c r="N276" s="332"/>
    </row>
    <row r="277" spans="14:14">
      <c r="N277" s="332"/>
    </row>
    <row r="278" spans="14:14">
      <c r="N278" s="332"/>
    </row>
    <row r="279" spans="14:14">
      <c r="N279" s="332"/>
    </row>
    <row r="280" spans="14:14">
      <c r="N280" s="332"/>
    </row>
    <row r="281" spans="14:14">
      <c r="N281" s="332"/>
    </row>
    <row r="282" spans="14:14">
      <c r="N282" s="332"/>
    </row>
    <row r="283" spans="14:14">
      <c r="N283" s="332"/>
    </row>
    <row r="284" spans="14:14">
      <c r="N284" s="332"/>
    </row>
    <row r="285" spans="14:14">
      <c r="N285" s="332"/>
    </row>
    <row r="286" spans="14:14">
      <c r="N286" s="332"/>
    </row>
    <row r="287" spans="14:14">
      <c r="N287" s="332"/>
    </row>
    <row r="288" spans="14:14">
      <c r="N288" s="332"/>
    </row>
    <row r="289" spans="14:14">
      <c r="N289" s="332"/>
    </row>
    <row r="290" spans="14:14">
      <c r="N290" s="332"/>
    </row>
    <row r="291" spans="14:14">
      <c r="N291" s="332"/>
    </row>
    <row r="292" spans="14:14">
      <c r="N292" s="332"/>
    </row>
    <row r="293" spans="14:14">
      <c r="N293" s="332"/>
    </row>
    <row r="294" spans="14:14">
      <c r="N294" s="332"/>
    </row>
    <row r="295" spans="14:14">
      <c r="N295" s="332"/>
    </row>
    <row r="296" spans="14:14">
      <c r="N296" s="332"/>
    </row>
    <row r="297" spans="14:14">
      <c r="N297" s="332"/>
    </row>
    <row r="298" spans="14:14">
      <c r="N298" s="332"/>
    </row>
    <row r="299" spans="14:14">
      <c r="N299" s="332"/>
    </row>
    <row r="300" spans="14:14">
      <c r="N300" s="332"/>
    </row>
    <row r="301" spans="14:14">
      <c r="N301" s="332"/>
    </row>
    <row r="302" spans="14:14">
      <c r="N302" s="332"/>
    </row>
    <row r="303" spans="14:14">
      <c r="N303" s="332"/>
    </row>
    <row r="304" spans="14:14">
      <c r="N304" s="332"/>
    </row>
    <row r="305" spans="14:14">
      <c r="N305" s="332"/>
    </row>
    <row r="306" spans="14:14">
      <c r="N306" s="332"/>
    </row>
    <row r="307" spans="14:14">
      <c r="N307" s="332"/>
    </row>
    <row r="308" spans="14:14">
      <c r="N308" s="332"/>
    </row>
    <row r="309" spans="14:14">
      <c r="N309" s="332"/>
    </row>
    <row r="310" spans="14:14">
      <c r="N310" s="332"/>
    </row>
    <row r="311" spans="14:14">
      <c r="N311" s="332"/>
    </row>
    <row r="312" spans="14:14">
      <c r="N312" s="332"/>
    </row>
    <row r="313" spans="14:14">
      <c r="N313" s="332"/>
    </row>
    <row r="314" spans="14:14">
      <c r="N314" s="332"/>
    </row>
    <row r="315" spans="14:14">
      <c r="N315" s="332"/>
    </row>
    <row r="316" spans="14:14">
      <c r="N316" s="332"/>
    </row>
    <row r="317" spans="14:14">
      <c r="N317" s="332"/>
    </row>
    <row r="318" spans="14:14">
      <c r="N318" s="332"/>
    </row>
    <row r="319" spans="14:14">
      <c r="N319" s="332"/>
    </row>
    <row r="320" spans="14:14">
      <c r="N320" s="332"/>
    </row>
    <row r="321" spans="14:14">
      <c r="N321" s="332"/>
    </row>
    <row r="322" spans="14:14">
      <c r="N322" s="332"/>
    </row>
    <row r="323" spans="14:14">
      <c r="N323" s="332"/>
    </row>
    <row r="324" spans="14:14">
      <c r="N324" s="332"/>
    </row>
    <row r="325" spans="14:14">
      <c r="N325" s="332"/>
    </row>
    <row r="326" spans="14:14">
      <c r="N326" s="332"/>
    </row>
    <row r="327" spans="14:14">
      <c r="N327" s="332"/>
    </row>
    <row r="328" spans="14:14">
      <c r="N328" s="332"/>
    </row>
    <row r="329" spans="14:14">
      <c r="N329" s="332"/>
    </row>
    <row r="330" spans="14:14">
      <c r="N330" s="332"/>
    </row>
    <row r="331" spans="14:14">
      <c r="N331" s="332"/>
    </row>
    <row r="332" spans="14:14">
      <c r="N332" s="332"/>
    </row>
    <row r="333" spans="14:14">
      <c r="N333" s="332"/>
    </row>
    <row r="334" spans="14:14">
      <c r="N334" s="332"/>
    </row>
    <row r="335" spans="14:14">
      <c r="N335" s="332"/>
    </row>
    <row r="336" spans="14:14">
      <c r="N336" s="332"/>
    </row>
    <row r="337" spans="14:14">
      <c r="N337" s="332"/>
    </row>
    <row r="338" spans="14:14">
      <c r="N338" s="332"/>
    </row>
    <row r="339" spans="14:14">
      <c r="N339" s="332"/>
    </row>
    <row r="340" spans="14:14">
      <c r="N340" s="332"/>
    </row>
    <row r="341" spans="14:14">
      <c r="N341" s="332"/>
    </row>
    <row r="342" spans="14:14">
      <c r="N342" s="332"/>
    </row>
    <row r="343" spans="14:14">
      <c r="N343" s="332"/>
    </row>
    <row r="344" spans="14:14">
      <c r="N344" s="332"/>
    </row>
    <row r="345" spans="14:14">
      <c r="N345" s="332"/>
    </row>
    <row r="346" spans="14:14">
      <c r="N346" s="332"/>
    </row>
    <row r="347" spans="14:14">
      <c r="N347" s="332"/>
    </row>
    <row r="348" spans="14:14">
      <c r="N348" s="332"/>
    </row>
    <row r="349" spans="14:14">
      <c r="N349" s="332"/>
    </row>
    <row r="350" spans="14:14">
      <c r="N350" s="332"/>
    </row>
    <row r="351" spans="14:14">
      <c r="N351" s="332"/>
    </row>
    <row r="352" spans="14:14">
      <c r="N352" s="332"/>
    </row>
    <row r="353" spans="14:14">
      <c r="N353" s="332"/>
    </row>
    <row r="354" spans="14:14">
      <c r="N354" s="332"/>
    </row>
    <row r="355" spans="14:14">
      <c r="N355" s="332"/>
    </row>
    <row r="356" spans="14:14">
      <c r="N356" s="332"/>
    </row>
    <row r="357" spans="14:14">
      <c r="N357" s="332"/>
    </row>
    <row r="358" spans="14:14">
      <c r="N358" s="332"/>
    </row>
    <row r="359" spans="14:14">
      <c r="N359" s="332"/>
    </row>
    <row r="360" spans="14:14">
      <c r="N360" s="332"/>
    </row>
    <row r="361" spans="14:14">
      <c r="N361" s="332"/>
    </row>
    <row r="362" spans="14:14">
      <c r="N362" s="332"/>
    </row>
    <row r="363" spans="14:14">
      <c r="N363" s="332"/>
    </row>
    <row r="364" spans="14:14">
      <c r="N364" s="332"/>
    </row>
    <row r="365" spans="14:14">
      <c r="N365" s="332"/>
    </row>
    <row r="366" spans="14:14">
      <c r="N366" s="332"/>
    </row>
    <row r="367" spans="14:14">
      <c r="N367" s="332"/>
    </row>
    <row r="368" spans="14:14">
      <c r="N368" s="332"/>
    </row>
    <row r="369" spans="14:14">
      <c r="N369" s="332"/>
    </row>
    <row r="370" spans="14:14">
      <c r="N370" s="332"/>
    </row>
    <row r="371" spans="14:14">
      <c r="N371" s="332"/>
    </row>
    <row r="372" spans="14:14">
      <c r="N372" s="332"/>
    </row>
    <row r="373" spans="14:14">
      <c r="N373" s="332"/>
    </row>
    <row r="374" spans="14:14">
      <c r="N374" s="332"/>
    </row>
    <row r="375" spans="14:14">
      <c r="N375" s="332"/>
    </row>
    <row r="376" spans="14:14">
      <c r="N376" s="332"/>
    </row>
    <row r="377" spans="14:14">
      <c r="N377" s="332"/>
    </row>
    <row r="378" spans="14:14">
      <c r="N378" s="332"/>
    </row>
    <row r="379" spans="14:14">
      <c r="N379" s="332"/>
    </row>
    <row r="380" spans="14:14">
      <c r="N380" s="332"/>
    </row>
    <row r="381" spans="14:14">
      <c r="N381" s="332"/>
    </row>
    <row r="382" spans="14:14">
      <c r="N382" s="332"/>
    </row>
    <row r="383" spans="14:14">
      <c r="N383" s="332"/>
    </row>
    <row r="384" spans="14:14">
      <c r="N384" s="332"/>
    </row>
    <row r="385" spans="14:14">
      <c r="N385" s="332"/>
    </row>
    <row r="386" spans="14:14">
      <c r="N386" s="332"/>
    </row>
    <row r="387" spans="14:14">
      <c r="N387" s="332"/>
    </row>
    <row r="388" spans="14:14">
      <c r="N388" s="332"/>
    </row>
    <row r="389" spans="14:14">
      <c r="N389" s="332"/>
    </row>
    <row r="390" spans="14:14">
      <c r="N390" s="332"/>
    </row>
    <row r="391" spans="14:14">
      <c r="N391" s="332"/>
    </row>
    <row r="392" spans="14:14">
      <c r="N392" s="332"/>
    </row>
    <row r="393" spans="14:14">
      <c r="N393" s="332"/>
    </row>
    <row r="394" spans="14:14">
      <c r="N394" s="332"/>
    </row>
    <row r="395" spans="14:14">
      <c r="N395" s="332"/>
    </row>
    <row r="396" spans="14:14">
      <c r="N396" s="332"/>
    </row>
    <row r="397" spans="14:14">
      <c r="N397" s="332"/>
    </row>
    <row r="398" spans="14:14">
      <c r="N398" s="332"/>
    </row>
    <row r="399" spans="14:14">
      <c r="N399" s="332"/>
    </row>
    <row r="400" spans="14:14">
      <c r="N400" s="332"/>
    </row>
    <row r="401" spans="14:14">
      <c r="N401" s="332"/>
    </row>
    <row r="402" spans="14:14">
      <c r="N402" s="332"/>
    </row>
    <row r="403" spans="14:14">
      <c r="N403" s="332"/>
    </row>
    <row r="404" spans="14:14">
      <c r="N404" s="332"/>
    </row>
    <row r="405" spans="14:14">
      <c r="N405" s="332"/>
    </row>
    <row r="406" spans="14:14">
      <c r="N406" s="332"/>
    </row>
    <row r="407" spans="14:14">
      <c r="N407" s="332"/>
    </row>
    <row r="408" spans="14:14">
      <c r="N408" s="332"/>
    </row>
    <row r="409" spans="14:14">
      <c r="N409" s="332"/>
    </row>
    <row r="410" spans="14:14">
      <c r="N410" s="332"/>
    </row>
    <row r="411" spans="14:14">
      <c r="N411" s="332"/>
    </row>
    <row r="412" spans="14:14">
      <c r="N412" s="332"/>
    </row>
    <row r="413" spans="14:14">
      <c r="N413" s="332"/>
    </row>
    <row r="414" spans="14:14">
      <c r="N414" s="332"/>
    </row>
    <row r="415" spans="14:14">
      <c r="N415" s="332"/>
    </row>
    <row r="416" spans="14:14">
      <c r="N416" s="332"/>
    </row>
    <row r="417" spans="14:14">
      <c r="N417" s="332"/>
    </row>
    <row r="418" spans="14:14">
      <c r="N418" s="332"/>
    </row>
    <row r="419" spans="14:14">
      <c r="N419" s="332"/>
    </row>
    <row r="420" spans="14:14">
      <c r="N420" s="332"/>
    </row>
    <row r="421" spans="14:14">
      <c r="N421" s="332"/>
    </row>
    <row r="422" spans="14:14">
      <c r="N422" s="332"/>
    </row>
    <row r="423" spans="14:14">
      <c r="N423" s="332"/>
    </row>
    <row r="424" spans="14:14">
      <c r="N424" s="332"/>
    </row>
    <row r="425" spans="14:14">
      <c r="N425" s="332"/>
    </row>
    <row r="426" spans="14:14">
      <c r="N426" s="332"/>
    </row>
    <row r="427" spans="14:14">
      <c r="N427" s="332"/>
    </row>
    <row r="428" spans="14:14">
      <c r="N428" s="332"/>
    </row>
    <row r="429" spans="14:14">
      <c r="N429" s="332"/>
    </row>
    <row r="430" spans="14:14">
      <c r="N430" s="332"/>
    </row>
    <row r="431" spans="14:14">
      <c r="N431" s="332"/>
    </row>
    <row r="432" spans="14:14">
      <c r="N432" s="332"/>
    </row>
    <row r="433" spans="14:14">
      <c r="N433" s="332"/>
    </row>
    <row r="434" spans="14:14">
      <c r="N434" s="332"/>
    </row>
    <row r="435" spans="14:14">
      <c r="N435" s="332"/>
    </row>
    <row r="436" spans="14:14">
      <c r="N436" s="332"/>
    </row>
    <row r="437" spans="14:14">
      <c r="N437" s="332"/>
    </row>
    <row r="438" spans="14:14">
      <c r="N438" s="332"/>
    </row>
    <row r="439" spans="14:14">
      <c r="N439" s="332"/>
    </row>
    <row r="440" spans="14:14">
      <c r="N440" s="332"/>
    </row>
    <row r="441" spans="14:14">
      <c r="N441" s="332"/>
    </row>
    <row r="442" spans="14:14">
      <c r="N442" s="332"/>
    </row>
    <row r="443" spans="14:14">
      <c r="N443" s="332"/>
    </row>
    <row r="444" spans="14:14">
      <c r="N444" s="332"/>
    </row>
    <row r="445" spans="14:14">
      <c r="N445" s="332"/>
    </row>
    <row r="446" spans="14:14">
      <c r="N446" s="332"/>
    </row>
    <row r="447" spans="14:14">
      <c r="N447" s="332"/>
    </row>
    <row r="448" spans="14:14">
      <c r="N448" s="332"/>
    </row>
    <row r="449" spans="14:14">
      <c r="N449" s="332"/>
    </row>
    <row r="450" spans="14:14">
      <c r="N450" s="332"/>
    </row>
    <row r="451" spans="14:14">
      <c r="N451" s="332"/>
    </row>
    <row r="452" spans="14:14">
      <c r="N452" s="332"/>
    </row>
    <row r="453" spans="14:14">
      <c r="N453" s="332"/>
    </row>
    <row r="454" spans="14:14">
      <c r="N454" s="332"/>
    </row>
    <row r="455" spans="14:14">
      <c r="N455" s="332"/>
    </row>
    <row r="456" spans="14:14">
      <c r="N456" s="332"/>
    </row>
    <row r="457" spans="14:14">
      <c r="N457" s="332"/>
    </row>
    <row r="458" spans="14:14">
      <c r="N458" s="332"/>
    </row>
    <row r="459" spans="14:14">
      <c r="N459" s="332"/>
    </row>
    <row r="460" spans="14:14">
      <c r="N460" s="332"/>
    </row>
    <row r="461" spans="14:14">
      <c r="N461" s="332"/>
    </row>
    <row r="462" spans="14:14">
      <c r="N462" s="332"/>
    </row>
    <row r="463" spans="14:14">
      <c r="N463" s="332"/>
    </row>
    <row r="464" spans="14:14">
      <c r="N464" s="332"/>
    </row>
    <row r="465" spans="14:14">
      <c r="N465" s="332"/>
    </row>
    <row r="466" spans="14:14">
      <c r="N466" s="332"/>
    </row>
    <row r="467" spans="14:14">
      <c r="N467" s="332"/>
    </row>
    <row r="468" spans="14:14">
      <c r="N468" s="332"/>
    </row>
    <row r="469" spans="14:14">
      <c r="N469" s="332"/>
    </row>
    <row r="470" spans="14:14">
      <c r="N470" s="332"/>
    </row>
    <row r="471" spans="14:14">
      <c r="N471" s="332"/>
    </row>
    <row r="472" spans="14:14">
      <c r="N472" s="332"/>
    </row>
    <row r="473" spans="14:14">
      <c r="N473" s="332"/>
    </row>
    <row r="474" spans="14:14">
      <c r="N474" s="332"/>
    </row>
    <row r="475" spans="14:14">
      <c r="N475" s="332"/>
    </row>
    <row r="476" spans="14:14">
      <c r="N476" s="332"/>
    </row>
    <row r="477" spans="14:14">
      <c r="N477" s="332"/>
    </row>
    <row r="478" spans="14:14">
      <c r="N478" s="332"/>
    </row>
    <row r="479" spans="14:14">
      <c r="N479" s="332"/>
    </row>
    <row r="480" spans="14:14">
      <c r="N480" s="332"/>
    </row>
    <row r="481" spans="14:14">
      <c r="N481" s="332"/>
    </row>
    <row r="482" spans="14:14">
      <c r="N482" s="332"/>
    </row>
    <row r="483" spans="14:14">
      <c r="N483" s="332"/>
    </row>
    <row r="900140" spans="1:1">
      <c r="A900140" s="111" t="s">
        <v>7</v>
      </c>
    </row>
    <row r="900141" spans="1:1">
      <c r="A900141" s="111" t="s">
        <v>2</v>
      </c>
    </row>
    <row r="900142" spans="1:1">
      <c r="A900142" s="111" t="s">
        <v>6</v>
      </c>
    </row>
    <row r="900143" spans="1:1">
      <c r="A900143" s="111" t="s">
        <v>3</v>
      </c>
    </row>
    <row r="900144" spans="1:1">
      <c r="A900144" s="111" t="s">
        <v>4</v>
      </c>
    </row>
    <row r="900145" spans="1:1">
      <c r="A900145" s="111" t="s">
        <v>5</v>
      </c>
    </row>
  </sheetData>
  <mergeCells count="3">
    <mergeCell ref="E17:F17"/>
    <mergeCell ref="F90:H90"/>
    <mergeCell ref="F102:H102"/>
  </mergeCells>
  <pageMargins left="0.19685039370078741" right="0.19685039370078741" top="0.39370078740157483" bottom="0.53" header="0.19685039370078741" footer="0.23622047244094491"/>
  <pageSetup paperSize="8" scale="63" orientation="portrait" r:id="rId1"/>
  <headerFooter>
    <oddFooter>&amp;C&amp;D&amp;R&amp;F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a9306fc-8436-45f0-b931-e34f519be3a3" ContentTypeId="0x0101004C9F495A7355574383679A0A27B29121" PreviousValue="true"/>
</file>

<file path=customXml/item2.xml><?xml version="1.0" encoding="utf-8"?>
<p:properties xmlns:p="http://schemas.microsoft.com/office/2006/metadata/properties" xmlns:xsi="http://www.w3.org/2001/XMLSchema-instance">
  <documentManagement>
    <_Status xmlns="http://schemas.microsoft.com/sharepoint/v3/fields">Draft</_Status>
    <Descriptor xmlns="631298fc-6a88-4548-b7d9-3b164918c4a3" xsi:nil="true"/>
    <Classification xmlns="631298fc-6a88-4548-b7d9-3b164918c4a3">Unclassified</Classification>
    <Organisation xmlns="631298fc-6a88-4548-b7d9-3b164918c4a3">Choose an Organisation</Organisation>
    <Applicable_x0020_Start_x0020_Date xmlns="631298fc-6a88-4548-b7d9-3b164918c4a3" xsi:nil="true"/>
    <Applicable_x0020_Duration xmlns="631298fc-6a88-4548-b7d9-3b164918c4a3">-</Applicable_x0020_Duration>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EA173FD8BA8CDA4A8A3023E100EA169F" ma:contentTypeVersion="10" ma:contentTypeDescription="This is used to create spreadsheets" ma:contentTypeScope="" ma:versionID="d232fbd6b6f6ded1419a23867ec122f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fc8d84820d098ed6ec4940ef6c4aa33"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AB3EC8F4-5E53-4A13-897B-695F95FAF227}">
  <ds:schemaRefs>
    <ds:schemaRef ds:uri="Microsoft.SharePoint.Taxonomy.ContentTypeSync"/>
  </ds:schemaRefs>
</ds:datastoreItem>
</file>

<file path=customXml/itemProps2.xml><?xml version="1.0" encoding="utf-8"?>
<ds:datastoreItem xmlns:ds="http://schemas.openxmlformats.org/officeDocument/2006/customXml" ds:itemID="{B310CED8-BAE2-4612-951F-CEEFA734AECB}">
  <ds:schemaRefs>
    <ds:schemaRef ds:uri="http://purl.org/dc/dcmitype/"/>
    <ds:schemaRef ds:uri="http://schemas.microsoft.com/office/2006/metadata/properties"/>
    <ds:schemaRef ds:uri="http://schemas.openxmlformats.org/package/2006/metadata/core-properties"/>
    <ds:schemaRef ds:uri="http://schemas.microsoft.com/sharepoint/v3/fields"/>
    <ds:schemaRef ds:uri="http://schemas.microsoft.com/office/infopath/2007/PartnerControls"/>
    <ds:schemaRef ds:uri="http://purl.org/dc/terms/"/>
    <ds:schemaRef ds:uri="http://schemas.microsoft.com/office/2006/documentManagement/types"/>
    <ds:schemaRef ds:uri="631298fc-6a88-4548-b7d9-3b164918c4a3"/>
    <ds:schemaRef ds:uri="http://www.w3.org/XML/1998/namespace"/>
    <ds:schemaRef ds:uri="http://purl.org/dc/elements/1.1/"/>
  </ds:schemaRefs>
</ds:datastoreItem>
</file>

<file path=customXml/itemProps3.xml><?xml version="1.0" encoding="utf-8"?>
<ds:datastoreItem xmlns:ds="http://schemas.openxmlformats.org/officeDocument/2006/customXml" ds:itemID="{A087B504-6EA6-473E-B092-7E9C9AA54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5.xml><?xml version="1.0" encoding="utf-8"?>
<ds:datastoreItem xmlns:ds="http://schemas.openxmlformats.org/officeDocument/2006/customXml" ds:itemID="{5BE43514-6772-45A9-B5CC-245BDD47DF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131</vt:i4>
      </vt:variant>
    </vt:vector>
  </HeadingPairs>
  <TitlesOfParts>
    <vt:vector size="146" baseType="lpstr">
      <vt:lpstr>LARt Summary</vt:lpstr>
      <vt:lpstr>R1 Cover</vt:lpstr>
      <vt:lpstr>R2 Schematic</vt:lpstr>
      <vt:lpstr>R3 Version log</vt:lpstr>
      <vt:lpstr>R4 Licence Condition Values</vt:lpstr>
      <vt:lpstr>R5 Input page</vt:lpstr>
      <vt:lpstr>R6 Base revenue</vt:lpstr>
      <vt:lpstr>R7 pass through</vt:lpstr>
      <vt:lpstr>R8 Output incentives</vt:lpstr>
      <vt:lpstr>R9 Innovation incentive</vt:lpstr>
      <vt:lpstr>R10 Correction</vt:lpstr>
      <vt:lpstr>R11 TIRG</vt:lpstr>
      <vt:lpstr>R12 TO MAR</vt:lpstr>
      <vt:lpstr>R13 Excluded Revenue</vt:lpstr>
      <vt:lpstr>R14 Rec to Stat Ac</vt:lpstr>
      <vt:lpstr>AFFTIRG1</vt:lpstr>
      <vt:lpstr>AFFTIRG2</vt:lpstr>
      <vt:lpstr>AFFTIRGDepn1</vt:lpstr>
      <vt:lpstr>AFFTIRGDepn2</vt:lpstr>
      <vt:lpstr>ALE</vt:lpstr>
      <vt:lpstr>ANIA</vt:lpstr>
      <vt:lpstr>ASWWE</vt:lpstr>
      <vt:lpstr>ATIRG1</vt:lpstr>
      <vt:lpstr>ATIRG2</vt:lpstr>
      <vt:lpstr>atrig2</vt:lpstr>
      <vt:lpstr>BPC</vt:lpstr>
      <vt:lpstr>BR</vt:lpstr>
      <vt:lpstr>CC</vt:lpstr>
      <vt:lpstr>CCOS</vt:lpstr>
      <vt:lpstr>CCP</vt:lpstr>
      <vt:lpstr>CCTIRG</vt:lpstr>
      <vt:lpstr>CF</vt:lpstr>
      <vt:lpstr>CFTIRG1</vt:lpstr>
      <vt:lpstr>CFTIRG2</vt:lpstr>
      <vt:lpstr>CompName</vt:lpstr>
      <vt:lpstr>CONADJ</vt:lpstr>
      <vt:lpstr>CTE</vt:lpstr>
      <vt:lpstr>CTRIG2</vt:lpstr>
      <vt:lpstr>DC</vt:lpstr>
      <vt:lpstr>DCOS</vt:lpstr>
      <vt:lpstr>DCP</vt:lpstr>
      <vt:lpstr>Dep</vt:lpstr>
      <vt:lpstr>depn2</vt:lpstr>
      <vt:lpstr>ECC</vt:lpstr>
      <vt:lpstr>ECCOS</vt:lpstr>
      <vt:lpstr>EDC</vt:lpstr>
      <vt:lpstr>EDCOS</vt:lpstr>
      <vt:lpstr>EDR</vt:lpstr>
      <vt:lpstr>EDRO</vt:lpstr>
      <vt:lpstr>ENIA</vt:lpstr>
      <vt:lpstr>ENSA</vt:lpstr>
      <vt:lpstr>ENST</vt:lpstr>
      <vt:lpstr>ETIRG2</vt:lpstr>
      <vt:lpstr>ETIRGC</vt:lpstr>
      <vt:lpstr>ETIRGC2</vt:lpstr>
      <vt:lpstr>ETIRGORAV</vt:lpstr>
      <vt:lpstr>ETIRGORAV2</vt:lpstr>
      <vt:lpstr>FTIRGC1</vt:lpstr>
      <vt:lpstr>FTIRGC2</vt:lpstr>
      <vt:lpstr>FTIRGCDEPN2</vt:lpstr>
      <vt:lpstr>FTIRGDEPN1</vt:lpstr>
      <vt:lpstr>It</vt:lpstr>
      <vt:lpstr>Kt</vt:lpstr>
      <vt:lpstr>MOD</vt:lpstr>
      <vt:lpstr>NIA</vt:lpstr>
      <vt:lpstr>NIAIE</vt:lpstr>
      <vt:lpstr>NIAR</vt:lpstr>
      <vt:lpstr>NIAV</vt:lpstr>
      <vt:lpstr>NICF</vt:lpstr>
      <vt:lpstr>NTPC</vt:lpstr>
      <vt:lpstr>OFET</vt:lpstr>
      <vt:lpstr>OIP</vt:lpstr>
      <vt:lpstr>'R10 Correction'!Print_Area</vt:lpstr>
      <vt:lpstr>'R11 TIRG'!Print_Area</vt:lpstr>
      <vt:lpstr>'R12 TO MAR'!Print_Area</vt:lpstr>
      <vt:lpstr>'R4 Licence Condition Values'!Print_Area</vt:lpstr>
      <vt:lpstr>'R5 Input page'!Print_Area</vt:lpstr>
      <vt:lpstr>'R6 Base revenue'!Print_Area</vt:lpstr>
      <vt:lpstr>'R7 pass through'!Print_Area</vt:lpstr>
      <vt:lpstr>'R8 Output incentives'!Print_Area</vt:lpstr>
      <vt:lpstr>'R9 Innovation incentive'!Print_Area</vt:lpstr>
      <vt:lpstr>PT</vt:lpstr>
      <vt:lpstr>PTIS</vt:lpstr>
      <vt:lpstr>PTRA</vt:lpstr>
      <vt:lpstr>PTt</vt:lpstr>
      <vt:lpstr>PU</vt:lpstr>
      <vt:lpstr>PVF</vt:lpstr>
      <vt:lpstr>RB</vt:lpstr>
      <vt:lpstr>RBA</vt:lpstr>
      <vt:lpstr>RBE</vt:lpstr>
      <vt:lpstr>RBt</vt:lpstr>
      <vt:lpstr>RegYr</vt:lpstr>
      <vt:lpstr>RI</vt:lpstr>
      <vt:lpstr>RIDPA</vt:lpstr>
      <vt:lpstr>RILEG</vt:lpstr>
      <vt:lpstr>RPIA</vt:lpstr>
      <vt:lpstr>RPIF</vt:lpstr>
      <vt:lpstr>SAFTIRG1</vt:lpstr>
      <vt:lpstr>SAFTIRG2</vt:lpstr>
      <vt:lpstr>SEA</vt:lpstr>
      <vt:lpstr>SEAPRO</vt:lpstr>
      <vt:lpstr>SER</vt:lpstr>
      <vt:lpstr>SERLIMIT</vt:lpstr>
      <vt:lpstr>SFI</vt:lpstr>
      <vt:lpstr>SHCP</vt:lpstr>
      <vt:lpstr>SKPI</vt:lpstr>
      <vt:lpstr>SKPIC</vt:lpstr>
      <vt:lpstr>SKPICAP</vt:lpstr>
      <vt:lpstr>SKPICOL</vt:lpstr>
      <vt:lpstr>SKPIDPA</vt:lpstr>
      <vt:lpstr>SKPIPRO</vt:lpstr>
      <vt:lpstr>SKPIT</vt:lpstr>
      <vt:lpstr>SKPIUPA</vt:lpstr>
      <vt:lpstr>SOMOD</vt:lpstr>
      <vt:lpstr>SOPU</vt:lpstr>
      <vt:lpstr>SS</vt:lpstr>
      <vt:lpstr>SSC</vt:lpstr>
      <vt:lpstr>SSCAP</vt:lpstr>
      <vt:lpstr>SSCOL</vt:lpstr>
      <vt:lpstr>SSDPA</vt:lpstr>
      <vt:lpstr>SSI</vt:lpstr>
      <vt:lpstr>SSO</vt:lpstr>
      <vt:lpstr>SSPRO</vt:lpstr>
      <vt:lpstr>SSSP</vt:lpstr>
      <vt:lpstr>SST</vt:lpstr>
      <vt:lpstr>SSUPA</vt:lpstr>
      <vt:lpstr>SubTIRG</vt:lpstr>
      <vt:lpstr>SWWE</vt:lpstr>
      <vt:lpstr>TERMt</vt:lpstr>
      <vt:lpstr>TF</vt:lpstr>
      <vt:lpstr>TIRG</vt:lpstr>
      <vt:lpstr>TIRGIncAdj1</vt:lpstr>
      <vt:lpstr>TIRGIncAdj2</vt:lpstr>
      <vt:lpstr>TIS</vt:lpstr>
      <vt:lpstr>TNR</vt:lpstr>
      <vt:lpstr>TO</vt:lpstr>
      <vt:lpstr>TOFTO</vt:lpstr>
      <vt:lpstr>TOTO</vt:lpstr>
      <vt:lpstr>TPA</vt:lpstr>
      <vt:lpstr>TPD</vt:lpstr>
      <vt:lpstr>TR</vt:lpstr>
      <vt:lpstr>TSH</vt:lpstr>
      <vt:lpstr>TSP</vt:lpstr>
      <vt:lpstr>UNTO</vt:lpstr>
      <vt:lpstr>VOLL</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SHET Revenue RRP v7.1</dc:title>
  <dc:creator>Charalampos Andreadis</dc:creator>
  <cp:lastModifiedBy>Helen Seaton</cp:lastModifiedBy>
  <dcterms:created xsi:type="dcterms:W3CDTF">2021-02-18T14:07:41Z</dcterms:created>
  <dcterms:modified xsi:type="dcterms:W3CDTF">2021-04-29T14:54:15Z</dcterms:modified>
  <cp:contentStatus>External 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0x0101004C9F495A7355574383679A0A27B2912100EA173FD8BA8CDA4A8A3023E100EA169F</vt:lpwstr>
  </property>
  <property fmtid="{D5CDD505-2E9C-101B-9397-08002B2CF9AE}" pid="3" name="docIndexRef">
    <vt:lpwstr>b1c276af-fb4b-4d56-8357-01aa6347fb5b</vt:lpwstr>
  </property>
  <property fmtid="{D5CDD505-2E9C-101B-9397-08002B2CF9AE}" pid="4" name="bjSaver">
    <vt:lpwstr>hT3eLfRQe5wI+mo5pfqDY6vKgJ9/c8t8</vt:lpwstr>
  </property>
  <property fmtid="{D5CDD505-2E9C-101B-9397-08002B2CF9AE}" pid="5" name="bjDocumentSecurityLabel">
    <vt:lpwstr>This item has no classification</vt:lpwstr>
  </property>
  <property fmtid="{D5CDD505-2E9C-101B-9397-08002B2CF9AE}" pid="6" name="BJSCc5a055b0-1bed-4579_x">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Publication Date:">
    <vt:filetime>2021-04-27T15:25:39Z</vt:filetime>
  </property>
  <property fmtid="{D5CDD505-2E9C-101B-9397-08002B2CF9AE}" pid="11" name="bjClsUserRVM">
    <vt:lpwstr>[]</vt:lpwstr>
  </property>
</Properties>
</file>