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comments3.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C:\Users\SeatonH\Desktop\Content\"/>
    </mc:Choice>
  </mc:AlternateContent>
  <xr:revisionPtr revIDLastSave="0" documentId="13_ncr:1_{C8019ED9-E336-40F8-9577-AE4B4BAEF2EC}" xr6:coauthVersionLast="45" xr6:coauthVersionMax="45" xr10:uidLastSave="{00000000-0000-0000-0000-000000000000}"/>
  <bookViews>
    <workbookView xWindow="-18780" yWindow="1440" windowWidth="14955" windowHeight="9630" tabRatio="785" activeTab="1" xr2:uid="{00000000-000D-0000-FFFF-FFFF00000000}"/>
  </bookViews>
  <sheets>
    <sheet name="LARt Summary" sheetId="24" r:id="rId1"/>
    <sheet name="R1 Cover" sheetId="13" r:id="rId2"/>
    <sheet name="R2 Schematic" sheetId="14" r:id="rId3"/>
    <sheet name="R3 Version log" sheetId="15" r:id="rId4"/>
    <sheet name="R4 Licence Condition Values" sheetId="16" r:id="rId5"/>
    <sheet name="R5 Input page" sheetId="17" r:id="rId6"/>
    <sheet name="R6 True Up" sheetId="3" r:id="rId7"/>
    <sheet name="R7 Pass Through" sheetId="4" r:id="rId8"/>
    <sheet name="R8 Output incentives" sheetId="5" state="hidden" r:id="rId9"/>
    <sheet name="R9 Innovation incentive" sheetId="6" r:id="rId10"/>
    <sheet name="R10 Correction" sheetId="7" r:id="rId11"/>
    <sheet name="R11 TIRG" sheetId="18" state="hidden" r:id="rId12"/>
    <sheet name="R14 Rec to Stat Ac" sheetId="10" state="hidden" r:id="rId13"/>
    <sheet name="R12 SO MAR" sheetId="2" r:id="rId14"/>
    <sheet name="R13 Excluded Revenue" sheetId="11" r:id="rId15"/>
    <sheet name="R15 SO Internal" sheetId="8" r:id="rId16"/>
    <sheet name="R16 SO External Rev" sheetId="23" r:id="rId17"/>
    <sheet name="Draft Changes" sheetId="22" state="hidden" r:id="rId18"/>
    <sheet name="R17 SO Bal Services" sheetId="21" state="hidden"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ADD" localSheetId="0">'[1]R5 Input page'!$D$78:$M$78</definedName>
    <definedName name="ADD" localSheetId="16">'[2]R5 Input page'!$D$92:$M$92</definedName>
    <definedName name="ADD">'R5 Input page'!$D$98:$M$98</definedName>
    <definedName name="ADDSF6" localSheetId="0">'[3]R5 Input page'!$F$98:$M$98</definedName>
    <definedName name="ADDSF6">'R5 Input page'!$F$98:$M$98</definedName>
    <definedName name="AFFTIRG" localSheetId="0">'[1]R5 Input page'!$F$103:$M$103</definedName>
    <definedName name="AFFTIRG" localSheetId="16">'[2]R5 Input page'!$E$109:$M$109</definedName>
    <definedName name="AFFTIRG">'R5 Input page'!$E$115:$M$115</definedName>
    <definedName name="AFFTIRG2">'[1]R5 Input page'!$F$112:$M$112</definedName>
    <definedName name="AFFTIRG3">'[1]R5 Input page'!$F$121:$M$121</definedName>
    <definedName name="AFFTIRG4">'[1]R5 Input page'!$F$130:$M$130</definedName>
    <definedName name="AFFTIRG5">'[1]R5 Input page'!$F$139:$M$139</definedName>
    <definedName name="AFFTIRGDepn" localSheetId="0">'[1]R5 Input page'!$F$104:$M$104</definedName>
    <definedName name="AFFTIRGDEPN" localSheetId="16">'[2]R5 Input page'!$E$110:$M$110</definedName>
    <definedName name="AFFTIRGDEPN">'R5 Input page'!$E$116:$M$116</definedName>
    <definedName name="AFFTIRGDepn2">'[1]R5 Input page'!$F$113:$M$113</definedName>
    <definedName name="AFFTIRGDepn3">'[1]R5 Input page'!$F$122:$M$122</definedName>
    <definedName name="AFFTIRGDepn4">'[1]R5 Input page'!$F$131:$M$131</definedName>
    <definedName name="AFFTIRGDepn5">'[1]R5 Input page'!$F$140:$M$140</definedName>
    <definedName name="ALE" localSheetId="0">'[1]R5 Input page'!$D$82:$M$82</definedName>
    <definedName name="ALE" localSheetId="16">'[2]R5 Input page'!$D$96:$M$96</definedName>
    <definedName name="ALE">'R5 Input page'!$D$102:$M$102</definedName>
    <definedName name="ANIA" localSheetId="0">'[1]R9 Innovation incentive'!$F$27:$M$27</definedName>
    <definedName name="ANIA" localSheetId="16">'[2]R9 Innovation incentive'!$F$26:$M$26</definedName>
    <definedName name="ANIA">'R9 Innovation incentive'!$F$26:$M$26</definedName>
    <definedName name="ATIRG" localSheetId="0">'[1]R5 Input page'!$F$107:$M$107</definedName>
    <definedName name="ATIRG" localSheetId="16">'[2]R5 Input page'!$E$113:$M$113</definedName>
    <definedName name="ATIRG">'R5 Input page'!$E$119:$M$119</definedName>
    <definedName name="ATIRG2">'[1]R5 Input page'!$F$116:$M$116</definedName>
    <definedName name="ATIRG3">'[1]R5 Input page'!$F$125:$M$125</definedName>
    <definedName name="ATIRG4">'[1]R5 Input page'!$F$134:$M$134</definedName>
    <definedName name="ATIRG5">'[1]R5 Input page'!$F$143:$M$143</definedName>
    <definedName name="BASE" localSheetId="0">'[1]R5 Input page'!$E$77</definedName>
    <definedName name="BASE" localSheetId="16">'[2]R5 Input page'!$E$91</definedName>
    <definedName name="BASE">'R5 Input page'!$E$97</definedName>
    <definedName name="BPC" localSheetId="0">'[1]R5 Input page'!$F$95:$M$95</definedName>
    <definedName name="BPC" localSheetId="16">'[2]R5 Input page'!$F$102:$M$102</definedName>
    <definedName name="BPC">'R5 Input page'!$F$108:$M$108</definedName>
    <definedName name="BPCGROUP" localSheetId="0">'[4]R5 Input page'!#REF!</definedName>
    <definedName name="BPCGROUP" localSheetId="16">'[2]R5 Input page'!#REF!</definedName>
    <definedName name="BPCGROUP">'R5 Input page'!#REF!</definedName>
    <definedName name="BPCLIMIT" localSheetId="0">'[4]R4 Licence Condition Values'!#REF!</definedName>
    <definedName name="BPCLIMIT" localSheetId="16">'[2]R4 Licence Condition Values'!#REF!</definedName>
    <definedName name="BPCLIMIT">'R4 Licence Condition Values'!#REF!</definedName>
    <definedName name="BPCLIMIT2" localSheetId="0">'[4]R5 Input page'!#REF!</definedName>
    <definedName name="BPCLIMIT2" localSheetId="16">'[2]R5 Input page'!#REF!</definedName>
    <definedName name="BPCLIMIT2">'R5 Input page'!#REF!</definedName>
    <definedName name="BR" comment="Transmission Base Revenue">'[1]R6 Base revenue'!$F$14:$M$14</definedName>
    <definedName name="BRt" comment="Transmission Base Revenue" localSheetId="0">'[4]R6 Base revenue'!$F$12:$M$12</definedName>
    <definedName name="BRt" comment="Transmission Base Revenue" localSheetId="16">'[2]R6 Base revenue'!$F$12:$M$12</definedName>
    <definedName name="BRt" comment="Transmission Base Revenue">'R6 True Up'!$F$12:$M$12</definedName>
    <definedName name="BSTC">'R4 Licence Condition Values'!$F$69:$M$69</definedName>
    <definedName name="CANMR" localSheetId="0">'[4]R5 Input page'!#REF!</definedName>
    <definedName name="CANMR" localSheetId="16">'[2]R5 Input page'!#REF!</definedName>
    <definedName name="CANMR">'R5 Input page'!#REF!</definedName>
    <definedName name="CCTIRG" localSheetId="0">'[1]R4 Licence Condition Values'!$D$82:$M$82</definedName>
    <definedName name="CCTIRG" localSheetId="16">'[2]R4 Licence Condition Values'!$D$81:$M$81</definedName>
    <definedName name="CCTIRG">'R4 Licence Condition Values'!$D$81:$M$81</definedName>
    <definedName name="CF" localSheetId="0">'[1]R4 Licence Condition Values'!$F$45:$M$45</definedName>
    <definedName name="CF" localSheetId="16">'[2]R4 Licence Condition Values'!$F$61:$M$61</definedName>
    <definedName name="CF">'R4 Licence Condition Values'!$F$61:$M$61</definedName>
    <definedName name="CfDQD" localSheetId="0">'[4]R5 Input page'!#REF!</definedName>
    <definedName name="CfDQD" localSheetId="16">'[2]R5 Input page'!#REF!</definedName>
    <definedName name="CfDQD">'R5 Input page'!#REF!</definedName>
    <definedName name="CfDS" localSheetId="0">'[4]R5 Input page'!$F$132:$M$132</definedName>
    <definedName name="CfDS" localSheetId="16">'[2]R5 Input page'!$F$126:$M$126</definedName>
    <definedName name="CfDS">'R5 Input page'!$F$132:$M$132</definedName>
    <definedName name="CfDSD" localSheetId="0">'[4]R5 Input page'!$F$133:$M$133</definedName>
    <definedName name="CfDSD" localSheetId="16">'[2]R5 Input page'!$F$127:$M$127</definedName>
    <definedName name="CfDSD">'R5 Input page'!$F$133:$M$133</definedName>
    <definedName name="CFTIRG" localSheetId="0">'[4]R4 Licence Condition Values'!$E$74:$M$74</definedName>
    <definedName name="CFTIRG" localSheetId="16">'[2]R4 Licence Condition Values'!$E$74:$M$74</definedName>
    <definedName name="CFTIRG">'R4 Licence Condition Values'!$E$74:$M$74</definedName>
    <definedName name="CFTIRG1">'[1]R4 Licence Condition Values'!$F$75:$M$75</definedName>
    <definedName name="CFTIRG2">'[1]R4 Licence Condition Values'!$F$86:$M$86</definedName>
    <definedName name="CFTIRG3">'[1]R4 Licence Condition Values'!$F$96:$M$96</definedName>
    <definedName name="cftirg4">'[1]R4 Licence Condition Values'!$F$106:$M$106</definedName>
    <definedName name="CFTIRG5">'[1]R4 Licence Condition Values'!$F$116:$M$116</definedName>
    <definedName name="CMECAQD" localSheetId="0">'[4]R5 Input page'!#REF!</definedName>
    <definedName name="CMECAQD" localSheetId="16">'[2]R5 Input page'!#REF!</definedName>
    <definedName name="CMECAQD">'R5 Input page'!#REF!</definedName>
    <definedName name="CMQD" localSheetId="0">'[4]R5 Input page'!#REF!</definedName>
    <definedName name="CMQD" localSheetId="16">'[2]R5 Input page'!#REF!</definedName>
    <definedName name="CMQD">'R5 Input page'!#REF!</definedName>
    <definedName name="CMS" localSheetId="0">'[4]R5 Input page'!$F$134:$M$134</definedName>
    <definedName name="CMS" localSheetId="16">'[2]R5 Input page'!$F$128:$M$128</definedName>
    <definedName name="CMS">'R5 Input page'!$F$134:$M$134</definedName>
    <definedName name="CMSD" localSheetId="0">'[4]R5 Input page'!$F$135:$M$135</definedName>
    <definedName name="CMSD" localSheetId="16">'[2]R5 Input page'!$F$129:$M$129</definedName>
    <definedName name="CMSD">'R5 Input page'!$F$135:$M$135</definedName>
    <definedName name="CompName" localSheetId="0">[5]Input!$E$8</definedName>
    <definedName name="CompName" localSheetId="16">'[2]R5 Input page'!$E$6</definedName>
    <definedName name="CompName">'R5 Input page'!$E$6</definedName>
    <definedName name="CONADJ">'[1]R8 Output incentives'!$H$151:$O$151</definedName>
    <definedName name="CSSAF">'R8 Output incentives'!$F$95:$M$95</definedName>
    <definedName name="CSSCAP" localSheetId="0">'[4]R4 Licence Condition Values'!$F$48:$M$48</definedName>
    <definedName name="CSSCAP" localSheetId="16">'[2]R4 Licence Condition Values'!$F$48:$M$48</definedName>
    <definedName name="CSSCAP">'R4 Licence Condition Values'!$F$48:$M$48</definedName>
    <definedName name="CSSCOL" localSheetId="0">'[4]R4 Licence Condition Values'!$F$49:$M$49</definedName>
    <definedName name="CSSCOL" localSheetId="16">'[2]R4 Licence Condition Values'!$F$49:$M$49</definedName>
    <definedName name="CSSCOL">'R4 Licence Condition Values'!$F$49:$M$49</definedName>
    <definedName name="CSSDPA" localSheetId="0">'[4]R4 Licence Condition Values'!$F$51:$M$51</definedName>
    <definedName name="CSSDPA" localSheetId="16">'[2]R4 Licence Condition Values'!$F$51:$M$51</definedName>
    <definedName name="CSSDPA">'R4 Licence Condition Values'!$F$51:$M$51</definedName>
    <definedName name="CSSP" localSheetId="0">'[4]R5 Input page'!$D$91:$M$91</definedName>
    <definedName name="CSSP" localSheetId="16">'[2]R5 Input page'!$D$85:$M$85</definedName>
    <definedName name="CSSP">'R5 Input page'!$D$91:$M$91</definedName>
    <definedName name="CSSPRO" localSheetId="0">'[1]R4 Licence Condition Values'!#REF!</definedName>
    <definedName name="CSSPRO" localSheetId="16">'[2]R4 Licence Condition Values'!$F$45:$M$45</definedName>
    <definedName name="CSSPRO">'R4 Licence Condition Values'!$F$45:$M$45</definedName>
    <definedName name="CSSS" localSheetId="0">'[4]R15 SO Internal'!$F$91:$M$91</definedName>
    <definedName name="CSSS" localSheetId="16">'[2]R15 SO Internal'!$F$91:$M$91</definedName>
    <definedName name="CSSS">'R15 SO Internal'!$F$91:$O$91</definedName>
    <definedName name="CSSSCfD" localSheetId="0">'[4]R5 Input page'!#REF!</definedName>
    <definedName name="CSSSCfD" localSheetId="16">'[2]R5 Input page'!#REF!</definedName>
    <definedName name="CSSSCfD">'R5 Input page'!#REF!</definedName>
    <definedName name="CSSSCM" localSheetId="0">'[4]R5 Input page'!#REF!</definedName>
    <definedName name="CSSSCM" localSheetId="16">'[2]R5 Input page'!#REF!</definedName>
    <definedName name="CSSSCM">'R5 Input page'!#REF!</definedName>
    <definedName name="CSST" localSheetId="0">'[4]R4 Licence Condition Values'!$F$47:$M$47</definedName>
    <definedName name="CSST" localSheetId="16">'[2]R4 Licence Condition Values'!$F$47:$M$47</definedName>
    <definedName name="CSST">'R4 Licence Condition Values'!$F$47:$M$47</definedName>
    <definedName name="CSSUPA" localSheetId="0">'[4]R4 Licence Condition Values'!$F$50:$M$50</definedName>
    <definedName name="CSSUPA" localSheetId="16">'[2]R4 Licence Condition Values'!$F$50:$M$50</definedName>
    <definedName name="CSSUPA">'R4 Licence Condition Values'!$F$50:$M$50</definedName>
    <definedName name="CTE" localSheetId="0">'[1]R5 Input page'!#REF!</definedName>
    <definedName name="CTE" localSheetId="16">#REF!</definedName>
    <definedName name="CTE" localSheetId="18">#REF!</definedName>
    <definedName name="CTE">'R8 Output incentives'!#REF!</definedName>
    <definedName name="Dep" localSheetId="0">'[1]R4 Licence Condition Values'!$E$79:$M$79</definedName>
    <definedName name="Dep" localSheetId="16">'[2]R4 Licence Condition Values'!$E$78:$M$78</definedName>
    <definedName name="Dep">'R4 Licence Condition Values'!$E$78:$M$78</definedName>
    <definedName name="Dep_3">'[1]R4 Licence Condition Values'!$F$100:$M$100</definedName>
    <definedName name="Dep_4">'[1]R4 Licence Condition Values'!$F$110:$M$110</definedName>
    <definedName name="Dep_5">'[1]R4 Licence Condition Values'!$F$120:$M$120</definedName>
    <definedName name="DFA" localSheetId="0">'[4]R15 SO Internal'!$F$68:$M$68</definedName>
    <definedName name="DFA" localSheetId="16">'[2]R15 SO Internal'!$F$68:$M$68</definedName>
    <definedName name="DFA">'R15 SO Internal'!$F$68:$O$68</definedName>
    <definedName name="DFAA" localSheetId="0">'[4]R5 Input page'!#REF!</definedName>
    <definedName name="DFAA" localSheetId="16">'[2]R5 Input page'!#REF!</definedName>
    <definedName name="DFAA">'R5 Input page'!#REF!</definedName>
    <definedName name="DFAB" localSheetId="0">'[4]R5 Input page'!#REF!</definedName>
    <definedName name="DFAB" localSheetId="16">'[2]R5 Input page'!#REF!</definedName>
    <definedName name="DFAB">'R5 Input page'!#REF!</definedName>
    <definedName name="DFAC" localSheetId="0">'[4]R5 Input page'!#REF!</definedName>
    <definedName name="DFAC" localSheetId="16">'[2]R5 Input page'!#REF!</definedName>
    <definedName name="DFAC">'R5 Input page'!#REF!</definedName>
    <definedName name="DIS" localSheetId="0">'[1]R5 Input page'!#REF!</definedName>
    <definedName name="DIS" localSheetId="16">'[2]R5 Input page'!$E$50:$M$50</definedName>
    <definedName name="DIS">'R5 Input page'!$E$55:$M$55</definedName>
    <definedName name="DRI" localSheetId="0">'[4]R5 Input page'!$E$128:$M$128</definedName>
    <definedName name="DRI" localSheetId="16">'[2]R5 Input page'!$E$122:$M$122</definedName>
    <definedName name="DRI">'R5 Input page'!$E$128:$O$128</definedName>
    <definedName name="DSP" localSheetId="0">'[1]R5 Input page'!$D$80:$M$80</definedName>
    <definedName name="DSP" localSheetId="16">'[2]R5 Input page'!$D$94:$M$94</definedName>
    <definedName name="DSP">'R5 Input page'!$D$100:$M$100</definedName>
    <definedName name="DSR" localSheetId="0">'[4]R15 SO Internal'!$F$82:$M$82</definedName>
    <definedName name="DSR" localSheetId="16">'[2]R15 SO Internal'!$F$82:$M$82</definedName>
    <definedName name="DSR">'R15 SO Internal'!$F$82:$O$82</definedName>
    <definedName name="DSRpq" localSheetId="0">'[4]R5 Input page'!$F$127:$M$127</definedName>
    <definedName name="DSRpq" localSheetId="16">'[2]R5 Input page'!$F$121:$M$121</definedName>
    <definedName name="DSRpq">'R5 Input page'!$F$127:$M$127</definedName>
    <definedName name="EDR" localSheetId="0">'[1]R8 Output incentives'!$F$137:$O$137</definedName>
    <definedName name="EDR" localSheetId="16">'[2]R8 Output incentives'!$F$140:$M$140</definedName>
    <definedName name="EDR">'R8 Output incentives'!$F$140:$M$140</definedName>
    <definedName name="EDRO" localSheetId="0">'[1]R5 Input page'!$F$85:$M$85</definedName>
    <definedName name="EDRO" localSheetId="16">'[2]R5 Input page'!$F$73:$M$73</definedName>
    <definedName name="EDRO">'R5 Input page'!$F$79:$M$79</definedName>
    <definedName name="EINIAT" localSheetId="0">'[4]R5 Input page'!#REF!</definedName>
    <definedName name="EINIAT" localSheetId="16">#REF!</definedName>
    <definedName name="EINIAT" localSheetId="18">#REF!</definedName>
    <definedName name="EINIAT">'R5 Input page'!#REF!</definedName>
    <definedName name="ENIA" localSheetId="0">'[1]R5 Input page'!$F$94:$M$94</definedName>
    <definedName name="ENIA" localSheetId="16">'[2]R5 Input page'!$F$100:$M$100</definedName>
    <definedName name="ENIA">'R5 Input page'!$F$106:$M$106</definedName>
    <definedName name="ENSA" localSheetId="0">'[1]R5 Input page'!$D$63:$M$63</definedName>
    <definedName name="ENSA" localSheetId="16">'[2]R5 Input page'!$D$80:$M$80</definedName>
    <definedName name="ENSA">'R5 Input page'!$D$86:$M$86</definedName>
    <definedName name="ENST" localSheetId="0">'[1]R4 Licence Condition Values'!$D$23:$M$23</definedName>
    <definedName name="ENST">'R4 Licence Condition Values'!$F$23:$M$23</definedName>
    <definedName name="ETIRG" localSheetId="0">'[4]R11 TIRG'!$E$69:$M$69</definedName>
    <definedName name="ETIRG" localSheetId="16">'[2]R11 TIRG'!$E$69:$M$69</definedName>
    <definedName name="ETIRG">'R11 TIRG'!$E$69:$M$69</definedName>
    <definedName name="ETIRGC" localSheetId="0">'[1]R4 Licence Condition Values'!$E$80:$M$80</definedName>
    <definedName name="ETIRGC" localSheetId="16">'[2]R4 Licence Condition Values'!$E$79:$M$79</definedName>
    <definedName name="ETIRGC">'R4 Licence Condition Values'!$E$79:$M$79</definedName>
    <definedName name="ETIRGC2">'[1]R4 Licence Condition Values'!$F$91:$M$91</definedName>
    <definedName name="ETIRGC3">'[1]R4 Licence Condition Values'!$F$101:$M$101</definedName>
    <definedName name="ETIRGC4">'[1]R4 Licence Condition Values'!$F$111:$M$111</definedName>
    <definedName name="ETIRGC5">'[1]R4 Licence Condition Values'!$F$121:$M$121</definedName>
    <definedName name="ETIRGORAV" localSheetId="0">'[1]R4 Licence Condition Values'!$E$78:$M$78</definedName>
    <definedName name="ETIRGORAV" localSheetId="16">'[2]R4 Licence Condition Values'!$D$77</definedName>
    <definedName name="ETIRGORAV">'R4 Licence Condition Values'!$D$77</definedName>
    <definedName name="ETIRGORAV2">'[1]R4 Licence Condition Values'!$F$89:$M$89</definedName>
    <definedName name="ETIRGORAV3">'[1]R4 Licence Condition Values'!$F$99:$M$99</definedName>
    <definedName name="ETIRGORAV4">'[1]R4 Licence Condition Values'!$F$109:$M$109</definedName>
    <definedName name="ETIRGORAV5">'[1]R4 Licence Condition Values'!$F$119:$M$119</definedName>
    <definedName name="FactAA">'[1]R5 Input page'!#REF!</definedName>
    <definedName name="FactBB">'[1]R5 Input page'!#REF!</definedName>
    <definedName name="FactX">'[1]R5 Input page'!#REF!</definedName>
    <definedName name="FactY">'[1]R5 Input page'!#REF!</definedName>
    <definedName name="FactZ">'[1]R5 Input page'!#REF!</definedName>
    <definedName name="FTIRG" localSheetId="0">'[4]R11 TIRG'!$E$41:$M$41</definedName>
    <definedName name="FTIRG" localSheetId="16">'[2]R11 TIRG'!$E$41:$M$41</definedName>
    <definedName name="FTIRG">'R11 TIRG'!$E$41:$M$41</definedName>
    <definedName name="FTIRG2">'[1]R4 Licence Condition Values'!$F$87:$M$87</definedName>
    <definedName name="FTIRGC" localSheetId="0">'[1]R4 Licence Condition Values'!$F$76:$M$76</definedName>
    <definedName name="FTIRGC" localSheetId="16">'[2]R4 Licence Condition Values'!$E$75:$M$75</definedName>
    <definedName name="FTIRGC">'R4 Licence Condition Values'!$E$75:$M$75</definedName>
    <definedName name="FTIRGC3">'[1]R4 Licence Condition Values'!$F$97:$M$97</definedName>
    <definedName name="FTIRGC4">'[1]R4 Licence Condition Values'!$F$107:$M$107</definedName>
    <definedName name="FTIRGC5">'[1]R4 Licence Condition Values'!$F$117:$M$117</definedName>
    <definedName name="FTIRGDepn" localSheetId="0">'[1]R4 Licence Condition Values'!$F$77:$M$77</definedName>
    <definedName name="ftirgdepn" localSheetId="16">'[2]R4 Licence Condition Values'!$E$76:$M$76</definedName>
    <definedName name="ftirgdepn">'R4 Licence Condition Values'!$E$76:$M$76</definedName>
    <definedName name="FTIRGDepn2">'[1]R4 Licence Condition Values'!$F$88:$M$88</definedName>
    <definedName name="FTIRGDepn3">'[1]R4 Licence Condition Values'!$F$98:$M$98</definedName>
    <definedName name="FTIRGDepn4">'[1]R4 Licence Condition Values'!$F$108:$M$108</definedName>
    <definedName name="FTIRGDEPN5">'[1]R4 Licence Condition Values'!$F$118:$M$118</definedName>
    <definedName name="FYADD" localSheetId="0">'[1]R5 Input page'!$F$79:$M$79</definedName>
    <definedName name="FYADD" localSheetId="16">'[2]R5 Input page'!$F$93:$M$93</definedName>
    <definedName name="FYADD">'R5 Input page'!$F$99:$M$99</definedName>
    <definedName name="FYDSP" localSheetId="0">'[1]R5 Input page'!$F$81:$M$81</definedName>
    <definedName name="FYDSP" localSheetId="16">'[2]R5 Input page'!$F$95:$M$95</definedName>
    <definedName name="FYDSP">'R5 Input page'!$F$101:$M$101</definedName>
    <definedName name="IONT" localSheetId="0">'[4]R5 Input page'!#REF!</definedName>
    <definedName name="IONT" localSheetId="16">'[2]R5 Input page'!#REF!</definedName>
    <definedName name="IONT">'R5 Input page'!#REF!</definedName>
    <definedName name="IPTIRG" localSheetId="0">'[4]R11 TIRG'!$E$23:$M$23</definedName>
    <definedName name="IPTIRG" localSheetId="16">'[2]R11 TIRG'!$E$23:$M$23</definedName>
    <definedName name="IPTIRG">'R11 TIRG'!$E$23:$M$23</definedName>
    <definedName name="It" localSheetId="0">'[1]R5 Input page'!$E$47:$O$47</definedName>
    <definedName name="It" localSheetId="16">'[2]R5 Input page'!$E$57:$M$57</definedName>
    <definedName name="It">'R5 Input page'!$E$62:$N$62</definedName>
    <definedName name="ITA" localSheetId="0">'[4]R4 Licence Condition Values'!$D$14:$M$14</definedName>
    <definedName name="ITA" localSheetId="16">'[2]R4 Licence Condition Values'!$D$14:$M$14</definedName>
    <definedName name="ITA">'R4 Licence Condition Values'!$D$14:$M$14</definedName>
    <definedName name="ITC" localSheetId="0">'[4]R7 pass through'!$F$84:$O$84</definedName>
    <definedName name="ITC" localSheetId="16">'[2]R7 pass through'!$F$63:$M$63</definedName>
    <definedName name="ITC">'R7 Pass Through'!$F$64:$O$64</definedName>
    <definedName name="ITP" localSheetId="0">'[4]R5 Input page'!$D$69:$M$69</definedName>
    <definedName name="ITP" localSheetId="16">'[2]R5 Input page'!$D$63:$M$63</definedName>
    <definedName name="ITP">'R5 Input page'!$D$68:$M$68</definedName>
    <definedName name="K" localSheetId="0">'[4]R10 Correction'!$E$19:$O$19</definedName>
    <definedName name="K" localSheetId="16">'[2]R10 Correction'!$E$17:$M$17</definedName>
    <definedName name="K">'R10 Correction'!$E$17:$O$17</definedName>
    <definedName name="KPI">'[1]R5 Input page'!#REF!</definedName>
    <definedName name="Kt" localSheetId="0">'[1]R10 Correction'!$D$18:$O$18</definedName>
    <definedName name="Kt" localSheetId="16">#REF!</definedName>
    <definedName name="Kt" localSheetId="18">#REF!</definedName>
    <definedName name="Kt">'R10 Correction'!#REF!</definedName>
    <definedName name="LF" localSheetId="0">'[4]R7 pass through'!$F$63:$O$63</definedName>
    <definedName name="LF" localSheetId="16">'[2]R7 pass through'!$F$42:$M$42</definedName>
    <definedName name="LF">'R7 Pass Through'!$F$43:$O$43</definedName>
    <definedName name="LFA" localSheetId="0">'[4]R5 Input page'!$D$67:$M$67</definedName>
    <definedName name="LFA" localSheetId="16">'[2]R5 Input page'!$D$61:$M$61</definedName>
    <definedName name="LFA">'R5 Input page'!$D$66:$M$66</definedName>
    <definedName name="LFE" localSheetId="0">'[4]R4 Licence Condition Values'!$D$13:$M$13</definedName>
    <definedName name="LFE" localSheetId="16">'[2]R4 Licence Condition Values'!$D$13:$M$13</definedName>
    <definedName name="LFE">'R4 Licence Condition Values'!$D$13:$M$13</definedName>
    <definedName name="LFt" localSheetId="0">'[4]R7 pass through'!$E$16:$M$16</definedName>
    <definedName name="LFt" localSheetId="16">'[2]R7 pass through'!$E$10:$M$10</definedName>
    <definedName name="LFt">'R7 Pass Through'!$E$11:$M$11</definedName>
    <definedName name="MOD" localSheetId="0">'[1]R5 Input page'!$F$27:$O$27</definedName>
    <definedName name="MOD" localSheetId="16">'[2]R5 Input page'!$F$25:$M$25</definedName>
    <definedName name="MOD">'R5 Input page'!$F$26:$M$26</definedName>
    <definedName name="MTC" localSheetId="0">'[4]R5 Input page'!#REF!</definedName>
    <definedName name="MTC" localSheetId="16">'[2]R5 Input page'!#REF!</definedName>
    <definedName name="MTC">'R5 Input page'!#REF!</definedName>
    <definedName name="NC" localSheetId="0">#REF!</definedName>
    <definedName name="NC" localSheetId="16">'R16 SO External Rev'!#REF!</definedName>
    <definedName name="NC" localSheetId="18">'R17 SO Bal Services'!#REF!</definedName>
    <definedName name="NC">#REF!</definedName>
    <definedName name="NIA" localSheetId="0">'[1]R9 Innovation incentive'!$F$17:$M$17</definedName>
    <definedName name="NIA" localSheetId="16">'[2]R9 Innovation incentive'!$F$16:$M$16</definedName>
    <definedName name="NIA">'R9 Innovation incentive'!$F$16:$M$16</definedName>
    <definedName name="NIAIE" localSheetId="0">'[1]R5 Input page'!$F$98:$M$98</definedName>
    <definedName name="NIAIE" localSheetId="16">'[2]R5 Input page'!$F$101:$M$101</definedName>
    <definedName name="NIAIE">'R5 Input page'!$F$107:$M$107</definedName>
    <definedName name="NIAINT">'[3]R5 Input page'!$F$105:$M$105</definedName>
    <definedName name="NIAR" localSheetId="0">'[1]R5 Input page'!$F$96:$M$96</definedName>
    <definedName name="NIAR" localSheetId="16">'[2]R5 Input page'!$F$103:$M$103</definedName>
    <definedName name="NIAR">'R5 Input page'!$F$109:$M$109</definedName>
    <definedName name="NIAV" localSheetId="0">'[1]R4 Licence Condition Values'!$F$42:$M$42</definedName>
    <definedName name="NIAV" localSheetId="16">'[2]R4 Licence Condition Values'!$F$63:$M$63</definedName>
    <definedName name="NIAV">'R4 Licence Condition Values'!$F$63:$M$63</definedName>
    <definedName name="NICF" localSheetId="0">'[1]R5 Input page'!$F$97:$M$97</definedName>
    <definedName name="NICF" localSheetId="16">'[2]R5 Input page'!$F$104:$M$104</definedName>
    <definedName name="NICF">'R5 Input page'!$F$110:$M$110</definedName>
    <definedName name="NICF2" localSheetId="0">'[4]R9 Innovation incentive'!$F$9:$M$9</definedName>
    <definedName name="NICF2" localSheetId="16">'[2]R9 Innovation incentive'!$F$9:$M$9</definedName>
    <definedName name="NICF2">'R9 Innovation incentive'!$F$9:$M$9</definedName>
    <definedName name="NTPC" localSheetId="0">'[1]R5 Input page'!$D$83:$M$83</definedName>
    <definedName name="NTPC" localSheetId="16">'[2]R5 Input page'!$D$97:$M$97</definedName>
    <definedName name="NTPC">'R5 Input page'!$D$103:$M$103</definedName>
    <definedName name="OFET" localSheetId="0">'[4]R5 Input page'!$D$74:$M$74</definedName>
    <definedName name="OFET" localSheetId="16">'[2]R5 Input page'!$D$68:$M$68</definedName>
    <definedName name="OFET">'R5 Input page'!$D$74:$M$74</definedName>
    <definedName name="OIP" localSheetId="0">'[1]R8 Output incentives'!$F$14:$O$14</definedName>
    <definedName name="OIP" localSheetId="16">'[2]R8 Output incentives'!$F$13:$M$13</definedName>
    <definedName name="OIP">'R8 Output incentives'!$F$13:$M$13</definedName>
    <definedName name="PEAK2" localSheetId="0">'[4]R5 Input page'!#REF!</definedName>
    <definedName name="PEAK2" localSheetId="16">'[2]R5 Input page'!#REF!</definedName>
    <definedName name="PEAK2">'R5 Input page'!#REF!</definedName>
    <definedName name="PEAK3" localSheetId="0">'[4]R5 Input page'!$F$131:$M$131</definedName>
    <definedName name="PEAK3" localSheetId="16">'[2]R5 Input page'!$F$125:$M$125</definedName>
    <definedName name="PEAK3">'R5 Input page'!$F$131:$M$131</definedName>
    <definedName name="PEAK6">'R5 Input page'!$F$130:$M$130</definedName>
    <definedName name="PEAKA" localSheetId="0">'[4]R5 Input page'!$F$129:$M$129</definedName>
    <definedName name="PEAKA" localSheetId="16">'[2]R5 Input page'!$F$123:$M$123</definedName>
    <definedName name="PEAKA">'R5 Input page'!$F$129:$M$129</definedName>
    <definedName name="PR">'[6]PR t'!$I$24:$P$24</definedName>
    <definedName name="_xlnm.Print_Area" localSheetId="10">'R10 Correction'!$A$1:$N$25</definedName>
    <definedName name="_xlnm.Print_Area" localSheetId="11">'R11 TIRG'!$A$1:$N$72</definedName>
    <definedName name="_xlnm.Print_Area" localSheetId="13">'R12 SO MAR'!$A$1:$N$27</definedName>
    <definedName name="_xlnm.Print_Area" localSheetId="12">'R14 Rec to Stat Ac'!$A$1:$L$55</definedName>
    <definedName name="_xlnm.Print_Area" localSheetId="15">'R15 SO Internal'!$A$1:$P$44</definedName>
    <definedName name="_xlnm.Print_Area" localSheetId="16">'R16 SO External Rev'!$A$1:$Q$166</definedName>
    <definedName name="_xlnm.Print_Area" localSheetId="18">'R17 SO Bal Services'!$A$1:$Q$43</definedName>
    <definedName name="_xlnm.Print_Area" localSheetId="4">'R4 Licence Condition Values'!$A$1:$N$89</definedName>
    <definedName name="_xlnm.Print_Area" localSheetId="5">'R5 Input page'!$A$1:$P$124</definedName>
    <definedName name="_xlnm.Print_Area" localSheetId="6">'R6 True Up'!$A$1:$P$71</definedName>
    <definedName name="_xlnm.Print_Area" localSheetId="7">'R7 Pass Through'!$A$1:$P$66</definedName>
    <definedName name="_xlnm.Print_Area" localSheetId="8">'R8 Output incentives'!$A$1:$N$153</definedName>
    <definedName name="_xlnm.Print_Area" localSheetId="9">'R9 Innovation incentive'!$A$1:$N$35</definedName>
    <definedName name="PRt" localSheetId="0">#REF!</definedName>
    <definedName name="PRt" localSheetId="16">#REF!</definedName>
    <definedName name="PRt" localSheetId="18">#REF!</definedName>
    <definedName name="PRt">#REF!</definedName>
    <definedName name="PTIS" localSheetId="0">'[1]R8 Output incentives'!$F$130:$M$130</definedName>
    <definedName name="PTIS" localSheetId="16">'[2]R8 Output incentives'!$F$131:$M$131</definedName>
    <definedName name="PTIS">'R8 Output incentives'!$F$131:$M$131</definedName>
    <definedName name="PTRA" localSheetId="0">'[1]R4 Licence Condition Values'!$F$70:$M$70</definedName>
    <definedName name="PTRA" localSheetId="16">'[2]R4 Licence Condition Values'!$F$66:$M$66</definedName>
    <definedName name="PTRA">'R4 Licence Condition Values'!$F$66:$M$66</definedName>
    <definedName name="PTt" comment="Pass through Items" localSheetId="0">'[1]R7 pass through'!$F$12:$O$12</definedName>
    <definedName name="PTt" comment="Pass through Items" localSheetId="16">'[2]R7 pass through'!$F$20:$M$20</definedName>
    <definedName name="PTt" comment="Pass through Items">'R7 Pass Through'!$F$21:$M$21</definedName>
    <definedName name="PU" localSheetId="0">'[1]R4 Licence Condition Values'!$F$9:$M$9</definedName>
    <definedName name="PU" localSheetId="16">'[2]R4 Licence Condition Values'!$F$9:$M$9</definedName>
    <definedName name="PU">'R4 Licence Condition Values'!$F$9:$M$9</definedName>
    <definedName name="PVF" localSheetId="0">'[1]R5 Input page'!$E$44:$O$44</definedName>
    <definedName name="PVF" localSheetId="16">'[2]R5 Input page'!$E$45:$M$45</definedName>
    <definedName name="PVF">'R5 Input page'!$E$50:$P$50</definedName>
    <definedName name="RB" localSheetId="0">'[4]R7 pass through'!$F$52:$O$52</definedName>
    <definedName name="RB" localSheetId="16">'[2]R7 pass through'!$F$31:$O$31</definedName>
    <definedName name="RB">'R7 Pass Through'!$F$32:$O$32</definedName>
    <definedName name="RBA" localSheetId="0">'[1]R5 Input page'!$D$51:$M$51</definedName>
    <definedName name="RBA" localSheetId="16">'[2]R5 Input page'!$F$60:$M$60</definedName>
    <definedName name="RBA">'R5 Input page'!$F$65:$M$65</definedName>
    <definedName name="RBE" localSheetId="0">'[1]R4 Licence Condition Values'!$D$12:$M$12</definedName>
    <definedName name="RBE" localSheetId="16">'[2]R4 Licence Condition Values'!$F$12:$M$12</definedName>
    <definedName name="RBE">'R4 Licence Condition Values'!$F$12:$M$12</definedName>
    <definedName name="RBt" localSheetId="0">'[1]R7 pass through'!$E$10:$M$10</definedName>
    <definedName name="RBt" localSheetId="16">'[2]R7 pass through'!$E$9:$M$9</definedName>
    <definedName name="RBt">'R7 Pass Through'!$E$10:$O$10</definedName>
    <definedName name="RegYr" localSheetId="0">[5]Input!$F$9</definedName>
    <definedName name="RegYr" localSheetId="16">'[2]R5 Input page'!$F$7</definedName>
    <definedName name="RegYr">'R5 Input page'!$F$7</definedName>
    <definedName name="REV" localSheetId="0">'[1]R6 Base revenue'!$E$80:$M$80</definedName>
    <definedName name="REV" localSheetId="16">'[2]R6 Base revenue'!$E$75:$M$75</definedName>
    <definedName name="REV">'R6 True Up'!$E$54:$O$54</definedName>
    <definedName name="RFIIR" localSheetId="0">'[4]R5 Input page'!#REF!</definedName>
    <definedName name="RFIIR" localSheetId="16">'[2]R5 Input page'!#REF!</definedName>
    <definedName name="RFIIR">'R5 Input page'!#REF!</definedName>
    <definedName name="RI" localSheetId="0">'[1]R8 Output incentives'!$E$32:$O$32</definedName>
    <definedName name="RI" localSheetId="16">'[2]R8 Output incentives'!$E$32:$M$32</definedName>
    <definedName name="RI">'R8 Output incentives'!$E$32:$M$32</definedName>
    <definedName name="RICOL">'[6]Input TO'!$I$65:$P$65</definedName>
    <definedName name="RIDPA" localSheetId="0">'[1]R4 Licence Condition Values'!$F$24:$M$24</definedName>
    <definedName name="RIDPA" localSheetId="16">'[2]R4 Licence Condition Values'!$F$24:$M$24</definedName>
    <definedName name="RIDPA">'R4 Licence Condition Values'!$F$24:$M$24</definedName>
    <definedName name="RIDPA1213">'[6]Input TO'!$I$63:$P$63</definedName>
    <definedName name="RIDPA201213">'[6]Input TO'!$I$63:$P$63</definedName>
    <definedName name="RILEG">'R5 Input page'!$F$81</definedName>
    <definedName name="RILT">'[6]Input TO'!$I$59:$P$59</definedName>
    <definedName name="RIP">'[6]Input TO'!$F$135:$P$135</definedName>
    <definedName name="RIUPA">'[6]Input TO'!$I$62:$P$62</definedName>
    <definedName name="RIUT">'[6]Input TO'!$I$60:$P$60</definedName>
    <definedName name="RPIA" localSheetId="0">'[1]R5 Input page'!$D$10:$M$10</definedName>
    <definedName name="RPIA" localSheetId="16">'[2]R5 Input page'!$D$10:$M$10</definedName>
    <definedName name="RPIA">'R5 Input page'!$D$10:$O$10</definedName>
    <definedName name="RPIF" localSheetId="0">'[1]R6 Base revenue'!$E$32:$O$32</definedName>
    <definedName name="RPIF" localSheetId="16">'[2]R6 Base revenue'!$E$28:$M$28</definedName>
    <definedName name="RPIF">'R6 True Up'!$E$30:$O$30</definedName>
    <definedName name="SAFTIRG" localSheetId="0">'[4]R5 Input page'!$D$117:$M$117</definedName>
    <definedName name="SAFTIRG" localSheetId="16">'[2]R5 Input page'!$D$111:$M$111</definedName>
    <definedName name="SAFTIRG">'R5 Input page'!$D$117:$M$117</definedName>
    <definedName name="SAFTIRG1">'[1]R5 Input page'!$D$105:$M$105</definedName>
    <definedName name="SAFTIRG2">'[1]R5 Input page'!$F$114:$M$114</definedName>
    <definedName name="SAFTIRG3">'[1]R5 Input page'!$F$123:$M$123</definedName>
    <definedName name="SAFTIRG4">'[1]R5 Input page'!$F$132:$M$132</definedName>
    <definedName name="SAFTIRG5">'[1]R5 Input page'!$F$141:$M$141</definedName>
    <definedName name="SEA">'[1]R5 Input page'!$F$69:$M$69</definedName>
    <definedName name="SEAPRO">'[1]R4 Licence Condition Values'!$F$65:$M$65</definedName>
    <definedName name="SER" localSheetId="0">'[1]R5 Input page'!$F$67:$M$67</definedName>
    <definedName name="SER" localSheetId="16">'[2]R5 Input page'!$F$84:$M$84</definedName>
    <definedName name="SER">'R5 Input page'!$F$90:$M$90</definedName>
    <definedName name="SERLIMIT" localSheetId="0">'[1]R4 Licence Condition Values'!$F$54:$M$54</definedName>
    <definedName name="SERLIMIT" localSheetId="16">'[2]R4 Licence Condition Values'!$F$59:$M$59</definedName>
    <definedName name="SERLIMIT">'R4 Licence Condition Values'!$F$59:$M$59</definedName>
    <definedName name="SFI" localSheetId="0">'[1]R8 Output incentives'!$E$121:$O$121</definedName>
    <definedName name="SFI" localSheetId="16">'[2]R8 Output incentives'!$E$123:$M$123</definedName>
    <definedName name="SFI">'R8 Output incentives'!$E$123:$M$123</definedName>
    <definedName name="SHCP">'[7]R8 Output incentives'!$F$149:$M$149</definedName>
    <definedName name="SKPI">'[1]R8 Output incentives'!$F$107:$M$107</definedName>
    <definedName name="SKPIC">'[1]R5 Input page'!$F$68:$M$68</definedName>
    <definedName name="SKPICAP">'[1]R4 Licence Condition Values'!$F$59:$M$59</definedName>
    <definedName name="SKPICOL">'[1]R4 Licence Condition Values'!$F$61:$M$61</definedName>
    <definedName name="SKPIDPA">'[1]R4 Licence Condition Values'!$F$62:$M$62</definedName>
    <definedName name="SKPIPRO">'[1]R4 Licence Condition Values'!$F$63:$M$63</definedName>
    <definedName name="SKPIT">'[1]R4 Licence Condition Values'!$F$58:$M$58</definedName>
    <definedName name="SKPIUPA">'[1]R4 Licence Condition Values'!$F$60:$M$60</definedName>
    <definedName name="SOEMR" localSheetId="0">'[4]R4 Licence Condition Values'!$E$87:$M$87</definedName>
    <definedName name="SOEMR" localSheetId="16">'[2]R4 Licence Condition Values'!$E$87:$M$87</definedName>
    <definedName name="SOEMR">'R4 Licence Condition Values'!$E$87:$M$87</definedName>
    <definedName name="SOEMRCO" localSheetId="0">'[4]R5 Input page'!$F$124:$M$124</definedName>
    <definedName name="SOEMRCO" localSheetId="16">'[2]R5 Input page'!$F$118:$M$118</definedName>
    <definedName name="SOEMRCO">'R5 Input page'!$F$124:$O$124</definedName>
    <definedName name="SOEMRDRI" localSheetId="0">'[4]R5 Input page'!#REF!</definedName>
    <definedName name="SOEMRDRI" localSheetId="16">'[2]R5 Input page'!#REF!</definedName>
    <definedName name="SOEMRDRI">'R5 Input page'!#REF!</definedName>
    <definedName name="SOEMRINC" localSheetId="0">'[4]R15 SO Internal'!$F$60:$M$60</definedName>
    <definedName name="SOEMRINC" localSheetId="16">'[2]R15 SO Internal'!$F$60:$M$60</definedName>
    <definedName name="SOEMRINC">'R15 SO Internal'!$F$60:$M$60</definedName>
    <definedName name="SOI">'R15 SO Internal'!$F$18</definedName>
    <definedName name="SOMOD" localSheetId="0">'[4]R5 Input page'!$F$29:$M$29</definedName>
    <definedName name="SOMOD" localSheetId="16">'[2]R5 Input page'!$F$27:$M$27</definedName>
    <definedName name="SOMOD">'R5 Input page'!$F$28:$O$28</definedName>
    <definedName name="SOPU" localSheetId="0">'[4]R4 Licence Condition Values'!$F$10:$M$10</definedName>
    <definedName name="SOPU" localSheetId="16">'[2]R4 Licence Condition Values'!$F$10:$M$10</definedName>
    <definedName name="SOPU">'R4 Licence Condition Values'!$F$10:$M$10</definedName>
    <definedName name="SOREV" localSheetId="0">'[4]R15 SO Internal'!$F$39:$M$39</definedName>
    <definedName name="SOREV" localSheetId="16">'[2]R15 SO Internal'!$F$39:$M$39</definedName>
    <definedName name="SOREV">'R15 SO Internal'!$F$39:$M$39</definedName>
    <definedName name="SOTRU" localSheetId="0">'[4]R15 SO Internal'!$F$27:$M$27</definedName>
    <definedName name="SOTRU" localSheetId="16">'[2]R15 SO Internal'!$F$27:$M$27</definedName>
    <definedName name="SOTRU">'R15 SO Internal'!$F$27:$O$27</definedName>
    <definedName name="SS">'[1]R8 Output incentives'!#REF!</definedName>
    <definedName name="SSC">'[1]R5 Input page'!$F$66:$M$66</definedName>
    <definedName name="SSCAP">'[1]R4 Licence Condition Values'!$F$50:$M$50</definedName>
    <definedName name="SSCOL">'[1]R4 Licence Condition Values'!$F$51:$M$51</definedName>
    <definedName name="SSDPA">'[1]R4 Licence Condition Values'!$F$53:$M$53</definedName>
    <definedName name="SSI">'[1]R8 Output incentives'!$F$83:$M$83</definedName>
    <definedName name="SSO" localSheetId="0">'[1]R8 Output incentives'!$F$64:$O$64</definedName>
    <definedName name="SSO" localSheetId="16">'[2]R8 Output incentives'!$F$63:$M$63</definedName>
    <definedName name="SSO">'R8 Output incentives'!$F$63:$M$63</definedName>
    <definedName name="SSPRO">'[1]R4 Licence Condition Values'!$F$55:$M$55</definedName>
    <definedName name="SSS" localSheetId="0">'[4]R8 Output incentives'!$F$80:$M$80</definedName>
    <definedName name="SSS" localSheetId="16">'[2]R8 Output incentives'!$F$80:$M$80</definedName>
    <definedName name="SSS">'R8 Output incentives'!$F$80:$M$80</definedName>
    <definedName name="SSSAF">'R8 Output incentives'!$F$108:$M$108</definedName>
    <definedName name="SSSCAP" localSheetId="0">'[1]R4 Licence Condition Values'!#REF!</definedName>
    <definedName name="SSSCAP" localSheetId="16">'[2]R4 Licence Condition Values'!$F$55:$M$55</definedName>
    <definedName name="SSSCAP">'R4 Licence Condition Values'!$F$55:$M$55</definedName>
    <definedName name="SSSCOL" localSheetId="0">'[1]R4 Licence Condition Values'!#REF!</definedName>
    <definedName name="SSSCOL" localSheetId="16">'[2]R4 Licence Condition Values'!$F$56:$M$56</definedName>
    <definedName name="SSSCOL">'R4 Licence Condition Values'!$F$56:$M$56</definedName>
    <definedName name="SSSDPA" localSheetId="0">'[1]R4 Licence Condition Values'!#REF!</definedName>
    <definedName name="SSSDPA" localSheetId="16">'[2]R4 Licence Condition Values'!$F$58:$M$58</definedName>
    <definedName name="SSSDPA">'R4 Licence Condition Values'!$F$58:$M$58</definedName>
    <definedName name="SSSP" localSheetId="0">'[8]R5 Input page'!$D$81:$M$81</definedName>
    <definedName name="SSSP" localSheetId="16">'[2]R5 Input page'!$D$83:$M$83</definedName>
    <definedName name="SSSP">'R5 Input page'!$D$89:$M$89</definedName>
    <definedName name="SSSPRO" localSheetId="0">'[4]R4 Licence Condition Values'!$F$53:$M$53</definedName>
    <definedName name="SSSPRO" localSheetId="16">'[2]R4 Licence Condition Values'!$F$53:$M$53</definedName>
    <definedName name="SSSPRO">'R4 Licence Condition Values'!$F$53:$M$53</definedName>
    <definedName name="SSST" localSheetId="0">'[1]R4 Licence Condition Values'!#REF!</definedName>
    <definedName name="SSST" localSheetId="16">'[2]R4 Licence Condition Values'!$F$54:$M$54</definedName>
    <definedName name="SSST">'R4 Licence Condition Values'!$F$54:$M$54</definedName>
    <definedName name="SSSUPA" localSheetId="0">'[1]R4 Licence Condition Values'!#REF!</definedName>
    <definedName name="SSSUPA" localSheetId="16">'[2]R4 Licence Condition Values'!$F$57:$M$57</definedName>
    <definedName name="SSSUPA">'R4 Licence Condition Values'!$F$57:$M$57</definedName>
    <definedName name="SST">'[1]R4 Licence Condition Values'!$F$49:$M$49</definedName>
    <definedName name="SSUPA">'[1]R4 Licence Condition Values'!$F$52:$M$52</definedName>
    <definedName name="SubTIRG" localSheetId="0">'[1]R11 TIRG'!$E$12:$M$12</definedName>
    <definedName name="SubTIRG" localSheetId="16">'[2]R11 TIRG'!$E$12:$M$12</definedName>
    <definedName name="SubTIRG">'R11 TIRG'!$E$12:$M$12</definedName>
    <definedName name="TERMt" localSheetId="0">'[4]R5 Input page'!$D$70:$M$70</definedName>
    <definedName name="TERMt" localSheetId="16">'[2]R5 Input page'!$D$64:$M$64</definedName>
    <definedName name="TERMt">'R5 Input page'!$D$69:$M$69</definedName>
    <definedName name="TIRG" localSheetId="0">'[1]R11 TIRG'!$E$16:$M$16</definedName>
    <definedName name="TIRG" localSheetId="16">'[2]R11 TIRG'!$E$15:$M$15</definedName>
    <definedName name="TIRG">'R11 TIRG'!$E$15:$M$15</definedName>
    <definedName name="TIRGIncAdj" localSheetId="0">'[1]R5 Input page'!$F$106:$M$106</definedName>
    <definedName name="TIRGINCADJ" localSheetId="16">'[2]R5 Input page'!$E$112:$M$112</definedName>
    <definedName name="TIRGINCADJ">'R5 Input page'!$E$118:$M$118</definedName>
    <definedName name="TIRGIncAdj2">'[1]R5 Input page'!$F$115:$M$115</definedName>
    <definedName name="TIRGIncAdj3">'[1]R5 Input page'!$F$124:$M$124</definedName>
    <definedName name="TIRGIncAdj4">'[1]R5 Input page'!$F$133:$M$133</definedName>
    <definedName name="TIRGIncAdj5">'[1]R5 Input page'!$F$142:$M$142</definedName>
    <definedName name="TIS" localSheetId="0">'[1]R4 Licence Condition Values'!$D$40:$M$40</definedName>
    <definedName name="TIS" localSheetId="16">'[2]R4 Licence Condition Values'!$D$41:$M$41</definedName>
    <definedName name="TIS">'R4 Licence Condition Values'!$D$41:$M$41</definedName>
    <definedName name="TNR" localSheetId="0">'[1]R5 Input page'!$D$35:$M$35</definedName>
    <definedName name="TNR" localSheetId="16">'[2]R5 Input page'!$F$29:$M$29</definedName>
    <definedName name="TNR">'R5 Input page'!$F$30:$M$30</definedName>
    <definedName name="TO" localSheetId="0">'[1]R12 TO MAR'!$F$16:$M$16</definedName>
    <definedName name="TO" localSheetId="16">'[2]R12 TO MAR'!$F$19:$M$19</definedName>
    <definedName name="TO">'R12 SO MAR'!$F$22:$M$22</definedName>
    <definedName name="TOFTO" localSheetId="0">'[4]R5 Input page'!$D$73:$M$73</definedName>
    <definedName name="TOFTO" localSheetId="16">'[2]R5 Input page'!$D$67:$M$67</definedName>
    <definedName name="TOFTO">'R5 Input page'!$D$73:$M$73</definedName>
    <definedName name="TOTO">'[1]R5 Input page'!$F$90:$M$90</definedName>
    <definedName name="TPA" localSheetId="0">'[1]R5 Input page'!$E$53:$M$53</definedName>
    <definedName name="TPA" localSheetId="16">'[2]R5 Input page'!$E$62:$M$62</definedName>
    <definedName name="TPA">'R5 Input page'!$E$67:$M$67</definedName>
    <definedName name="TPD" localSheetId="0">'[1]R7 pass through'!$E$11:$O$11</definedName>
    <definedName name="TPD" localSheetId="16">'[2]R7 pass through'!$F$52:$M$52</definedName>
    <definedName name="TPD">'R7 Pass Through'!$F$53:$M$53</definedName>
    <definedName name="TR" localSheetId="0">'[1]R5 Input page'!$D$72:$M$72</definedName>
    <definedName name="TR" localSheetId="16">'[2]R5 Input page'!$D$87:$M$87</definedName>
    <definedName name="TR">'R5 Input page'!$D$93:$M$93</definedName>
    <definedName name="TRU" localSheetId="0">'[4]R6 Base revenue'!$E$40:$O$40</definedName>
    <definedName name="TRU" localSheetId="16">'[2]R6 Base revenue'!$E$38:$M$38</definedName>
    <definedName name="TRU">'R6 True Up'!$E$40:$Q$40</definedName>
    <definedName name="TS" localSheetId="0">'[1]R5 Input page'!#REF!</definedName>
    <definedName name="TS" localSheetId="16">'[2]R5 Input page'!$E$55:$M$55</definedName>
    <definedName name="TS">'R5 Input page'!$E$60:$M$60</definedName>
    <definedName name="TSH" localSheetId="0">'[4]R5 Input page'!$D$72:$M$72</definedName>
    <definedName name="TSH" localSheetId="16">'[2]R5 Input page'!$D$66:$M$66</definedName>
    <definedName name="TSH">'R5 Input page'!$D$71:$M$71</definedName>
    <definedName name="TSP" localSheetId="0">'[4]R5 Input page'!$D$71:$M$71</definedName>
    <definedName name="TSP" localSheetId="16">'[2]R5 Input page'!$D$65:$M$65</definedName>
    <definedName name="TSP">'R5 Input page'!$D$70:$M$70</definedName>
    <definedName name="UNTO">'[1]R5 Input page'!$F$89:$M$89</definedName>
    <definedName name="VOLL" localSheetId="0">'[1]R4 Licence Condition Values'!$F$22:$O$22</definedName>
    <definedName name="VOLL">'R4 Licence Condition Values'!$F$22:$M$22</definedName>
    <definedName name="WACC" localSheetId="0">'[1]R5 Input page'!$E$43:$O$43</definedName>
    <definedName name="WACC">'R5 Input page'!$E$49:$M$49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0" i="17" l="1"/>
  <c r="O19" i="17"/>
  <c r="O20" i="17" s="1"/>
  <c r="P19" i="17"/>
  <c r="P20" i="17" s="1"/>
  <c r="N19" i="17"/>
  <c r="P39" i="3" l="1"/>
  <c r="P50" i="17"/>
  <c r="N10" i="17" l="1"/>
  <c r="O10" i="17"/>
  <c r="O19" i="3" l="1"/>
  <c r="O26" i="8"/>
  <c r="N19" i="3"/>
  <c r="N26" i="8"/>
  <c r="N60" i="17"/>
  <c r="N55" i="17"/>
  <c r="M100" i="8" l="1"/>
  <c r="N95" i="8"/>
  <c r="O95" i="8"/>
  <c r="N56" i="8"/>
  <c r="O56" i="8"/>
  <c r="N12" i="8"/>
  <c r="O12" i="8"/>
  <c r="O29" i="3"/>
  <c r="N29" i="3"/>
  <c r="N28" i="3"/>
  <c r="M28" i="3"/>
  <c r="N50" i="17"/>
  <c r="AG216" i="23" s="1"/>
  <c r="O50" i="17"/>
  <c r="O24" i="8" l="1"/>
  <c r="O39" i="3"/>
  <c r="N30" i="4"/>
  <c r="N39" i="3"/>
  <c r="N24" i="8"/>
  <c r="N41" i="4"/>
  <c r="N62" i="4"/>
  <c r="Y200" i="23"/>
  <c r="X200" i="23"/>
  <c r="M55" i="17" l="1"/>
  <c r="R51" i="23" l="1"/>
  <c r="S35" i="23"/>
  <c r="R35" i="23"/>
  <c r="P35" i="23"/>
  <c r="O35" i="23"/>
  <c r="M35" i="23"/>
  <c r="L35" i="23"/>
  <c r="S30" i="23"/>
  <c r="R30" i="23"/>
  <c r="P30" i="23"/>
  <c r="O30" i="23"/>
  <c r="M30" i="23"/>
  <c r="L30" i="23"/>
  <c r="J30" i="23"/>
  <c r="I30" i="23"/>
  <c r="G30" i="23"/>
  <c r="F30" i="23"/>
  <c r="S26" i="23"/>
  <c r="S25" i="23"/>
  <c r="S24" i="23"/>
  <c r="R26" i="23"/>
  <c r="R25" i="23"/>
  <c r="R24" i="23"/>
  <c r="P26" i="23"/>
  <c r="P25" i="23"/>
  <c r="P24" i="23"/>
  <c r="O26" i="23"/>
  <c r="O25" i="23"/>
  <c r="O24" i="23"/>
  <c r="M26" i="23"/>
  <c r="M25" i="23"/>
  <c r="M24" i="23"/>
  <c r="L26" i="23"/>
  <c r="L25" i="23"/>
  <c r="L24" i="23"/>
  <c r="J26" i="23"/>
  <c r="J25" i="23"/>
  <c r="J24" i="23"/>
  <c r="I26" i="23"/>
  <c r="I25" i="23"/>
  <c r="I24" i="23"/>
  <c r="G26" i="23"/>
  <c r="G25" i="23"/>
  <c r="G24" i="23"/>
  <c r="F26" i="23" l="1"/>
  <c r="F25" i="23"/>
  <c r="F24" i="23"/>
  <c r="AE74" i="23" l="1"/>
  <c r="AD74" i="23"/>
  <c r="AB74" i="23"/>
  <c r="AA74" i="23"/>
  <c r="Y61" i="23"/>
  <c r="X61" i="23"/>
  <c r="V46" i="23"/>
  <c r="U46" i="23"/>
  <c r="R46" i="23"/>
  <c r="B8" i="15" l="1"/>
  <c r="B9" i="15" s="1"/>
  <c r="B10" i="15" s="1"/>
  <c r="B11" i="15" s="1"/>
  <c r="B12" i="15" s="1"/>
  <c r="B13" i="15" s="1"/>
  <c r="B14" i="15" s="1"/>
  <c r="B15" i="15" s="1"/>
  <c r="B16" i="15" s="1"/>
  <c r="B17" i="15" s="1"/>
  <c r="B18" i="15" s="1"/>
  <c r="B19" i="15" s="1"/>
  <c r="B20" i="15" s="1"/>
  <c r="B21" i="15" s="1"/>
  <c r="B22" i="15" s="1"/>
  <c r="B23" i="15" s="1"/>
  <c r="B24" i="15" s="1"/>
  <c r="B25" i="15" s="1"/>
  <c r="B26" i="15" s="1"/>
  <c r="A8" i="15"/>
  <c r="A9" i="15" s="1"/>
  <c r="A10" i="15" s="1"/>
  <c r="A11" i="15" s="1"/>
  <c r="A12" i="15" s="1"/>
  <c r="A13" i="15" s="1"/>
  <c r="A14" i="15" s="1"/>
  <c r="A15" i="15" s="1"/>
  <c r="A16" i="15" s="1"/>
  <c r="A17" i="15" s="1"/>
  <c r="A18" i="15" s="1"/>
  <c r="A19" i="15" s="1"/>
  <c r="A20" i="15" s="1"/>
  <c r="A21" i="15" s="1"/>
  <c r="A22" i="15" s="1"/>
  <c r="A23" i="15" s="1"/>
  <c r="A24" i="15" s="1"/>
  <c r="A25" i="15" s="1"/>
  <c r="A26" i="15" s="1"/>
  <c r="AE76" i="23" l="1"/>
  <c r="AD76" i="23"/>
  <c r="AE75" i="23"/>
  <c r="AD75" i="23"/>
  <c r="AD73" i="23"/>
  <c r="AE73" i="23" s="1"/>
  <c r="AB76" i="23"/>
  <c r="AA76" i="23"/>
  <c r="AB75" i="23"/>
  <c r="AA75" i="23"/>
  <c r="AA73" i="23"/>
  <c r="AB73" i="23" s="1"/>
  <c r="E13" i="7" l="1"/>
  <c r="F13" i="7"/>
  <c r="G13" i="7"/>
  <c r="H13" i="7"/>
  <c r="I13" i="7"/>
  <c r="J13" i="7"/>
  <c r="K13" i="7"/>
  <c r="AD233" i="23" l="1"/>
  <c r="AA233" i="23"/>
  <c r="AA236" i="23" s="1"/>
  <c r="X233" i="23"/>
  <c r="X236" i="23" s="1"/>
  <c r="S34" i="23"/>
  <c r="R34" i="23"/>
  <c r="P34" i="23"/>
  <c r="O34" i="23"/>
  <c r="M34" i="23"/>
  <c r="L34" i="23"/>
  <c r="J34" i="23"/>
  <c r="I34" i="23"/>
  <c r="G34" i="23"/>
  <c r="AD202" i="23"/>
  <c r="AE202" i="23" s="1"/>
  <c r="AA202" i="23"/>
  <c r="AB202" i="23" s="1"/>
  <c r="X202" i="23"/>
  <c r="Y202" i="23" s="1"/>
  <c r="V200" i="23"/>
  <c r="U200" i="23"/>
  <c r="AE199" i="23"/>
  <c r="AD199" i="23"/>
  <c r="AB199" i="23"/>
  <c r="AA199" i="23"/>
  <c r="Y199" i="23"/>
  <c r="X199" i="23"/>
  <c r="V199" i="23"/>
  <c r="U199" i="23"/>
  <c r="V191" i="23"/>
  <c r="V49" i="23" s="1"/>
  <c r="AE175" i="23"/>
  <c r="AD175" i="23"/>
  <c r="AD77" i="23" s="1"/>
  <c r="AB175" i="23"/>
  <c r="AB77" i="23" s="1"/>
  <c r="AA175" i="23"/>
  <c r="AA77" i="23" s="1"/>
  <c r="Y175" i="23"/>
  <c r="X175" i="23"/>
  <c r="V175" i="23"/>
  <c r="V48" i="23" s="1"/>
  <c r="AE155" i="23"/>
  <c r="AD155" i="23"/>
  <c r="AB155" i="23"/>
  <c r="AA155" i="23"/>
  <c r="Y155" i="23"/>
  <c r="AE154" i="23"/>
  <c r="AD154" i="23"/>
  <c r="AB154" i="23"/>
  <c r="AA154" i="23"/>
  <c r="Y154" i="23"/>
  <c r="X154" i="23"/>
  <c r="V155" i="23"/>
  <c r="AE132" i="23"/>
  <c r="AD132" i="23"/>
  <c r="AB132" i="23"/>
  <c r="AA132" i="23"/>
  <c r="Y132" i="23"/>
  <c r="AE131" i="23"/>
  <c r="AE138" i="23" s="1"/>
  <c r="AD131" i="23"/>
  <c r="AB131" i="23"/>
  <c r="AA131" i="23"/>
  <c r="AA138" i="23" s="1"/>
  <c r="Y131" i="23"/>
  <c r="Y138" i="23" s="1"/>
  <c r="S32" i="23"/>
  <c r="R32" i="23"/>
  <c r="P32" i="23"/>
  <c r="O32" i="23"/>
  <c r="M32" i="23"/>
  <c r="L32" i="23"/>
  <c r="J32" i="23"/>
  <c r="I32" i="23"/>
  <c r="G32" i="23"/>
  <c r="F32" i="23"/>
  <c r="S28" i="23"/>
  <c r="R28" i="23"/>
  <c r="P28" i="23"/>
  <c r="O28" i="23"/>
  <c r="M28" i="23"/>
  <c r="L28" i="23"/>
  <c r="J28" i="23"/>
  <c r="I28" i="23"/>
  <c r="G28" i="23"/>
  <c r="F28" i="23"/>
  <c r="G118" i="23"/>
  <c r="Y62" i="23"/>
  <c r="X62" i="23"/>
  <c r="X132" i="23"/>
  <c r="X131" i="23"/>
  <c r="R49" i="23"/>
  <c r="R48" i="23"/>
  <c r="R47" i="23"/>
  <c r="V132" i="23"/>
  <c r="U132" i="23"/>
  <c r="U131" i="23"/>
  <c r="U138" i="23" s="1"/>
  <c r="R117" i="23"/>
  <c r="P117" i="23"/>
  <c r="O117" i="23"/>
  <c r="M117" i="23"/>
  <c r="L117" i="23"/>
  <c r="J117" i="23"/>
  <c r="I117" i="23"/>
  <c r="F117" i="23"/>
  <c r="S116" i="23"/>
  <c r="O116" i="23"/>
  <c r="M116" i="23"/>
  <c r="J116" i="23"/>
  <c r="G116" i="23"/>
  <c r="AD138" i="23" l="1"/>
  <c r="X138" i="23"/>
  <c r="AB138" i="23"/>
  <c r="Y63" i="23"/>
  <c r="AE77" i="23"/>
  <c r="X63" i="23"/>
  <c r="U175" i="23"/>
  <c r="U48" i="23" s="1"/>
  <c r="X60" i="23"/>
  <c r="Y60" i="23" s="1"/>
  <c r="F27" i="23"/>
  <c r="G27" i="23" s="1"/>
  <c r="M126" i="23"/>
  <c r="M92" i="23" s="1"/>
  <c r="O126" i="23"/>
  <c r="O92" i="23" s="1"/>
  <c r="I147" i="23"/>
  <c r="I154" i="23" s="1"/>
  <c r="O147" i="23"/>
  <c r="O155" i="23" s="1"/>
  <c r="L147" i="23"/>
  <c r="L155" i="23" s="1"/>
  <c r="O27" i="23"/>
  <c r="P27" i="23" s="1"/>
  <c r="L27" i="23"/>
  <c r="M27" i="23" s="1"/>
  <c r="J126" i="23"/>
  <c r="U100" i="23"/>
  <c r="J147" i="23"/>
  <c r="J155" i="23" s="1"/>
  <c r="P147" i="23"/>
  <c r="P154" i="23" s="1"/>
  <c r="I27" i="23"/>
  <c r="J27" i="23" s="1"/>
  <c r="R45" i="23"/>
  <c r="U191" i="23"/>
  <c r="U49" i="23" s="1"/>
  <c r="V154" i="23"/>
  <c r="P116" i="23"/>
  <c r="P126" i="23" s="1"/>
  <c r="G117" i="23"/>
  <c r="G126" i="23" s="1"/>
  <c r="S117" i="23"/>
  <c r="S126" i="23" s="1"/>
  <c r="I116" i="23"/>
  <c r="I126" i="23" s="1"/>
  <c r="F147" i="23"/>
  <c r="R147" i="23"/>
  <c r="F116" i="23"/>
  <c r="F126" i="23" s="1"/>
  <c r="L116" i="23"/>
  <c r="L126" i="23" s="1"/>
  <c r="R27" i="23"/>
  <c r="S27" i="23" s="1"/>
  <c r="V131" i="23"/>
  <c r="V138" i="23" s="1"/>
  <c r="R116" i="23"/>
  <c r="R126" i="23" s="1"/>
  <c r="U155" i="23"/>
  <c r="U154" i="23"/>
  <c r="U45" i="23"/>
  <c r="V45" i="23" s="1"/>
  <c r="AD236" i="23"/>
  <c r="G147" i="23"/>
  <c r="M147" i="23"/>
  <c r="S147" i="23"/>
  <c r="X155" i="23"/>
  <c r="F29" i="4"/>
  <c r="L154" i="23" l="1"/>
  <c r="J154" i="23"/>
  <c r="P155" i="23"/>
  <c r="P91" i="23" s="1"/>
  <c r="I155" i="23"/>
  <c r="I90" i="23" s="1"/>
  <c r="J91" i="23"/>
  <c r="O154" i="23"/>
  <c r="J92" i="23"/>
  <c r="O90" i="23"/>
  <c r="O91" i="23"/>
  <c r="J93" i="23"/>
  <c r="U99" i="23"/>
  <c r="J90" i="23"/>
  <c r="O93" i="23"/>
  <c r="G92" i="23"/>
  <c r="S92" i="23"/>
  <c r="L92" i="23"/>
  <c r="L91" i="23"/>
  <c r="L93" i="23"/>
  <c r="L90" i="23"/>
  <c r="R154" i="23"/>
  <c r="R155" i="23"/>
  <c r="S155" i="23"/>
  <c r="S154" i="23"/>
  <c r="R92" i="23"/>
  <c r="F154" i="23"/>
  <c r="F155" i="23"/>
  <c r="U101" i="23"/>
  <c r="M154" i="23"/>
  <c r="M155" i="23"/>
  <c r="F92" i="23"/>
  <c r="I92" i="23"/>
  <c r="P92" i="23"/>
  <c r="U98" i="23"/>
  <c r="G155" i="23"/>
  <c r="G154" i="23"/>
  <c r="K68" i="8"/>
  <c r="S90" i="23" l="1"/>
  <c r="R90" i="23"/>
  <c r="P93" i="23"/>
  <c r="P90" i="23"/>
  <c r="I91" i="23"/>
  <c r="I93" i="23"/>
  <c r="J95" i="23"/>
  <c r="J29" i="23" s="1"/>
  <c r="G91" i="23"/>
  <c r="O95" i="23"/>
  <c r="O29" i="23" s="1"/>
  <c r="U103" i="23"/>
  <c r="U47" i="23" s="1"/>
  <c r="F93" i="23"/>
  <c r="G90" i="23"/>
  <c r="R91" i="23"/>
  <c r="F91" i="23"/>
  <c r="R93" i="23"/>
  <c r="M90" i="23"/>
  <c r="M93" i="23"/>
  <c r="M91" i="23"/>
  <c r="S91" i="23"/>
  <c r="F90" i="23"/>
  <c r="S93" i="23"/>
  <c r="G93" i="23"/>
  <c r="L95" i="23"/>
  <c r="L29" i="23" s="1"/>
  <c r="P95" i="23" l="1"/>
  <c r="P29" i="23" s="1"/>
  <c r="I95" i="23"/>
  <c r="I29" i="23" s="1"/>
  <c r="R95" i="23"/>
  <c r="R29" i="23" s="1"/>
  <c r="S95" i="23"/>
  <c r="S29" i="23" s="1"/>
  <c r="F95" i="23"/>
  <c r="F29" i="23" s="1"/>
  <c r="G95" i="23"/>
  <c r="G29" i="23" s="1"/>
  <c r="M95" i="23"/>
  <c r="M29" i="23" s="1"/>
  <c r="J68" i="8" l="1"/>
  <c r="F22" i="6" l="1"/>
  <c r="G22" i="6"/>
  <c r="H22" i="6"/>
  <c r="I22" i="6"/>
  <c r="J22" i="6"/>
  <c r="K22" i="6"/>
  <c r="F23" i="6"/>
  <c r="G23" i="6"/>
  <c r="H23" i="6"/>
  <c r="I23" i="6"/>
  <c r="J23" i="6"/>
  <c r="F24" i="6"/>
  <c r="G24" i="6"/>
  <c r="H24" i="6"/>
  <c r="I24" i="6"/>
  <c r="J24" i="6"/>
  <c r="K24" i="6"/>
  <c r="F25" i="6"/>
  <c r="G25" i="6"/>
  <c r="H25" i="6"/>
  <c r="I25" i="6"/>
  <c r="J25" i="6"/>
  <c r="K25" i="6"/>
  <c r="L25" i="6" l="1"/>
  <c r="M25" i="6"/>
  <c r="J29" i="4" l="1"/>
  <c r="A3" i="15"/>
  <c r="J95" i="8"/>
  <c r="N13" i="7" l="1"/>
  <c r="N14" i="7"/>
  <c r="M9" i="7"/>
  <c r="F40" i="2"/>
  <c r="G40" i="2"/>
  <c r="H40" i="2"/>
  <c r="I40" i="2"/>
  <c r="J40" i="2"/>
  <c r="K40" i="2"/>
  <c r="L40" i="2"/>
  <c r="M40" i="2"/>
  <c r="O13" i="7" l="1"/>
  <c r="M19" i="4" l="1"/>
  <c r="M20" i="4"/>
  <c r="L19" i="4"/>
  <c r="L20" i="4"/>
  <c r="M16" i="4"/>
  <c r="L16" i="4"/>
  <c r="M12" i="8"/>
  <c r="K85" i="8" l="1"/>
  <c r="M80" i="8" s="1"/>
  <c r="J85" i="8"/>
  <c r="K84" i="8" s="1"/>
  <c r="M81" i="8" s="1"/>
  <c r="M82" i="8" l="1"/>
  <c r="H100" i="8"/>
  <c r="J93" i="8"/>
  <c r="O102" i="8" l="1"/>
  <c r="N102" i="8"/>
  <c r="G60" i="17"/>
  <c r="H60" i="17"/>
  <c r="I60" i="17"/>
  <c r="J60" i="17"/>
  <c r="K60" i="17"/>
  <c r="L60" i="17"/>
  <c r="M60" i="17"/>
  <c r="F60" i="17"/>
  <c r="L55" i="17"/>
  <c r="K55" i="17"/>
  <c r="J55" i="17"/>
  <c r="I55" i="17"/>
  <c r="H55" i="17"/>
  <c r="G55" i="17"/>
  <c r="F55" i="17"/>
  <c r="K56" i="8" l="1"/>
  <c r="G53" i="11" l="1"/>
  <c r="M17" i="2"/>
  <c r="L17" i="2"/>
  <c r="M16" i="2"/>
  <c r="L16" i="2"/>
  <c r="M64" i="18"/>
  <c r="F102" i="5"/>
  <c r="F75" i="5"/>
  <c r="J100" i="8" l="1"/>
  <c r="M85" i="8" l="1"/>
  <c r="O80" i="8" s="1"/>
  <c r="L85" i="8"/>
  <c r="N80" i="8" s="1"/>
  <c r="M76" i="8"/>
  <c r="L76" i="8"/>
  <c r="K76" i="8"/>
  <c r="J76" i="8"/>
  <c r="M74" i="8"/>
  <c r="M71" i="8" s="1"/>
  <c r="L74" i="8"/>
  <c r="K74" i="8"/>
  <c r="J74" i="8"/>
  <c r="M66" i="8" l="1"/>
  <c r="O68" i="8" s="1"/>
  <c r="O57" i="8" s="1"/>
  <c r="O60" i="8" s="1"/>
  <c r="O11" i="8" s="1"/>
  <c r="E7" i="24" s="1"/>
  <c r="L71" i="8"/>
  <c r="L66" i="8" s="1"/>
  <c r="N68" i="8" s="1"/>
  <c r="N57" i="8" s="1"/>
  <c r="J72" i="8"/>
  <c r="J67" i="8" s="1"/>
  <c r="L68" i="8" s="1"/>
  <c r="K71" i="8"/>
  <c r="K66" i="8" s="1"/>
  <c r="M68" i="8" s="1"/>
  <c r="M57" i="8" s="1"/>
  <c r="M84" i="8"/>
  <c r="O81" i="8" s="1"/>
  <c r="O82" i="8" s="1"/>
  <c r="O58" i="8" s="1"/>
  <c r="L84" i="8"/>
  <c r="N81" i="8" s="1"/>
  <c r="N82" i="8" s="1"/>
  <c r="N58" i="8" s="1"/>
  <c r="H104" i="8" l="1"/>
  <c r="L100" i="8"/>
  <c r="K100" i="8"/>
  <c r="I100" i="8"/>
  <c r="H97" i="8"/>
  <c r="M93" i="8"/>
  <c r="L93" i="8"/>
  <c r="K93" i="8"/>
  <c r="N96" i="8" l="1"/>
  <c r="O94" i="8"/>
  <c r="O96" i="8"/>
  <c r="O98" i="8" s="1"/>
  <c r="O89" i="8" s="1"/>
  <c r="N94" i="8"/>
  <c r="N98" i="8" s="1"/>
  <c r="N89" i="8" s="1"/>
  <c r="N103" i="8"/>
  <c r="N105" i="8" s="1"/>
  <c r="N90" i="8" s="1"/>
  <c r="N101" i="8"/>
  <c r="O101" i="8"/>
  <c r="O103" i="8"/>
  <c r="O105" i="8" s="1"/>
  <c r="O90" i="8" s="1"/>
  <c r="I102" i="8"/>
  <c r="M95" i="8"/>
  <c r="M102" i="8"/>
  <c r="L95" i="8"/>
  <c r="J102" i="8"/>
  <c r="L102" i="8"/>
  <c r="I95" i="8"/>
  <c r="K95" i="8"/>
  <c r="K102" i="8"/>
  <c r="N91" i="8" l="1"/>
  <c r="N59" i="8" s="1"/>
  <c r="N60" i="8" s="1"/>
  <c r="N11" i="8" s="1"/>
  <c r="D7" i="24" s="1"/>
  <c r="O91" i="8"/>
  <c r="O59" i="8" s="1"/>
  <c r="M103" i="8"/>
  <c r="M101" i="8"/>
  <c r="I103" i="8"/>
  <c r="I101" i="8"/>
  <c r="L103" i="8"/>
  <c r="L105" i="8" s="1"/>
  <c r="L101" i="8"/>
  <c r="J101" i="8"/>
  <c r="J103" i="8"/>
  <c r="K101" i="8"/>
  <c r="K103" i="8"/>
  <c r="K105" i="8" s="1"/>
  <c r="J96" i="8"/>
  <c r="J94" i="8"/>
  <c r="K96" i="8"/>
  <c r="K94" i="8"/>
  <c r="L94" i="8"/>
  <c r="L96" i="8"/>
  <c r="M96" i="8"/>
  <c r="M89" i="8" s="1"/>
  <c r="M94" i="8"/>
  <c r="I96" i="8"/>
  <c r="I94" i="8"/>
  <c r="L98" i="8" l="1"/>
  <c r="L89" i="8" s="1"/>
  <c r="J105" i="8"/>
  <c r="J90" i="8" s="1"/>
  <c r="M90" i="8"/>
  <c r="K90" i="8"/>
  <c r="L90" i="8"/>
  <c r="J91" i="8" l="1"/>
  <c r="J59" i="8" s="1"/>
  <c r="I68" i="8"/>
  <c r="I57" i="8" s="1"/>
  <c r="J57" i="8"/>
  <c r="L57" i="8"/>
  <c r="H56" i="8"/>
  <c r="L56" i="8"/>
  <c r="M56" i="8"/>
  <c r="G58" i="8"/>
  <c r="H58" i="8"/>
  <c r="I58" i="8"/>
  <c r="J58" i="8"/>
  <c r="K58" i="8"/>
  <c r="L58" i="8"/>
  <c r="M58" i="8"/>
  <c r="F58" i="8"/>
  <c r="G59" i="8"/>
  <c r="H59" i="8"/>
  <c r="I59" i="8"/>
  <c r="K91" i="8"/>
  <c r="K59" i="8" s="1"/>
  <c r="L91" i="8"/>
  <c r="L59" i="8" s="1"/>
  <c r="M91" i="8"/>
  <c r="M59" i="8" s="1"/>
  <c r="K57" i="8"/>
  <c r="G57" i="8"/>
  <c r="F57" i="8"/>
  <c r="J56" i="8"/>
  <c r="M60" i="8" l="1"/>
  <c r="M11" i="8" s="1"/>
  <c r="I56" i="8"/>
  <c r="I60" i="8" s="1"/>
  <c r="I11" i="8" s="1"/>
  <c r="G56" i="8"/>
  <c r="G60" i="8" s="1"/>
  <c r="G11" i="8" s="1"/>
  <c r="F59" i="8"/>
  <c r="H68" i="8"/>
  <c r="H57" i="8" s="1"/>
  <c r="H60" i="8" s="1"/>
  <c r="H37" i="8" s="1"/>
  <c r="F56" i="8"/>
  <c r="J60" i="8"/>
  <c r="J37" i="8" s="1"/>
  <c r="L60" i="8"/>
  <c r="L37" i="8" s="1"/>
  <c r="K60" i="8"/>
  <c r="K11" i="8" s="1"/>
  <c r="F60" i="8" l="1"/>
  <c r="F37" i="8" s="1"/>
  <c r="J11" i="8"/>
  <c r="H11" i="8"/>
  <c r="G37" i="8"/>
  <c r="L11" i="8"/>
  <c r="K37" i="8"/>
  <c r="I37" i="8"/>
  <c r="M37" i="8"/>
  <c r="F11" i="8"/>
  <c r="G78" i="5" l="1"/>
  <c r="H78" i="5"/>
  <c r="F78" i="5"/>
  <c r="J53" i="16"/>
  <c r="J78" i="5" s="1"/>
  <c r="K53" i="16"/>
  <c r="K78" i="5" s="1"/>
  <c r="L53" i="16"/>
  <c r="L78" i="5" s="1"/>
  <c r="M53" i="16"/>
  <c r="M78" i="5" s="1"/>
  <c r="I53" i="16"/>
  <c r="I78" i="5" s="1"/>
  <c r="F119" i="5" l="1"/>
  <c r="G119" i="5"/>
  <c r="H119" i="5"/>
  <c r="I119" i="5"/>
  <c r="J119" i="5"/>
  <c r="K119" i="5"/>
  <c r="L119" i="5"/>
  <c r="M119" i="5"/>
  <c r="E30" i="3" l="1"/>
  <c r="H56" i="18" l="1"/>
  <c r="E10" i="17" l="1"/>
  <c r="E19" i="3" s="1"/>
  <c r="M152" i="5" l="1"/>
  <c r="L152" i="5"/>
  <c r="K152" i="5"/>
  <c r="J152" i="5"/>
  <c r="I152" i="5"/>
  <c r="H152" i="5"/>
  <c r="G152" i="5"/>
  <c r="M151" i="5"/>
  <c r="L151" i="5"/>
  <c r="K151" i="5"/>
  <c r="J151" i="5"/>
  <c r="I151" i="5"/>
  <c r="H151" i="5"/>
  <c r="G151" i="5"/>
  <c r="M149" i="5"/>
  <c r="L149" i="5"/>
  <c r="K149" i="5"/>
  <c r="J149" i="5"/>
  <c r="I149" i="5"/>
  <c r="H149" i="5"/>
  <c r="G149" i="5"/>
  <c r="M148" i="5"/>
  <c r="L148" i="5"/>
  <c r="K148" i="5"/>
  <c r="J148" i="5"/>
  <c r="I148" i="5"/>
  <c r="H148" i="5"/>
  <c r="G148" i="5"/>
  <c r="F152" i="5"/>
  <c r="F151" i="5"/>
  <c r="F150" i="5"/>
  <c r="F149" i="5"/>
  <c r="F148" i="5"/>
  <c r="F153" i="5" l="1"/>
  <c r="G147" i="5"/>
  <c r="G150" i="5" s="1"/>
  <c r="G153" i="5" s="1"/>
  <c r="F21" i="3"/>
  <c r="H147" i="5" l="1"/>
  <c r="H150" i="5" s="1"/>
  <c r="H153" i="5" s="1"/>
  <c r="V42" i="21"/>
  <c r="V9" i="21" s="1"/>
  <c r="U42" i="21"/>
  <c r="U9" i="21" s="1"/>
  <c r="S42" i="21"/>
  <c r="S9" i="21" s="1"/>
  <c r="R42" i="21"/>
  <c r="R9" i="21" s="1"/>
  <c r="P42" i="21"/>
  <c r="P9" i="21" s="1"/>
  <c r="O42" i="21"/>
  <c r="O9" i="21" s="1"/>
  <c r="M42" i="21"/>
  <c r="M9" i="21" s="1"/>
  <c r="L42" i="21"/>
  <c r="L9" i="21" s="1"/>
  <c r="V32" i="21"/>
  <c r="V8" i="21" s="1"/>
  <c r="U32" i="21"/>
  <c r="U8" i="21" s="1"/>
  <c r="S32" i="21"/>
  <c r="S8" i="21" s="1"/>
  <c r="R32" i="21"/>
  <c r="R8" i="21" s="1"/>
  <c r="P32" i="21"/>
  <c r="P8" i="21" s="1"/>
  <c r="O32" i="21"/>
  <c r="O8" i="21" s="1"/>
  <c r="L32" i="21"/>
  <c r="L8" i="21" s="1"/>
  <c r="M32" i="21"/>
  <c r="M8" i="21" s="1"/>
  <c r="V21" i="21"/>
  <c r="V7" i="21" s="1"/>
  <c r="U21" i="21"/>
  <c r="U7" i="21" s="1"/>
  <c r="S21" i="21"/>
  <c r="S7" i="21" s="1"/>
  <c r="R21" i="21"/>
  <c r="R7" i="21" s="1"/>
  <c r="P21" i="21"/>
  <c r="P7" i="21" s="1"/>
  <c r="O21" i="21"/>
  <c r="O7" i="21" s="1"/>
  <c r="L21" i="21"/>
  <c r="L7" i="21" s="1"/>
  <c r="M21" i="21"/>
  <c r="M7" i="21" s="1"/>
  <c r="A3" i="21"/>
  <c r="A2" i="21"/>
  <c r="F38" i="8"/>
  <c r="M36" i="8"/>
  <c r="L36" i="8"/>
  <c r="K36" i="8"/>
  <c r="J36" i="8"/>
  <c r="I36" i="8"/>
  <c r="H36" i="8"/>
  <c r="G36" i="8"/>
  <c r="F36" i="8"/>
  <c r="M35" i="8"/>
  <c r="L35" i="8"/>
  <c r="K35" i="8"/>
  <c r="J35" i="8"/>
  <c r="I35" i="8"/>
  <c r="H35" i="8"/>
  <c r="G35" i="8"/>
  <c r="F35" i="8"/>
  <c r="M34" i="8"/>
  <c r="L34" i="8"/>
  <c r="K34" i="8"/>
  <c r="J34" i="8"/>
  <c r="I34" i="8"/>
  <c r="H34" i="8"/>
  <c r="G34" i="8"/>
  <c r="F34" i="8"/>
  <c r="M33" i="8"/>
  <c r="L33" i="8"/>
  <c r="K33" i="8"/>
  <c r="J33" i="8"/>
  <c r="I33" i="8"/>
  <c r="H33" i="8"/>
  <c r="G33" i="8"/>
  <c r="F33" i="8"/>
  <c r="R10" i="21" l="1"/>
  <c r="S10" i="21"/>
  <c r="P10" i="21"/>
  <c r="L10" i="21"/>
  <c r="I147" i="5"/>
  <c r="I150" i="5" s="1"/>
  <c r="I153" i="5" s="1"/>
  <c r="O10" i="21"/>
  <c r="F39" i="8"/>
  <c r="F23" i="8" s="1"/>
  <c r="M10" i="21"/>
  <c r="J147" i="5" l="1"/>
  <c r="J150" i="5" s="1"/>
  <c r="K147" i="5" s="1"/>
  <c r="K150" i="5" s="1"/>
  <c r="J153" i="5" l="1"/>
  <c r="K153" i="5"/>
  <c r="L147" i="5"/>
  <c r="L150" i="5" s="1"/>
  <c r="M147" i="5" l="1"/>
  <c r="M150" i="5" s="1"/>
  <c r="M153" i="5" s="1"/>
  <c r="L153" i="5"/>
  <c r="M27" i="3"/>
  <c r="L27" i="3"/>
  <c r="L26" i="3"/>
  <c r="K26" i="3"/>
  <c r="K25" i="3"/>
  <c r="J25" i="3"/>
  <c r="J24" i="3"/>
  <c r="I24" i="3"/>
  <c r="I23" i="3"/>
  <c r="H22" i="3"/>
  <c r="H23" i="3"/>
  <c r="E20" i="3"/>
  <c r="F20" i="3"/>
  <c r="G21" i="3"/>
  <c r="G22" i="3"/>
  <c r="F9" i="3" l="1"/>
  <c r="F10" i="17" l="1"/>
  <c r="F19" i="3" s="1"/>
  <c r="G10" i="17"/>
  <c r="G19" i="3" s="1"/>
  <c r="H10" i="17"/>
  <c r="H19" i="3" s="1"/>
  <c r="I10" i="17"/>
  <c r="I19" i="3" s="1"/>
  <c r="J10" i="17"/>
  <c r="J19" i="3" s="1"/>
  <c r="K10" i="17"/>
  <c r="K19" i="3" s="1"/>
  <c r="L10" i="17"/>
  <c r="L19" i="3" s="1"/>
  <c r="M10" i="17"/>
  <c r="M19" i="3" s="1"/>
  <c r="D10" i="17"/>
  <c r="D19" i="3" s="1"/>
  <c r="F38" i="5" l="1"/>
  <c r="F94" i="5"/>
  <c r="E61" i="4"/>
  <c r="E59" i="4"/>
  <c r="E49" i="4"/>
  <c r="F37" i="18" l="1"/>
  <c r="G37" i="18"/>
  <c r="H37" i="18"/>
  <c r="I37" i="18"/>
  <c r="J37" i="18"/>
  <c r="K37" i="18"/>
  <c r="L37" i="18"/>
  <c r="M37" i="18"/>
  <c r="E37" i="18"/>
  <c r="F32" i="18"/>
  <c r="G32" i="18"/>
  <c r="H32" i="18"/>
  <c r="I32" i="18"/>
  <c r="J32" i="18"/>
  <c r="K32" i="18"/>
  <c r="L32" i="18"/>
  <c r="M32" i="18"/>
  <c r="E32" i="18"/>
  <c r="F31" i="18"/>
  <c r="G31" i="18"/>
  <c r="H31" i="18"/>
  <c r="I31" i="18"/>
  <c r="J31" i="18"/>
  <c r="K31" i="18"/>
  <c r="L31" i="18"/>
  <c r="M31" i="18"/>
  <c r="E31" i="18"/>
  <c r="F21" i="18"/>
  <c r="G21" i="18"/>
  <c r="H21" i="18"/>
  <c r="I21" i="18"/>
  <c r="J21" i="18"/>
  <c r="K21" i="18"/>
  <c r="L21" i="18"/>
  <c r="M21" i="18"/>
  <c r="E21" i="18"/>
  <c r="F14" i="18"/>
  <c r="G14" i="18"/>
  <c r="H14" i="18"/>
  <c r="I14" i="18"/>
  <c r="J14" i="18"/>
  <c r="K14" i="18"/>
  <c r="L14" i="18"/>
  <c r="M14" i="18"/>
  <c r="E14" i="18"/>
  <c r="F13" i="18"/>
  <c r="G13" i="18"/>
  <c r="H13" i="18"/>
  <c r="I13" i="18"/>
  <c r="J13" i="18"/>
  <c r="K13" i="18"/>
  <c r="L13" i="18"/>
  <c r="M13" i="18"/>
  <c r="E13" i="18"/>
  <c r="M14" i="7" l="1"/>
  <c r="L14" i="7"/>
  <c r="K14" i="7"/>
  <c r="J14" i="7"/>
  <c r="I14" i="7"/>
  <c r="H14" i="7"/>
  <c r="G14" i="7"/>
  <c r="F14" i="7"/>
  <c r="E14" i="7"/>
  <c r="L9" i="7"/>
  <c r="I11" i="10"/>
  <c r="F118" i="5"/>
  <c r="G93" i="5"/>
  <c r="H93" i="5"/>
  <c r="I93" i="5"/>
  <c r="J93" i="5"/>
  <c r="K93" i="5"/>
  <c r="L93" i="5"/>
  <c r="M93" i="5"/>
  <c r="F93" i="5"/>
  <c r="G92" i="5"/>
  <c r="H92" i="5"/>
  <c r="I92" i="5"/>
  <c r="J92" i="5"/>
  <c r="K92" i="5"/>
  <c r="L92" i="5"/>
  <c r="M92" i="5"/>
  <c r="F92" i="5"/>
  <c r="G91" i="5"/>
  <c r="H91" i="5"/>
  <c r="I91" i="5"/>
  <c r="J91" i="5"/>
  <c r="K91" i="5"/>
  <c r="L91" i="5"/>
  <c r="M91" i="5"/>
  <c r="F91" i="5"/>
  <c r="G90" i="5"/>
  <c r="H90" i="5"/>
  <c r="I90" i="5"/>
  <c r="J90" i="5"/>
  <c r="K90" i="5"/>
  <c r="L90" i="5"/>
  <c r="M90" i="5"/>
  <c r="F90" i="5"/>
  <c r="G89" i="5"/>
  <c r="H89" i="5"/>
  <c r="I89" i="5"/>
  <c r="J89" i="5"/>
  <c r="K89" i="5"/>
  <c r="L89" i="5"/>
  <c r="M89" i="5"/>
  <c r="F89" i="5"/>
  <c r="G11" i="5"/>
  <c r="F11" i="5"/>
  <c r="G10" i="5"/>
  <c r="F10" i="5"/>
  <c r="G9" i="5"/>
  <c r="G29" i="4"/>
  <c r="H29" i="4"/>
  <c r="I29" i="4"/>
  <c r="K29" i="4"/>
  <c r="L29" i="4"/>
  <c r="M29" i="4"/>
  <c r="G27" i="4"/>
  <c r="H27" i="4"/>
  <c r="I27" i="4"/>
  <c r="J27" i="4"/>
  <c r="K27" i="4"/>
  <c r="L27" i="4"/>
  <c r="M27" i="4"/>
  <c r="F27" i="4"/>
  <c r="F16" i="7" l="1"/>
  <c r="F116" i="5" l="1"/>
  <c r="F17" i="7"/>
  <c r="G116" i="5" l="1"/>
  <c r="F15" i="8"/>
  <c r="G14" i="8"/>
  <c r="H14" i="8"/>
  <c r="I14" i="8"/>
  <c r="J14" i="8"/>
  <c r="K14" i="8"/>
  <c r="L14" i="8"/>
  <c r="M14" i="8"/>
  <c r="F14" i="8"/>
  <c r="G13" i="8"/>
  <c r="H13" i="8"/>
  <c r="I13" i="8"/>
  <c r="J13" i="8"/>
  <c r="K13" i="8"/>
  <c r="L13" i="8"/>
  <c r="M13" i="8"/>
  <c r="F13" i="8"/>
  <c r="H116" i="5" l="1"/>
  <c r="I116" i="5" l="1"/>
  <c r="E60" i="4"/>
  <c r="E50" i="4"/>
  <c r="E26" i="8"/>
  <c r="F46" i="5"/>
  <c r="F47" i="5"/>
  <c r="F45" i="5"/>
  <c r="F44" i="5"/>
  <c r="F43" i="5"/>
  <c r="F42" i="5"/>
  <c r="J116" i="5" l="1"/>
  <c r="F50" i="5"/>
  <c r="E53" i="18"/>
  <c r="K116" i="5" l="1"/>
  <c r="F52" i="5"/>
  <c r="F21" i="5" s="1"/>
  <c r="F32" i="5" s="1"/>
  <c r="F9" i="5" s="1"/>
  <c r="F36" i="18"/>
  <c r="G36" i="18"/>
  <c r="H36" i="18"/>
  <c r="I36" i="18"/>
  <c r="J36" i="18"/>
  <c r="K36" i="18"/>
  <c r="L36" i="18"/>
  <c r="M36" i="18"/>
  <c r="E36" i="18"/>
  <c r="F26" i="5"/>
  <c r="G26" i="5"/>
  <c r="F61" i="4"/>
  <c r="M116" i="5" l="1"/>
  <c r="L116" i="5"/>
  <c r="F103" i="5"/>
  <c r="F106" i="5"/>
  <c r="F105" i="5"/>
  <c r="F104" i="5"/>
  <c r="F138" i="5"/>
  <c r="G22" i="5" l="1"/>
  <c r="H22" i="5"/>
  <c r="I22" i="5"/>
  <c r="J22" i="5"/>
  <c r="K22" i="5"/>
  <c r="L22" i="5"/>
  <c r="M22" i="5"/>
  <c r="F22" i="5"/>
  <c r="G23" i="5"/>
  <c r="H23" i="5"/>
  <c r="I23" i="5"/>
  <c r="J23" i="5"/>
  <c r="K23" i="5"/>
  <c r="L23" i="5"/>
  <c r="M23" i="5"/>
  <c r="F23" i="5"/>
  <c r="L33" i="6" l="1"/>
  <c r="M33" i="6"/>
  <c r="G94" i="5"/>
  <c r="G95" i="5" s="1"/>
  <c r="G74" i="5" s="1"/>
  <c r="H94" i="5"/>
  <c r="I94" i="5"/>
  <c r="I95" i="5" s="1"/>
  <c r="I74" i="5" s="1"/>
  <c r="J94" i="5"/>
  <c r="J95" i="5" s="1"/>
  <c r="J74" i="5" s="1"/>
  <c r="K94" i="5"/>
  <c r="K95" i="5" s="1"/>
  <c r="K74" i="5" s="1"/>
  <c r="L94" i="5"/>
  <c r="L95" i="5" s="1"/>
  <c r="L74" i="5" s="1"/>
  <c r="M94" i="5"/>
  <c r="M95" i="5" s="1"/>
  <c r="M74" i="5" s="1"/>
  <c r="F95" i="5"/>
  <c r="H40" i="4"/>
  <c r="H38" i="4"/>
  <c r="F74" i="5" l="1"/>
  <c r="F76" i="5" s="1"/>
  <c r="H95" i="5"/>
  <c r="H74" i="5" s="1"/>
  <c r="F21" i="6" l="1"/>
  <c r="F26" i="6" s="1"/>
  <c r="M21" i="6"/>
  <c r="G61" i="16"/>
  <c r="F35" i="6"/>
  <c r="H61" i="16" l="1"/>
  <c r="G118" i="5"/>
  <c r="K21" i="6"/>
  <c r="K26" i="6" s="1"/>
  <c r="I21" i="6"/>
  <c r="I26" i="6" s="1"/>
  <c r="L21" i="6"/>
  <c r="J21" i="6"/>
  <c r="J26" i="6" s="1"/>
  <c r="H21" i="6"/>
  <c r="H26" i="6" s="1"/>
  <c r="G21" i="6"/>
  <c r="G26" i="6" s="1"/>
  <c r="I61" i="16" l="1"/>
  <c r="H118" i="5"/>
  <c r="F139" i="5"/>
  <c r="F117" i="5"/>
  <c r="F24" i="5"/>
  <c r="J61" i="16" l="1"/>
  <c r="I118" i="5"/>
  <c r="E47" i="8"/>
  <c r="E46" i="8"/>
  <c r="K61" i="16" l="1"/>
  <c r="J118" i="5"/>
  <c r="L50" i="17"/>
  <c r="M50" i="17"/>
  <c r="AD216" i="23" s="1"/>
  <c r="F50" i="17"/>
  <c r="G50" i="17"/>
  <c r="H50" i="17"/>
  <c r="I50" i="17"/>
  <c r="J50" i="17"/>
  <c r="K50" i="17"/>
  <c r="E50" i="17"/>
  <c r="E39" i="3" s="1"/>
  <c r="O226" i="23" l="1"/>
  <c r="O216" i="23"/>
  <c r="I121" i="5"/>
  <c r="R216" i="23"/>
  <c r="R226" i="23"/>
  <c r="L121" i="5"/>
  <c r="AA216" i="23"/>
  <c r="K121" i="5"/>
  <c r="X216" i="23"/>
  <c r="L226" i="23"/>
  <c r="L216" i="23"/>
  <c r="J121" i="5"/>
  <c r="U216" i="23"/>
  <c r="U226" i="23"/>
  <c r="F121" i="5"/>
  <c r="I216" i="23"/>
  <c r="I226" i="23"/>
  <c r="G121" i="5"/>
  <c r="G24" i="8"/>
  <c r="H39" i="3"/>
  <c r="H121" i="5"/>
  <c r="L61" i="16"/>
  <c r="K118" i="5"/>
  <c r="K39" i="3"/>
  <c r="I39" i="3"/>
  <c r="G39" i="3"/>
  <c r="M121" i="5"/>
  <c r="M39" i="3"/>
  <c r="J39" i="3"/>
  <c r="F39" i="3"/>
  <c r="L39" i="3"/>
  <c r="E51" i="4"/>
  <c r="E62" i="4"/>
  <c r="E24" i="8"/>
  <c r="H30" i="4"/>
  <c r="G30" i="5"/>
  <c r="H30" i="5"/>
  <c r="I30" i="5"/>
  <c r="J30" i="5"/>
  <c r="K30" i="5"/>
  <c r="L30" i="5"/>
  <c r="M30" i="5"/>
  <c r="F30" i="5"/>
  <c r="M61" i="16" l="1"/>
  <c r="M118" i="5" s="1"/>
  <c r="L118" i="5"/>
  <c r="G49" i="4"/>
  <c r="H49" i="4"/>
  <c r="I49" i="4"/>
  <c r="J49" i="4"/>
  <c r="K49" i="4"/>
  <c r="L49" i="4"/>
  <c r="M49" i="4"/>
  <c r="F49" i="4"/>
  <c r="H130" i="5"/>
  <c r="G117" i="5"/>
  <c r="H117" i="5"/>
  <c r="I117" i="5"/>
  <c r="J117" i="5"/>
  <c r="K117" i="5"/>
  <c r="L117" i="5"/>
  <c r="M117" i="5"/>
  <c r="L22" i="6" l="1"/>
  <c r="M22" i="6"/>
  <c r="G35" i="6"/>
  <c r="H35" i="6"/>
  <c r="I35" i="6"/>
  <c r="J35" i="6"/>
  <c r="K35" i="6"/>
  <c r="L32" i="6"/>
  <c r="L35" i="6" s="1"/>
  <c r="M32" i="6"/>
  <c r="M35" i="6" s="1"/>
  <c r="G10" i="8" l="1"/>
  <c r="H10" i="8"/>
  <c r="I10" i="8"/>
  <c r="J10" i="8"/>
  <c r="K10" i="8"/>
  <c r="L10" i="8"/>
  <c r="M10" i="8"/>
  <c r="F10" i="8"/>
  <c r="G12" i="8"/>
  <c r="H12" i="8"/>
  <c r="I12" i="8"/>
  <c r="J12" i="8"/>
  <c r="K12" i="8"/>
  <c r="L12" i="8"/>
  <c r="F12" i="8"/>
  <c r="H24" i="8"/>
  <c r="I24" i="8"/>
  <c r="J24" i="8"/>
  <c r="K24" i="8"/>
  <c r="L24" i="8"/>
  <c r="M24" i="8"/>
  <c r="F24" i="8"/>
  <c r="F56" i="18"/>
  <c r="G56" i="18"/>
  <c r="I56" i="18"/>
  <c r="J56" i="18"/>
  <c r="K56" i="18"/>
  <c r="L56" i="18"/>
  <c r="M56" i="18"/>
  <c r="E56" i="18"/>
  <c r="F55" i="18"/>
  <c r="F57" i="18" s="1"/>
  <c r="F65" i="18" s="1"/>
  <c r="G55" i="18"/>
  <c r="G57" i="18" s="1"/>
  <c r="G65" i="18" s="1"/>
  <c r="H55" i="18"/>
  <c r="I55" i="18"/>
  <c r="J55" i="18"/>
  <c r="K55" i="18"/>
  <c r="L55" i="18"/>
  <c r="L57" i="18" s="1"/>
  <c r="L65" i="18" s="1"/>
  <c r="M55" i="18"/>
  <c r="M57" i="18" s="1"/>
  <c r="M65" i="18" s="1"/>
  <c r="E55" i="18"/>
  <c r="E57" i="18" s="1"/>
  <c r="E65" i="18" s="1"/>
  <c r="F64" i="18"/>
  <c r="G64" i="18"/>
  <c r="H64" i="18"/>
  <c r="I64" i="18"/>
  <c r="J64" i="18"/>
  <c r="K64" i="18"/>
  <c r="L64" i="18"/>
  <c r="E64" i="18"/>
  <c r="D6" i="10"/>
  <c r="F53" i="18"/>
  <c r="G53" i="18"/>
  <c r="H53" i="18"/>
  <c r="I53" i="18"/>
  <c r="J53" i="18"/>
  <c r="K53" i="18"/>
  <c r="L53" i="18"/>
  <c r="M53" i="18"/>
  <c r="F17" i="8" l="1"/>
  <c r="I57" i="18"/>
  <c r="I65" i="18" s="1"/>
  <c r="K57" i="18"/>
  <c r="K65" i="18" s="1"/>
  <c r="J57" i="18"/>
  <c r="J65" i="18" s="1"/>
  <c r="H57" i="18"/>
  <c r="H65" i="18" s="1"/>
  <c r="M52" i="18"/>
  <c r="L52" i="18"/>
  <c r="K52" i="18"/>
  <c r="J52" i="18"/>
  <c r="I52" i="18"/>
  <c r="H52" i="18"/>
  <c r="G52" i="18"/>
  <c r="F52" i="18"/>
  <c r="E52" i="18"/>
  <c r="F30" i="18"/>
  <c r="G30" i="18"/>
  <c r="H30" i="18"/>
  <c r="I30" i="18"/>
  <c r="J30" i="18"/>
  <c r="K30" i="18"/>
  <c r="L30" i="18"/>
  <c r="M30" i="18"/>
  <c r="E30" i="18"/>
  <c r="L15" i="6"/>
  <c r="M15" i="6"/>
  <c r="L9" i="6" l="1"/>
  <c r="L15" i="2" s="1"/>
  <c r="M9" i="6"/>
  <c r="M15" i="2" s="1"/>
  <c r="L24" i="6"/>
  <c r="M24" i="6"/>
  <c r="G138" i="5" l="1"/>
  <c r="H138" i="5"/>
  <c r="I138" i="5"/>
  <c r="J138" i="5"/>
  <c r="K138" i="5"/>
  <c r="L138" i="5"/>
  <c r="M138" i="5"/>
  <c r="G12" i="5"/>
  <c r="F12" i="5"/>
  <c r="F13" i="5" s="1"/>
  <c r="G139" i="5"/>
  <c r="H140" i="5" s="1"/>
  <c r="H139" i="5"/>
  <c r="I139" i="5"/>
  <c r="J139" i="5"/>
  <c r="K139" i="5"/>
  <c r="L139" i="5"/>
  <c r="M139" i="5"/>
  <c r="L140" i="5" l="1"/>
  <c r="L12" i="5" s="1"/>
  <c r="M140" i="5"/>
  <c r="M12" i="5" s="1"/>
  <c r="K140" i="5"/>
  <c r="K12" i="5" s="1"/>
  <c r="J140" i="5"/>
  <c r="J12" i="5" s="1"/>
  <c r="I140" i="5"/>
  <c r="I12" i="5" s="1"/>
  <c r="H12" i="5"/>
  <c r="G103" i="5"/>
  <c r="H103" i="5"/>
  <c r="I103" i="5"/>
  <c r="J103" i="5"/>
  <c r="K103" i="5"/>
  <c r="L103" i="5"/>
  <c r="M103" i="5"/>
  <c r="G104" i="5"/>
  <c r="H104" i="5"/>
  <c r="I104" i="5"/>
  <c r="J104" i="5"/>
  <c r="K104" i="5"/>
  <c r="L104" i="5"/>
  <c r="M104" i="5"/>
  <c r="G105" i="5"/>
  <c r="H105" i="5"/>
  <c r="I105" i="5"/>
  <c r="J105" i="5"/>
  <c r="K105" i="5"/>
  <c r="L105" i="5"/>
  <c r="M105" i="5"/>
  <c r="G106" i="5"/>
  <c r="H106" i="5"/>
  <c r="I106" i="5"/>
  <c r="J106" i="5"/>
  <c r="K106" i="5"/>
  <c r="L106" i="5"/>
  <c r="M106" i="5"/>
  <c r="F107" i="5"/>
  <c r="G107" i="5"/>
  <c r="H107" i="5"/>
  <c r="I107" i="5"/>
  <c r="J107" i="5"/>
  <c r="K107" i="5"/>
  <c r="L107" i="5"/>
  <c r="M107" i="5"/>
  <c r="G102" i="5"/>
  <c r="H102" i="5"/>
  <c r="I102" i="5"/>
  <c r="J102" i="5"/>
  <c r="K102" i="5"/>
  <c r="L102" i="5"/>
  <c r="M102" i="5"/>
  <c r="G75" i="5"/>
  <c r="G76" i="5" s="1"/>
  <c r="H75" i="5"/>
  <c r="H76" i="5" s="1"/>
  <c r="I75" i="5"/>
  <c r="I76" i="5" s="1"/>
  <c r="J75" i="5"/>
  <c r="J76" i="5" s="1"/>
  <c r="K75" i="5"/>
  <c r="K76" i="5" s="1"/>
  <c r="L75" i="5"/>
  <c r="L76" i="5" s="1"/>
  <c r="M75" i="5"/>
  <c r="M76" i="5" s="1"/>
  <c r="H108" i="5" l="1"/>
  <c r="F108" i="5"/>
  <c r="F77" i="5" s="1"/>
  <c r="F79" i="5" s="1"/>
  <c r="G108" i="5"/>
  <c r="J108" i="5"/>
  <c r="J77" i="5" s="1"/>
  <c r="J79" i="5" s="1"/>
  <c r="L108" i="5"/>
  <c r="L77" i="5" s="1"/>
  <c r="L79" i="5" s="1"/>
  <c r="M108" i="5"/>
  <c r="M77" i="5" s="1"/>
  <c r="M79" i="5" s="1"/>
  <c r="K108" i="5"/>
  <c r="I108" i="5"/>
  <c r="I77" i="5" l="1"/>
  <c r="I79" i="5" s="1"/>
  <c r="K77" i="5"/>
  <c r="K79" i="5" s="1"/>
  <c r="H77" i="5"/>
  <c r="G77" i="5"/>
  <c r="G79" i="5" s="1"/>
  <c r="G24" i="5"/>
  <c r="F130" i="5"/>
  <c r="G130" i="5"/>
  <c r="I130" i="5"/>
  <c r="J130" i="5"/>
  <c r="K130" i="5"/>
  <c r="L130" i="5"/>
  <c r="M130" i="5"/>
  <c r="F129" i="5"/>
  <c r="G129" i="5"/>
  <c r="H129" i="5"/>
  <c r="I129" i="5"/>
  <c r="J129" i="5"/>
  <c r="K129" i="5"/>
  <c r="K131" i="5" s="1"/>
  <c r="K120" i="5" s="1"/>
  <c r="L129" i="5"/>
  <c r="M129" i="5"/>
  <c r="F62" i="5"/>
  <c r="G62" i="5"/>
  <c r="I62" i="5"/>
  <c r="J62" i="5"/>
  <c r="K62" i="5"/>
  <c r="L62" i="5"/>
  <c r="M62" i="5"/>
  <c r="H62" i="5"/>
  <c r="I24" i="5"/>
  <c r="J24" i="5"/>
  <c r="K24" i="5"/>
  <c r="L24" i="5"/>
  <c r="M24" i="5"/>
  <c r="H24" i="5"/>
  <c r="I26" i="5"/>
  <c r="J26" i="5"/>
  <c r="K26" i="5"/>
  <c r="L26" i="5"/>
  <c r="M26" i="5"/>
  <c r="H26" i="5"/>
  <c r="L131" i="5" l="1"/>
  <c r="L120" i="5" s="1"/>
  <c r="M131" i="5"/>
  <c r="M120" i="5" s="1"/>
  <c r="J131" i="5"/>
  <c r="J120" i="5" s="1"/>
  <c r="I131" i="5"/>
  <c r="I120" i="5" s="1"/>
  <c r="H79" i="5"/>
  <c r="H131" i="5"/>
  <c r="H120" i="5" s="1"/>
  <c r="G131" i="5"/>
  <c r="G120" i="5" s="1"/>
  <c r="F131" i="5"/>
  <c r="F120" i="5" s="1"/>
  <c r="G30" i="3"/>
  <c r="G41" i="2" s="1"/>
  <c r="G42" i="2" s="1"/>
  <c r="F26" i="8" l="1"/>
  <c r="F29" i="5"/>
  <c r="F25" i="5"/>
  <c r="G25" i="5"/>
  <c r="H25" i="5"/>
  <c r="I25" i="5"/>
  <c r="J25" i="5"/>
  <c r="K25" i="5"/>
  <c r="L25" i="5"/>
  <c r="M25" i="5"/>
  <c r="B3" i="13"/>
  <c r="I223" i="23" l="1"/>
  <c r="I213" i="23"/>
  <c r="H30" i="3"/>
  <c r="H41" i="2" s="1"/>
  <c r="H42" i="2" s="1"/>
  <c r="E63" i="4"/>
  <c r="E52" i="4"/>
  <c r="E25" i="8"/>
  <c r="G26" i="8"/>
  <c r="G29" i="5"/>
  <c r="E48" i="8"/>
  <c r="H39" i="4"/>
  <c r="E66" i="18"/>
  <c r="E67" i="18" s="1"/>
  <c r="E59" i="18"/>
  <c r="E61" i="18" s="1"/>
  <c r="E38" i="18"/>
  <c r="E39" i="18" s="1"/>
  <c r="E33" i="18"/>
  <c r="E34" i="18" s="1"/>
  <c r="E22" i="18"/>
  <c r="E23" i="18" s="1"/>
  <c r="A3" i="18"/>
  <c r="A2" i="18"/>
  <c r="F234" i="23" l="1"/>
  <c r="F235" i="23" s="1"/>
  <c r="F33" i="23" s="1"/>
  <c r="F203" i="23"/>
  <c r="L213" i="23"/>
  <c r="L223" i="23"/>
  <c r="H122" i="5"/>
  <c r="H123" i="5" s="1"/>
  <c r="E49" i="8"/>
  <c r="E23" i="8" s="1"/>
  <c r="G27" i="8" s="1"/>
  <c r="G38" i="8" s="1"/>
  <c r="G39" i="8" s="1"/>
  <c r="G23" i="8" s="1"/>
  <c r="E41" i="18"/>
  <c r="E69" i="18"/>
  <c r="E11" i="18" s="1"/>
  <c r="H31" i="5"/>
  <c r="H26" i="8"/>
  <c r="H29" i="5"/>
  <c r="G53" i="3"/>
  <c r="E9" i="18"/>
  <c r="G203" i="23" l="1"/>
  <c r="G207" i="23" s="1"/>
  <c r="F207" i="23"/>
  <c r="O213" i="23"/>
  <c r="O223" i="23"/>
  <c r="G33" i="23"/>
  <c r="G36" i="23" s="1"/>
  <c r="G14" i="23" s="1"/>
  <c r="F36" i="23"/>
  <c r="F14" i="23" s="1"/>
  <c r="J30" i="3"/>
  <c r="J41" i="2" s="1"/>
  <c r="J42" i="2" s="1"/>
  <c r="I30" i="3"/>
  <c r="I41" i="2" s="1"/>
  <c r="I42" i="2" s="1"/>
  <c r="H33" i="18"/>
  <c r="H34" i="18" s="1"/>
  <c r="H59" i="18"/>
  <c r="H61" i="18" s="1"/>
  <c r="H22" i="18"/>
  <c r="H23" i="18" s="1"/>
  <c r="H9" i="18" s="1"/>
  <c r="H16" i="8"/>
  <c r="H66" i="18"/>
  <c r="H67" i="18" s="1"/>
  <c r="H38" i="18"/>
  <c r="H39" i="18" s="1"/>
  <c r="H53" i="3"/>
  <c r="H25" i="8"/>
  <c r="G15" i="8"/>
  <c r="E10" i="18"/>
  <c r="E12" i="18" s="1"/>
  <c r="I26" i="8"/>
  <c r="I29" i="5"/>
  <c r="A3" i="11"/>
  <c r="A3" i="6"/>
  <c r="A3" i="7"/>
  <c r="A3" i="2"/>
  <c r="A3" i="8"/>
  <c r="A3" i="5"/>
  <c r="A3" i="4"/>
  <c r="A3" i="3"/>
  <c r="O224" i="23" l="1"/>
  <c r="O214" i="23"/>
  <c r="O203" i="23"/>
  <c r="O234" i="23"/>
  <c r="R223" i="23"/>
  <c r="R213" i="23"/>
  <c r="I31" i="5"/>
  <c r="J31" i="5"/>
  <c r="H41" i="18"/>
  <c r="H10" i="18" s="1"/>
  <c r="I66" i="18"/>
  <c r="I67" i="18" s="1"/>
  <c r="J22" i="18"/>
  <c r="J23" i="18" s="1"/>
  <c r="J9" i="18" s="1"/>
  <c r="J122" i="5"/>
  <c r="I122" i="5"/>
  <c r="I123" i="5" s="1"/>
  <c r="I11" i="5" s="1"/>
  <c r="H69" i="18"/>
  <c r="H11" i="18" s="1"/>
  <c r="J53" i="3"/>
  <c r="J33" i="18"/>
  <c r="J34" i="18" s="1"/>
  <c r="J66" i="18"/>
  <c r="J67" i="18" s="1"/>
  <c r="I53" i="3"/>
  <c r="I25" i="8"/>
  <c r="I22" i="18"/>
  <c r="I23" i="18" s="1"/>
  <c r="I9" i="18" s="1"/>
  <c r="J16" i="8"/>
  <c r="J59" i="18"/>
  <c r="J61" i="18" s="1"/>
  <c r="J25" i="8"/>
  <c r="J38" i="18"/>
  <c r="J39" i="18" s="1"/>
  <c r="I33" i="18"/>
  <c r="I34" i="18" s="1"/>
  <c r="I16" i="8"/>
  <c r="I59" i="18"/>
  <c r="I61" i="18" s="1"/>
  <c r="I38" i="18"/>
  <c r="I39" i="18" s="1"/>
  <c r="K30" i="3"/>
  <c r="G17" i="8"/>
  <c r="H11" i="5"/>
  <c r="E15" i="18"/>
  <c r="E38" i="3"/>
  <c r="G40" i="3" s="1"/>
  <c r="J26" i="8"/>
  <c r="J29" i="5"/>
  <c r="K60" i="4"/>
  <c r="L14" i="4"/>
  <c r="M14" i="4"/>
  <c r="L15" i="4"/>
  <c r="M15" i="4"/>
  <c r="L17" i="4"/>
  <c r="M17" i="4"/>
  <c r="L18" i="4"/>
  <c r="M18" i="4"/>
  <c r="L13" i="4"/>
  <c r="M13" i="4"/>
  <c r="F59" i="4"/>
  <c r="G59" i="4"/>
  <c r="H59" i="4"/>
  <c r="I59" i="4"/>
  <c r="J59" i="4"/>
  <c r="K59" i="4"/>
  <c r="L59" i="4"/>
  <c r="M59" i="4"/>
  <c r="F60" i="4"/>
  <c r="G60" i="4"/>
  <c r="H60" i="4"/>
  <c r="I60" i="4"/>
  <c r="J60" i="4"/>
  <c r="G61" i="4"/>
  <c r="H61" i="4"/>
  <c r="I61" i="4"/>
  <c r="J61" i="4"/>
  <c r="K61" i="4"/>
  <c r="L61" i="4"/>
  <c r="M61" i="4"/>
  <c r="F62" i="4"/>
  <c r="G62" i="4"/>
  <c r="H62" i="4"/>
  <c r="I62" i="4"/>
  <c r="J62" i="4"/>
  <c r="K62" i="4"/>
  <c r="L62" i="4"/>
  <c r="M62" i="4"/>
  <c r="H63" i="4"/>
  <c r="I63" i="4"/>
  <c r="J63" i="4"/>
  <c r="J52" i="4"/>
  <c r="I52" i="4"/>
  <c r="H52" i="4"/>
  <c r="M51" i="4"/>
  <c r="L51" i="4"/>
  <c r="K51" i="4"/>
  <c r="J51" i="4"/>
  <c r="I51" i="4"/>
  <c r="H51" i="4"/>
  <c r="G51" i="4"/>
  <c r="F51" i="4"/>
  <c r="J50" i="4"/>
  <c r="I50" i="4"/>
  <c r="H50" i="4"/>
  <c r="G50" i="4"/>
  <c r="F50" i="4"/>
  <c r="M30" i="4"/>
  <c r="L30" i="4"/>
  <c r="K30" i="4"/>
  <c r="J30" i="4"/>
  <c r="I30" i="4"/>
  <c r="G30" i="4"/>
  <c r="F30" i="4"/>
  <c r="J28" i="4"/>
  <c r="I28" i="4"/>
  <c r="H28" i="4"/>
  <c r="G28" i="4"/>
  <c r="F28" i="4"/>
  <c r="F41" i="4"/>
  <c r="G41" i="4"/>
  <c r="H41" i="4"/>
  <c r="I41" i="4"/>
  <c r="J41" i="4"/>
  <c r="K41" i="4"/>
  <c r="L41" i="4"/>
  <c r="M41" i="4"/>
  <c r="F39" i="4"/>
  <c r="G39" i="4"/>
  <c r="I39" i="4"/>
  <c r="J39" i="4"/>
  <c r="F40" i="3"/>
  <c r="F38" i="4"/>
  <c r="G38" i="4"/>
  <c r="I38" i="4"/>
  <c r="J38" i="4"/>
  <c r="K38" i="4"/>
  <c r="L38" i="4"/>
  <c r="M38" i="4"/>
  <c r="F40" i="4"/>
  <c r="G40" i="4"/>
  <c r="I40" i="4"/>
  <c r="J40" i="4"/>
  <c r="K40" i="4"/>
  <c r="L40" i="4"/>
  <c r="M40" i="4"/>
  <c r="H42" i="4"/>
  <c r="I42" i="4"/>
  <c r="J42" i="4"/>
  <c r="H31" i="4"/>
  <c r="I31" i="4"/>
  <c r="J31" i="4"/>
  <c r="G11" i="3"/>
  <c r="H11" i="3"/>
  <c r="I11" i="3"/>
  <c r="J11" i="3"/>
  <c r="G9" i="3"/>
  <c r="H9" i="3"/>
  <c r="I9" i="3"/>
  <c r="J9" i="3"/>
  <c r="K9" i="3"/>
  <c r="L9" i="3"/>
  <c r="M9" i="3"/>
  <c r="G8" i="3"/>
  <c r="H8" i="3"/>
  <c r="I8" i="3"/>
  <c r="J8" i="3"/>
  <c r="K8" i="3"/>
  <c r="L8" i="3"/>
  <c r="M8" i="3"/>
  <c r="F8" i="3"/>
  <c r="U224" i="23" l="1"/>
  <c r="U214" i="23"/>
  <c r="U203" i="23"/>
  <c r="U234" i="23"/>
  <c r="R234" i="23"/>
  <c r="R214" i="23"/>
  <c r="R203" i="23"/>
  <c r="R224" i="23"/>
  <c r="P203" i="23"/>
  <c r="U213" i="23"/>
  <c r="U223" i="23"/>
  <c r="K42" i="4"/>
  <c r="K41" i="2"/>
  <c r="K42" i="2" s="1"/>
  <c r="F30" i="3"/>
  <c r="J41" i="18"/>
  <c r="J10" i="18" s="1"/>
  <c r="H12" i="18"/>
  <c r="K22" i="18"/>
  <c r="K23" i="18" s="1"/>
  <c r="K9" i="18" s="1"/>
  <c r="K31" i="4"/>
  <c r="J123" i="5"/>
  <c r="J11" i="5" s="1"/>
  <c r="K53" i="3"/>
  <c r="I69" i="18"/>
  <c r="I11" i="18" s="1"/>
  <c r="K16" i="8"/>
  <c r="J69" i="18"/>
  <c r="J11" i="18" s="1"/>
  <c r="I41" i="18"/>
  <c r="I10" i="18" s="1"/>
  <c r="K63" i="4"/>
  <c r="K38" i="18"/>
  <c r="K39" i="18" s="1"/>
  <c r="K66" i="18"/>
  <c r="K67" i="18" s="1"/>
  <c r="K11" i="3"/>
  <c r="K52" i="4"/>
  <c r="K53" i="4" s="1"/>
  <c r="K122" i="5"/>
  <c r="K123" i="5" s="1"/>
  <c r="K11" i="5" s="1"/>
  <c r="K59" i="18"/>
  <c r="K61" i="18" s="1"/>
  <c r="K33" i="18"/>
  <c r="K34" i="18" s="1"/>
  <c r="K25" i="8"/>
  <c r="K31" i="5"/>
  <c r="H53" i="4"/>
  <c r="G31" i="5"/>
  <c r="G25" i="8"/>
  <c r="G22" i="18"/>
  <c r="G23" i="18" s="1"/>
  <c r="G9" i="18" s="1"/>
  <c r="G33" i="18"/>
  <c r="G34" i="18" s="1"/>
  <c r="G66" i="18"/>
  <c r="G67" i="18" s="1"/>
  <c r="G59" i="18"/>
  <c r="G61" i="18" s="1"/>
  <c r="G16" i="8"/>
  <c r="G18" i="8" s="1"/>
  <c r="G25" i="2" s="1"/>
  <c r="G122" i="5"/>
  <c r="G38" i="18"/>
  <c r="G39" i="18" s="1"/>
  <c r="G52" i="4"/>
  <c r="G53" i="4" s="1"/>
  <c r="G31" i="4"/>
  <c r="G42" i="4"/>
  <c r="G63" i="4"/>
  <c r="K28" i="4"/>
  <c r="K50" i="4"/>
  <c r="K39" i="4"/>
  <c r="K26" i="8"/>
  <c r="X213" i="23" s="1"/>
  <c r="K29" i="5"/>
  <c r="J53" i="4"/>
  <c r="I53" i="4"/>
  <c r="A2" i="11"/>
  <c r="A2" i="7"/>
  <c r="A2" i="6"/>
  <c r="A2" i="5"/>
  <c r="A2" i="4"/>
  <c r="A2" i="3"/>
  <c r="A2" i="2"/>
  <c r="A2" i="8"/>
  <c r="A2" i="17"/>
  <c r="B4" i="13"/>
  <c r="A3" i="17"/>
  <c r="A3" i="16"/>
  <c r="A2" i="16"/>
  <c r="A2" i="15"/>
  <c r="A3" i="14"/>
  <c r="A2" i="14"/>
  <c r="I27" i="8" l="1"/>
  <c r="I38" i="8" s="1"/>
  <c r="I39" i="8" s="1"/>
  <c r="I23" i="8" s="1"/>
  <c r="L214" i="23"/>
  <c r="L203" i="23"/>
  <c r="L234" i="23"/>
  <c r="L235" i="23" s="1"/>
  <c r="L224" i="23"/>
  <c r="F25" i="8"/>
  <c r="S203" i="23"/>
  <c r="V203" i="23"/>
  <c r="X214" i="23"/>
  <c r="X203" i="23"/>
  <c r="X234" i="23"/>
  <c r="X235" i="23" s="1"/>
  <c r="F53" i="3"/>
  <c r="M30" i="3"/>
  <c r="F33" i="18"/>
  <c r="F34" i="18" s="1"/>
  <c r="F42" i="4"/>
  <c r="F11" i="3"/>
  <c r="F12" i="3" s="1"/>
  <c r="F37" i="5" s="1"/>
  <c r="F122" i="5"/>
  <c r="F66" i="18"/>
  <c r="F67" i="18" s="1"/>
  <c r="F41" i="2"/>
  <c r="F42" i="2" s="1"/>
  <c r="G10" i="3"/>
  <c r="G12" i="3" s="1"/>
  <c r="K21" i="4"/>
  <c r="J21" i="4"/>
  <c r="H21" i="4"/>
  <c r="H15" i="18"/>
  <c r="H72" i="5" s="1"/>
  <c r="J12" i="18"/>
  <c r="I12" i="18"/>
  <c r="K41" i="18"/>
  <c r="K10" i="18" s="1"/>
  <c r="K69" i="18"/>
  <c r="K11" i="18" s="1"/>
  <c r="L30" i="3"/>
  <c r="L41" i="2" s="1"/>
  <c r="L42" i="2" s="1"/>
  <c r="L18" i="2" s="1"/>
  <c r="F63" i="4"/>
  <c r="F38" i="18"/>
  <c r="F39" i="18" s="1"/>
  <c r="F22" i="18"/>
  <c r="F23" i="18" s="1"/>
  <c r="F9" i="18" s="1"/>
  <c r="F59" i="18"/>
  <c r="F61" i="18" s="1"/>
  <c r="F16" i="8"/>
  <c r="F18" i="8" s="1"/>
  <c r="F25" i="2" s="1"/>
  <c r="F52" i="4"/>
  <c r="F53" i="4" s="1"/>
  <c r="F31" i="5"/>
  <c r="F31" i="4"/>
  <c r="G69" i="18"/>
  <c r="G11" i="18" s="1"/>
  <c r="G41" i="18"/>
  <c r="G10" i="18" s="1"/>
  <c r="M26" i="8"/>
  <c r="AD213" i="23" s="1"/>
  <c r="M29" i="5"/>
  <c r="L26" i="8"/>
  <c r="AA213" i="23" s="1"/>
  <c r="L29" i="5"/>
  <c r="N30" i="3"/>
  <c r="N25" i="8" s="1"/>
  <c r="L50" i="4"/>
  <c r="L28" i="4"/>
  <c r="L60" i="4"/>
  <c r="L39" i="4"/>
  <c r="O30" i="3"/>
  <c r="O25" i="8" s="1"/>
  <c r="M60" i="4"/>
  <c r="M39" i="4"/>
  <c r="M50" i="4"/>
  <c r="M28" i="4"/>
  <c r="N53" i="3" l="1"/>
  <c r="D5" i="24"/>
  <c r="O53" i="3"/>
  <c r="E5" i="24"/>
  <c r="N63" i="4"/>
  <c r="N64" i="4" s="1"/>
  <c r="N42" i="4"/>
  <c r="N43" i="4" s="1"/>
  <c r="N31" i="4"/>
  <c r="N32" i="4" s="1"/>
  <c r="N10" i="4" s="1"/>
  <c r="O42" i="4"/>
  <c r="O43" i="4" s="1"/>
  <c r="O31" i="4"/>
  <c r="O32" i="4" s="1"/>
  <c r="O10" i="4" s="1"/>
  <c r="O50" i="3" s="1"/>
  <c r="O63" i="4"/>
  <c r="O64" i="4" s="1"/>
  <c r="L207" i="23"/>
  <c r="L215" i="23" s="1"/>
  <c r="R217" i="23" s="1"/>
  <c r="R201" i="23" s="1"/>
  <c r="M203" i="23"/>
  <c r="M207" i="23" s="1"/>
  <c r="H27" i="8"/>
  <c r="H38" i="8" s="1"/>
  <c r="H39" i="8" s="1"/>
  <c r="H23" i="8" s="1"/>
  <c r="J27" i="8" s="1"/>
  <c r="I234" i="23"/>
  <c r="I235" i="23" s="1"/>
  <c r="I224" i="23"/>
  <c r="I214" i="23"/>
  <c r="I203" i="23"/>
  <c r="Y203" i="23"/>
  <c r="L33" i="23"/>
  <c r="M33" i="23" s="1"/>
  <c r="L225" i="23"/>
  <c r="R227" i="23" s="1"/>
  <c r="F27" i="5"/>
  <c r="F71" i="5"/>
  <c r="F69" i="18"/>
  <c r="F11" i="18" s="1"/>
  <c r="F41" i="18"/>
  <c r="F10" i="18" s="1"/>
  <c r="M41" i="2"/>
  <c r="M42" i="2" s="1"/>
  <c r="M18" i="2" s="1"/>
  <c r="M16" i="8"/>
  <c r="I21" i="4"/>
  <c r="H28" i="5"/>
  <c r="I15" i="18"/>
  <c r="I72" i="5" s="1"/>
  <c r="J15" i="18"/>
  <c r="K12" i="18"/>
  <c r="M22" i="18"/>
  <c r="M23" i="18" s="1"/>
  <c r="M9" i="18" s="1"/>
  <c r="L31" i="5"/>
  <c r="M31" i="5"/>
  <c r="L66" i="18"/>
  <c r="L67" i="18" s="1"/>
  <c r="L11" i="3"/>
  <c r="M31" i="4"/>
  <c r="M32" i="4" s="1"/>
  <c r="M10" i="4" s="1"/>
  <c r="M53" i="3"/>
  <c r="L53" i="3"/>
  <c r="L22" i="18"/>
  <c r="L23" i="18" s="1"/>
  <c r="L9" i="18" s="1"/>
  <c r="M52" i="4"/>
  <c r="M53" i="4" s="1"/>
  <c r="M59" i="18"/>
  <c r="M61" i="18" s="1"/>
  <c r="M38" i="18"/>
  <c r="M39" i="18" s="1"/>
  <c r="M33" i="18"/>
  <c r="M34" i="18" s="1"/>
  <c r="L42" i="4"/>
  <c r="L43" i="4" s="1"/>
  <c r="L51" i="3" s="1"/>
  <c r="L25" i="8"/>
  <c r="L59" i="18"/>
  <c r="L61" i="18" s="1"/>
  <c r="L52" i="4"/>
  <c r="L53" i="4" s="1"/>
  <c r="M42" i="4"/>
  <c r="M43" i="4" s="1"/>
  <c r="M11" i="3"/>
  <c r="M63" i="4"/>
  <c r="M64" i="4" s="1"/>
  <c r="M66" i="18"/>
  <c r="M67" i="18" s="1"/>
  <c r="M25" i="8"/>
  <c r="M122" i="5"/>
  <c r="M123" i="5" s="1"/>
  <c r="M11" i="5" s="1"/>
  <c r="L63" i="4"/>
  <c r="L64" i="4" s="1"/>
  <c r="L122" i="5"/>
  <c r="L123" i="5" s="1"/>
  <c r="L11" i="5" s="1"/>
  <c r="L33" i="18"/>
  <c r="L34" i="18" s="1"/>
  <c r="L31" i="4"/>
  <c r="L38" i="18"/>
  <c r="L39" i="18" s="1"/>
  <c r="L16" i="8"/>
  <c r="H15" i="8"/>
  <c r="G12" i="18"/>
  <c r="I15" i="8"/>
  <c r="I18" i="8" s="1"/>
  <c r="I25" i="2" s="1"/>
  <c r="G27" i="5"/>
  <c r="G71" i="5"/>
  <c r="I21" i="10"/>
  <c r="G29" i="11"/>
  <c r="I19" i="10" s="1"/>
  <c r="A2" i="10"/>
  <c r="O11" i="4" l="1"/>
  <c r="O51" i="3"/>
  <c r="M11" i="4"/>
  <c r="M51" i="3"/>
  <c r="N50" i="3"/>
  <c r="O12" i="4"/>
  <c r="O52" i="3"/>
  <c r="O54" i="3" s="1"/>
  <c r="O38" i="3" s="1"/>
  <c r="Q40" i="3" s="1"/>
  <c r="N11" i="4"/>
  <c r="N21" i="4" s="1"/>
  <c r="N51" i="3"/>
  <c r="N12" i="4"/>
  <c r="N52" i="3"/>
  <c r="AA214" i="23"/>
  <c r="AA203" i="23"/>
  <c r="AA234" i="23"/>
  <c r="AA235" i="23" s="1"/>
  <c r="J203" i="23"/>
  <c r="J207" i="23" s="1"/>
  <c r="I207" i="23"/>
  <c r="I215" i="23" s="1"/>
  <c r="O217" i="23" s="1"/>
  <c r="O201" i="23" s="1"/>
  <c r="AD234" i="23"/>
  <c r="AD214" i="23"/>
  <c r="AD203" i="23"/>
  <c r="R202" i="23"/>
  <c r="S202" i="23" s="1"/>
  <c r="R233" i="23"/>
  <c r="R235" i="23" s="1"/>
  <c r="I225" i="23"/>
  <c r="O227" i="23" s="1"/>
  <c r="I33" i="23"/>
  <c r="S201" i="23"/>
  <c r="L11" i="4"/>
  <c r="L32" i="4"/>
  <c r="L10" i="4" s="1"/>
  <c r="F12" i="18"/>
  <c r="F15" i="18" s="1"/>
  <c r="F28" i="5" s="1"/>
  <c r="H32" i="5" s="1"/>
  <c r="F21" i="4"/>
  <c r="M50" i="3"/>
  <c r="G21" i="4"/>
  <c r="I28" i="5"/>
  <c r="L12" i="4"/>
  <c r="L52" i="3"/>
  <c r="M12" i="4"/>
  <c r="M21" i="4" s="1"/>
  <c r="M52" i="3"/>
  <c r="G15" i="18"/>
  <c r="G72" i="5" s="1"/>
  <c r="G73" i="5" s="1"/>
  <c r="K15" i="18"/>
  <c r="L41" i="18"/>
  <c r="L10" i="18" s="1"/>
  <c r="L69" i="18"/>
  <c r="L11" i="18" s="1"/>
  <c r="M41" i="18"/>
  <c r="M10" i="18" s="1"/>
  <c r="H18" i="8"/>
  <c r="H25" i="2" s="1"/>
  <c r="M69" i="18"/>
  <c r="M11" i="18" s="1"/>
  <c r="J38" i="8"/>
  <c r="J39" i="8" s="1"/>
  <c r="J23" i="8" s="1"/>
  <c r="L27" i="8" s="1"/>
  <c r="L38" i="8" s="1"/>
  <c r="L39" i="8" s="1"/>
  <c r="H17" i="8"/>
  <c r="J15" i="8"/>
  <c r="J18" i="8" s="1"/>
  <c r="I17" i="8"/>
  <c r="J28" i="5"/>
  <c r="J72" i="5"/>
  <c r="K22" i="10"/>
  <c r="K41" i="10"/>
  <c r="N54" i="3" l="1"/>
  <c r="R207" i="23"/>
  <c r="R215" i="23" s="1"/>
  <c r="X217" i="23" s="1"/>
  <c r="X201" i="23" s="1"/>
  <c r="O21" i="4"/>
  <c r="N38" i="3"/>
  <c r="P40" i="3" s="1"/>
  <c r="R236" i="23"/>
  <c r="S207" i="23"/>
  <c r="O202" i="23"/>
  <c r="P202" i="23" s="1"/>
  <c r="O233" i="23"/>
  <c r="O235" i="23" s="1"/>
  <c r="R33" i="23"/>
  <c r="S33" i="23" s="1"/>
  <c r="R225" i="23"/>
  <c r="J33" i="23"/>
  <c r="J36" i="23" s="1"/>
  <c r="J14" i="23" s="1"/>
  <c r="I36" i="23"/>
  <c r="I14" i="23" s="1"/>
  <c r="I8" i="23" s="1"/>
  <c r="F29" i="2" s="1"/>
  <c r="AB203" i="23"/>
  <c r="P201" i="23"/>
  <c r="L21" i="4"/>
  <c r="L50" i="3"/>
  <c r="G28" i="5"/>
  <c r="I32" i="5" s="1"/>
  <c r="I9" i="5" s="1"/>
  <c r="L12" i="18"/>
  <c r="I13" i="10"/>
  <c r="J25" i="2"/>
  <c r="M12" i="18"/>
  <c r="G80" i="5"/>
  <c r="G61" i="5" s="1"/>
  <c r="G60" i="5"/>
  <c r="H9" i="5"/>
  <c r="J17" i="8"/>
  <c r="K27" i="8"/>
  <c r="K38" i="8" s="1"/>
  <c r="K39" i="8" s="1"/>
  <c r="L23" i="8"/>
  <c r="N27" i="8" s="1"/>
  <c r="N15" i="8" s="1"/>
  <c r="L15" i="8"/>
  <c r="K72" i="5"/>
  <c r="K28" i="5"/>
  <c r="G54" i="3"/>
  <c r="G38" i="3" s="1"/>
  <c r="I40" i="3" s="1"/>
  <c r="F72" i="5"/>
  <c r="F73" i="5" s="1"/>
  <c r="R50" i="23" l="1"/>
  <c r="L54" i="3"/>
  <c r="O207" i="23"/>
  <c r="O215" i="23" s="1"/>
  <c r="U217" i="23" s="1"/>
  <c r="U201" i="23" s="1"/>
  <c r="V201" i="23" s="1"/>
  <c r="P207" i="23"/>
  <c r="O236" i="23"/>
  <c r="Y201" i="23"/>
  <c r="Y207" i="23" s="1"/>
  <c r="Y64" i="23" s="1"/>
  <c r="Y65" i="23" s="1"/>
  <c r="Y14" i="23" s="1"/>
  <c r="X207" i="23"/>
  <c r="O33" i="23"/>
  <c r="P33" i="23" s="1"/>
  <c r="O225" i="23"/>
  <c r="U227" i="23" s="1"/>
  <c r="L18" i="8"/>
  <c r="L25" i="2" s="1"/>
  <c r="L15" i="18"/>
  <c r="L28" i="5" s="1"/>
  <c r="M15" i="18"/>
  <c r="M28" i="5" s="1"/>
  <c r="I63" i="5"/>
  <c r="I10" i="5" s="1"/>
  <c r="F80" i="5"/>
  <c r="F61" i="5" s="1"/>
  <c r="K23" i="8"/>
  <c r="K15" i="8"/>
  <c r="L17" i="8"/>
  <c r="F60" i="5"/>
  <c r="U202" i="23" l="1"/>
  <c r="U233" i="23"/>
  <c r="U235" i="23" s="1"/>
  <c r="U225" i="23" s="1"/>
  <c r="X64" i="23"/>
  <c r="X65" i="23" s="1"/>
  <c r="X14" i="23" s="1"/>
  <c r="X215" i="23"/>
  <c r="K18" i="8"/>
  <c r="K25" i="2" s="1"/>
  <c r="K17" i="8"/>
  <c r="L72" i="5"/>
  <c r="M72" i="5"/>
  <c r="H63" i="5"/>
  <c r="H10" i="5" s="1"/>
  <c r="M27" i="8"/>
  <c r="M38" i="8" s="1"/>
  <c r="M39" i="8" s="1"/>
  <c r="U236" i="23" l="1"/>
  <c r="V202" i="23"/>
  <c r="V207" i="23" s="1"/>
  <c r="V50" i="23" s="1"/>
  <c r="U207" i="23"/>
  <c r="I12" i="10"/>
  <c r="K14" i="10" s="1"/>
  <c r="K43" i="10" s="1"/>
  <c r="M15" i="8"/>
  <c r="M18" i="8" s="1"/>
  <c r="M25" i="2" s="1"/>
  <c r="U215" i="23" l="1"/>
  <c r="AA217" i="23" s="1"/>
  <c r="AA201" i="23" s="1"/>
  <c r="AA207" i="23" s="1"/>
  <c r="U50" i="23"/>
  <c r="U52" i="23" s="1"/>
  <c r="U14" i="23" s="1"/>
  <c r="M23" i="8"/>
  <c r="O27" i="8" s="1"/>
  <c r="O15" i="8" s="1"/>
  <c r="M17" i="8"/>
  <c r="G13" i="5"/>
  <c r="M13" i="2"/>
  <c r="L13" i="2"/>
  <c r="AB201" i="23" l="1"/>
  <c r="AB207" i="23" s="1"/>
  <c r="AB78" i="23" s="1"/>
  <c r="AB79" i="23" s="1"/>
  <c r="AB14" i="23" s="1"/>
  <c r="I10" i="3"/>
  <c r="I12" i="3" s="1"/>
  <c r="AA78" i="23" l="1"/>
  <c r="AA215" i="23"/>
  <c r="AG217" i="23" s="1"/>
  <c r="AG201" i="23" s="1"/>
  <c r="AH201" i="23" s="1"/>
  <c r="I27" i="5"/>
  <c r="I71" i="5"/>
  <c r="I73" i="5" s="1"/>
  <c r="I80" i="5" s="1"/>
  <c r="I61" i="5" s="1"/>
  <c r="I54" i="3"/>
  <c r="I38" i="3" s="1"/>
  <c r="K40" i="3" s="1"/>
  <c r="I13" i="5"/>
  <c r="AA79" i="23" l="1"/>
  <c r="AA14" i="23" s="1"/>
  <c r="AA8" i="23" s="1"/>
  <c r="K32" i="5"/>
  <c r="K9" i="5" s="1"/>
  <c r="I60" i="5"/>
  <c r="H13" i="5"/>
  <c r="L29" i="2" l="1"/>
  <c r="K63" i="5"/>
  <c r="K10" i="5" s="1"/>
  <c r="K13" i="5" s="1"/>
  <c r="K10" i="3"/>
  <c r="K12" i="3" s="1"/>
  <c r="K71" i="5" l="1"/>
  <c r="K73" i="5" s="1"/>
  <c r="K54" i="3"/>
  <c r="K38" i="3" s="1"/>
  <c r="K27" i="5"/>
  <c r="M32" i="5" s="1"/>
  <c r="M40" i="3" l="1"/>
  <c r="M12" i="2" s="1"/>
  <c r="K80" i="5"/>
  <c r="K61" i="5" s="1"/>
  <c r="M9" i="5"/>
  <c r="K60" i="5"/>
  <c r="M10" i="3" l="1"/>
  <c r="M12" i="3" s="1"/>
  <c r="M27" i="5" s="1"/>
  <c r="M63" i="5"/>
  <c r="M10" i="5" s="1"/>
  <c r="M13" i="5" s="1"/>
  <c r="M54" i="3"/>
  <c r="M38" i="3" s="1"/>
  <c r="O40" i="3" l="1"/>
  <c r="E6" i="24" s="1"/>
  <c r="M71" i="5"/>
  <c r="M73" i="5" s="1"/>
  <c r="M80" i="5" s="1"/>
  <c r="M61" i="5" s="1"/>
  <c r="M26" i="6"/>
  <c r="M14" i="6" s="1"/>
  <c r="M16" i="6" s="1"/>
  <c r="M14" i="2" l="1"/>
  <c r="M8" i="6"/>
  <c r="M60" i="5"/>
  <c r="I15" i="7" l="1"/>
  <c r="F54" i="3" l="1"/>
  <c r="F38" i="3" s="1"/>
  <c r="H40" i="3" s="1"/>
  <c r="H10" i="3" l="1"/>
  <c r="H12" i="3" s="1"/>
  <c r="H54" i="3"/>
  <c r="H38" i="3" s="1"/>
  <c r="J40" i="3" s="1"/>
  <c r="H71" i="5" l="1"/>
  <c r="H73" i="5" s="1"/>
  <c r="H60" i="5" s="1"/>
  <c r="H27" i="5"/>
  <c r="J32" i="5" s="1"/>
  <c r="J9" i="5" s="1"/>
  <c r="H80" i="5" l="1"/>
  <c r="H61" i="5" s="1"/>
  <c r="J63" i="5" s="1"/>
  <c r="J10" i="5" s="1"/>
  <c r="J13" i="5" s="1"/>
  <c r="J10" i="3"/>
  <c r="J12" i="3" s="1"/>
  <c r="H15" i="7"/>
  <c r="K15" i="7"/>
  <c r="J54" i="3"/>
  <c r="J38" i="3" s="1"/>
  <c r="L40" i="3" l="1"/>
  <c r="L12" i="2" s="1"/>
  <c r="J71" i="5"/>
  <c r="J73" i="5" s="1"/>
  <c r="J27" i="5"/>
  <c r="L32" i="5" s="1"/>
  <c r="L9" i="5" s="1"/>
  <c r="L38" i="3"/>
  <c r="N40" i="3" s="1"/>
  <c r="D6" i="24" s="1"/>
  <c r="L10" i="3" l="1"/>
  <c r="L12" i="3" s="1"/>
  <c r="L27" i="5" s="1"/>
  <c r="M15" i="7"/>
  <c r="J80" i="5"/>
  <c r="J61" i="5" s="1"/>
  <c r="J60" i="5"/>
  <c r="J15" i="7"/>
  <c r="L26" i="6"/>
  <c r="L14" i="6" s="1"/>
  <c r="L16" i="6" s="1"/>
  <c r="L71" i="5" l="1"/>
  <c r="L73" i="5" s="1"/>
  <c r="L80" i="5" s="1"/>
  <c r="L61" i="5" s="1"/>
  <c r="M17" i="7"/>
  <c r="M19" i="2" s="1"/>
  <c r="M22" i="2" s="1"/>
  <c r="M10" i="7" s="1"/>
  <c r="O15" i="7" s="1"/>
  <c r="L63" i="5"/>
  <c r="L10" i="5" s="1"/>
  <c r="L13" i="5" s="1"/>
  <c r="L14" i="2"/>
  <c r="L8" i="6"/>
  <c r="L60" i="5" l="1"/>
  <c r="M13" i="7"/>
  <c r="O17" i="7" s="1"/>
  <c r="O19" i="2" s="1"/>
  <c r="L15" i="7" l="1"/>
  <c r="L17" i="7" s="1"/>
  <c r="L19" i="2" s="1"/>
  <c r="L22" i="2" s="1"/>
  <c r="L10" i="7" l="1"/>
  <c r="N15" i="7" l="1"/>
  <c r="L13" i="7"/>
  <c r="N17" i="7" l="1"/>
  <c r="N19" i="2" s="1"/>
  <c r="V99" i="23" l="1"/>
  <c r="V98" i="23" l="1"/>
  <c r="V100" i="23"/>
  <c r="V101" i="23"/>
  <c r="V103" i="23" l="1"/>
  <c r="V47" i="23" s="1"/>
  <c r="V52" i="23" s="1"/>
  <c r="V14" i="23" s="1"/>
  <c r="X8" i="23" s="1"/>
  <c r="K29" i="2" s="1"/>
  <c r="M36" i="23" l="1"/>
  <c r="M14" i="23" s="1"/>
  <c r="R36" i="23"/>
  <c r="R14" i="23" s="1"/>
  <c r="R52" i="23"/>
  <c r="O36" i="23"/>
  <c r="O14" i="23" s="1"/>
  <c r="P36" i="23"/>
  <c r="P14" i="23" s="1"/>
  <c r="L36" i="23"/>
  <c r="S36" i="23"/>
  <c r="S14" i="23" s="1"/>
  <c r="L14" i="23" l="1"/>
  <c r="L8" i="23" s="1"/>
  <c r="G29" i="2" s="1"/>
  <c r="R8" i="23"/>
  <c r="I29" i="2" s="1"/>
  <c r="U8" i="23"/>
  <c r="J29" i="2" s="1"/>
  <c r="O8" i="23" l="1"/>
  <c r="H29" i="2" s="1"/>
  <c r="AD217" i="23"/>
  <c r="AD201" i="23" s="1"/>
  <c r="AE201" i="23" s="1"/>
  <c r="AD235" i="23" l="1"/>
  <c r="AD207" i="23" l="1"/>
  <c r="AE203" i="23"/>
  <c r="AE207" i="23" s="1"/>
  <c r="AE78" i="23" l="1"/>
  <c r="AE79" i="23" s="1"/>
  <c r="AE14" i="23" s="1"/>
  <c r="AD78" i="23"/>
  <c r="AD79" i="23" s="1"/>
  <c r="AD14" i="23" s="1"/>
  <c r="AD8" i="23" s="1"/>
  <c r="M29" i="2" s="1"/>
  <c r="AD215" i="23"/>
  <c r="AJ217" i="23" s="1"/>
  <c r="AJ201" i="23" s="1"/>
  <c r="AK201"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bhatta</author>
  </authors>
  <commentList>
    <comment ref="A34" authorId="0" shapeId="0" xr:uid="{00000000-0006-0000-0500-000001000000}">
      <text>
        <r>
          <rPr>
            <b/>
            <sz val="8"/>
            <color indexed="81"/>
            <rFont val="Tahoma"/>
            <family val="2"/>
          </rPr>
          <t>bhatta:</t>
        </r>
        <r>
          <rPr>
            <sz val="8"/>
            <color indexed="81"/>
            <rFont val="Tahoma"/>
            <family val="2"/>
          </rPr>
          <t xml:space="preserve">
Please input the full RPIF adjusted term as per SC 3A.11.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daveyb</author>
    <author>Amrita Bhatt</author>
  </authors>
  <commentList>
    <comment ref="G21" authorId="0" shapeId="0" xr:uid="{00000000-0006-0000-0800-000001000000}">
      <text>
        <r>
          <rPr>
            <b/>
            <sz val="8"/>
            <color indexed="81"/>
            <rFont val="Tahoma"/>
            <family val="2"/>
          </rPr>
          <t>daveyb:</t>
        </r>
        <r>
          <rPr>
            <sz val="8"/>
            <color indexed="81"/>
            <rFont val="Tahoma"/>
            <family val="2"/>
          </rPr>
          <t xml:space="preserve">
Zero per licence
</t>
        </r>
      </text>
    </comment>
    <comment ref="F63" authorId="1" shapeId="0" xr:uid="{00000000-0006-0000-0800-000002000000}">
      <text>
        <r>
          <rPr>
            <b/>
            <sz val="8"/>
            <color indexed="81"/>
            <rFont val="Tahoma"/>
            <family val="2"/>
          </rPr>
          <t>Amrita Bhatt:</t>
        </r>
        <r>
          <rPr>
            <sz val="8"/>
            <color indexed="81"/>
            <rFont val="Tahoma"/>
            <family val="2"/>
          </rPr>
          <t xml:space="preserve">
3D.4 For Relevant Years 2013/14 and 2014/15, SSOt will have the value zero.</t>
        </r>
      </text>
    </comment>
    <comment ref="F108" authorId="1" shapeId="0" xr:uid="{00000000-0006-0000-0800-000003000000}">
      <text>
        <r>
          <rPr>
            <b/>
            <sz val="8"/>
            <color indexed="81"/>
            <rFont val="Tahoma"/>
            <family val="2"/>
          </rPr>
          <t>Amrita Bhatt:</t>
        </r>
        <r>
          <rPr>
            <sz val="8"/>
            <color indexed="81"/>
            <rFont val="Tahoma"/>
            <family val="2"/>
          </rPr>
          <t xml:space="preserve">
As per Decision on 4th Aug 2016 (https://www.ofgem.gov.uk/publications-and-updates/decision-values-within-stakeholder-satisfaction-output-arrangements), Years 1-3 switched off.</t>
        </r>
      </text>
    </comment>
    <comment ref="F123" authorId="1" shapeId="0" xr:uid="{00000000-0006-0000-0800-000004000000}">
      <text>
        <r>
          <rPr>
            <b/>
            <sz val="8"/>
            <color indexed="81"/>
            <rFont val="Tahoma"/>
            <family val="2"/>
          </rPr>
          <t>Amrita Bhatt:</t>
        </r>
        <r>
          <rPr>
            <sz val="8"/>
            <color indexed="81"/>
            <rFont val="Tahoma"/>
            <family val="2"/>
          </rPr>
          <t xml:space="preserve">
3E.3 For Relevant Years beginning on 1 April 2013 and 1 April 2014 the value of SFI is equal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bhatta</author>
  </authors>
  <commentList>
    <comment ref="F31" authorId="0" shapeId="0" xr:uid="{00000000-0006-0000-1000-000001000000}">
      <text>
        <r>
          <rPr>
            <b/>
            <sz val="8"/>
            <color indexed="81"/>
            <rFont val="Tahoma"/>
            <family val="2"/>
          </rPr>
          <t>bhatta:</t>
        </r>
        <r>
          <rPr>
            <sz val="8"/>
            <color indexed="81"/>
            <rFont val="Tahoma"/>
            <family val="2"/>
          </rPr>
          <t xml:space="preserve">
0 as per SC4J.</t>
        </r>
      </text>
    </comment>
    <comment ref="G31" authorId="0" shapeId="0" xr:uid="{00000000-0006-0000-1000-000002000000}">
      <text>
        <r>
          <rPr>
            <b/>
            <sz val="8"/>
            <color indexed="81"/>
            <rFont val="Tahoma"/>
            <family val="2"/>
          </rPr>
          <t>bhatta:</t>
        </r>
        <r>
          <rPr>
            <sz val="8"/>
            <color indexed="81"/>
            <rFont val="Tahoma"/>
            <family val="2"/>
          </rPr>
          <t xml:space="preserve">
0 as per SC4J.</t>
        </r>
      </text>
    </comment>
    <comment ref="I31" authorId="0" shapeId="0" xr:uid="{00000000-0006-0000-1000-000003000000}">
      <text>
        <r>
          <rPr>
            <b/>
            <sz val="8"/>
            <color indexed="81"/>
            <rFont val="Tahoma"/>
            <family val="2"/>
          </rPr>
          <t>bhatta:</t>
        </r>
        <r>
          <rPr>
            <sz val="8"/>
            <color indexed="81"/>
            <rFont val="Tahoma"/>
            <family val="2"/>
          </rPr>
          <t xml:space="preserve">
0 as per SC4J.</t>
        </r>
      </text>
    </comment>
    <comment ref="J31" authorId="0" shapeId="0" xr:uid="{00000000-0006-0000-1000-000004000000}">
      <text>
        <r>
          <rPr>
            <b/>
            <sz val="8"/>
            <color indexed="81"/>
            <rFont val="Tahoma"/>
            <family val="2"/>
          </rPr>
          <t>bhatta:</t>
        </r>
        <r>
          <rPr>
            <sz val="8"/>
            <color indexed="81"/>
            <rFont val="Tahoma"/>
            <family val="2"/>
          </rPr>
          <t xml:space="preserve">
0 as per SC4J.</t>
        </r>
      </text>
    </comment>
    <comment ref="L31" authorId="0" shapeId="0" xr:uid="{00000000-0006-0000-1000-000005000000}">
      <text>
        <r>
          <rPr>
            <b/>
            <sz val="8"/>
            <color indexed="81"/>
            <rFont val="Tahoma"/>
            <family val="2"/>
          </rPr>
          <t>bhatta:</t>
        </r>
        <r>
          <rPr>
            <sz val="8"/>
            <color indexed="81"/>
            <rFont val="Tahoma"/>
            <family val="2"/>
          </rPr>
          <t xml:space="preserve">
0 as per SC4J.</t>
        </r>
      </text>
    </comment>
    <comment ref="M31" authorId="0" shapeId="0" xr:uid="{00000000-0006-0000-1000-000006000000}">
      <text>
        <r>
          <rPr>
            <b/>
            <sz val="8"/>
            <color indexed="81"/>
            <rFont val="Tahoma"/>
            <family val="2"/>
          </rPr>
          <t>bhatta:</t>
        </r>
        <r>
          <rPr>
            <sz val="8"/>
            <color indexed="81"/>
            <rFont val="Tahoma"/>
            <family val="2"/>
          </rPr>
          <t xml:space="preserve">
0 as per SC4J.</t>
        </r>
      </text>
    </comment>
    <comment ref="O31" authorId="0" shapeId="0" xr:uid="{00000000-0006-0000-1000-000007000000}">
      <text>
        <r>
          <rPr>
            <b/>
            <sz val="8"/>
            <color indexed="81"/>
            <rFont val="Tahoma"/>
            <family val="2"/>
          </rPr>
          <t>bhatta:</t>
        </r>
        <r>
          <rPr>
            <sz val="8"/>
            <color indexed="81"/>
            <rFont val="Tahoma"/>
            <family val="2"/>
          </rPr>
          <t xml:space="preserve">
0 as per SC4J.</t>
        </r>
      </text>
    </comment>
    <comment ref="P31" authorId="0" shapeId="0" xr:uid="{00000000-0006-0000-1000-000008000000}">
      <text>
        <r>
          <rPr>
            <b/>
            <sz val="8"/>
            <color indexed="81"/>
            <rFont val="Tahoma"/>
            <family val="2"/>
          </rPr>
          <t>bhatta:</t>
        </r>
        <r>
          <rPr>
            <sz val="8"/>
            <color indexed="81"/>
            <rFont val="Tahoma"/>
            <family val="2"/>
          </rPr>
          <t xml:space="preserve">
0 as per SC4J.</t>
        </r>
      </text>
    </comment>
    <comment ref="R31" authorId="0" shapeId="0" xr:uid="{00000000-0006-0000-1000-000009000000}">
      <text>
        <r>
          <rPr>
            <b/>
            <sz val="8"/>
            <color indexed="81"/>
            <rFont val="Tahoma"/>
            <family val="2"/>
          </rPr>
          <t>bhatta:</t>
        </r>
        <r>
          <rPr>
            <sz val="8"/>
            <color indexed="81"/>
            <rFont val="Tahoma"/>
            <family val="2"/>
          </rPr>
          <t xml:space="preserve">
0 as per SC4J.</t>
        </r>
      </text>
    </comment>
    <comment ref="F233" authorId="0" shapeId="0" xr:uid="{00000000-0006-0000-1000-00000A000000}">
      <text>
        <r>
          <rPr>
            <b/>
            <sz val="8"/>
            <color indexed="81"/>
            <rFont val="Tahoma"/>
            <family val="2"/>
          </rPr>
          <t>bhatta:</t>
        </r>
        <r>
          <rPr>
            <sz val="8"/>
            <color indexed="81"/>
            <rFont val="Tahoma"/>
            <family val="2"/>
          </rPr>
          <t xml:space="preserve">
0 as per SC4C.</t>
        </r>
      </text>
    </comment>
    <comment ref="I233" authorId="0" shapeId="0" xr:uid="{00000000-0006-0000-1000-00000B000000}">
      <text>
        <r>
          <rPr>
            <b/>
            <sz val="8"/>
            <color indexed="81"/>
            <rFont val="Tahoma"/>
            <family val="2"/>
          </rPr>
          <t>bhatta:</t>
        </r>
        <r>
          <rPr>
            <sz val="8"/>
            <color indexed="81"/>
            <rFont val="Tahoma"/>
            <family val="2"/>
          </rPr>
          <t xml:space="preserve">
0 as per SC4C.</t>
        </r>
      </text>
    </comment>
    <comment ref="L233" authorId="0" shapeId="0" xr:uid="{00000000-0006-0000-1000-00000C000000}">
      <text>
        <r>
          <rPr>
            <b/>
            <sz val="8"/>
            <color indexed="81"/>
            <rFont val="Tahoma"/>
            <family val="2"/>
          </rPr>
          <t>bhatta:</t>
        </r>
        <r>
          <rPr>
            <sz val="8"/>
            <color indexed="81"/>
            <rFont val="Tahoma"/>
            <family val="2"/>
          </rPr>
          <t xml:space="preserve">
0 as per SC4C.</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Amrita Bhatt</author>
    <author>Valerio Uccello</author>
  </authors>
  <commentList>
    <comment ref="F5" authorId="0" shapeId="0" xr:uid="{00000000-0006-0000-1200-000001000000}">
      <text>
        <r>
          <rPr>
            <b/>
            <sz val="8"/>
            <color indexed="81"/>
            <rFont val="Tahoma"/>
            <family val="2"/>
          </rPr>
          <t>Amrita Bhatt:</t>
        </r>
        <r>
          <rPr>
            <sz val="8"/>
            <color indexed="81"/>
            <rFont val="Tahoma"/>
            <family val="2"/>
          </rPr>
          <t xml:space="preserve">
SC 4K.2: The term LBSt shall take the value zero, except for Relevant Years 2014/15 and 2015/16 and any other such Relevant Years as directed by the Authority in accordance with paragraph 4K.3.</t>
        </r>
      </text>
    </comment>
    <comment ref="I5" authorId="0" shapeId="0" xr:uid="{00000000-0006-0000-1200-000002000000}">
      <text>
        <r>
          <rPr>
            <b/>
            <sz val="8"/>
            <color indexed="81"/>
            <rFont val="Tahoma"/>
            <family val="2"/>
          </rPr>
          <t>Amrita Bhatt:</t>
        </r>
        <r>
          <rPr>
            <sz val="8"/>
            <color indexed="81"/>
            <rFont val="Tahoma"/>
            <family val="2"/>
          </rPr>
          <t xml:space="preserve">
SC 4K.2: The term LBSt shall take the value zero, except for Relevant Years 2014/15 and 2015/16 and any other such Relevant Years as directed by the Authority in accordance with paragraph 4K.3.</t>
        </r>
      </text>
    </comment>
    <comment ref="A10" authorId="1" shapeId="0" xr:uid="{00000000-0006-0000-1200-000003000000}">
      <text>
        <r>
          <rPr>
            <b/>
            <sz val="9"/>
            <color indexed="81"/>
            <rFont val="Tahoma"/>
            <family val="2"/>
          </rPr>
          <t>Valerio Uccello:</t>
        </r>
        <r>
          <rPr>
            <sz val="9"/>
            <color indexed="81"/>
            <rFont val="Tahoma"/>
            <family val="2"/>
          </rPr>
          <t xml:space="preserve">
Cost for 2016/17 are recovered (LBC&lt;&gt;0), as per 28 April 2017 decision document:
https://www.ofgem.gov.uk/system/files/docs/2017/04/20170412_draft_decision_on_sbr_and_dsbr_cost_recovery_for_2016_17.pdf</t>
        </r>
      </text>
    </comment>
    <comment ref="R10" authorId="1" shapeId="0" xr:uid="{00000000-0006-0000-1200-000004000000}">
      <text>
        <r>
          <rPr>
            <b/>
            <sz val="9"/>
            <color indexed="81"/>
            <rFont val="Tahoma"/>
            <family val="2"/>
          </rPr>
          <t>Valerio Uccello:</t>
        </r>
        <r>
          <rPr>
            <sz val="9"/>
            <color indexed="81"/>
            <rFont val="Tahoma"/>
            <family val="2"/>
          </rPr>
          <t xml:space="preserve">
See 28 April 2017 decision document:
https://www.ofgem.gov.uk/system/files/docs/2017/04/20170412_draft_decision_on_sbr_and_dsbr_cost_recovery_for_2016_17.pdf</t>
        </r>
      </text>
    </comment>
    <comment ref="S10" authorId="1" shapeId="0" xr:uid="{00000000-0006-0000-1200-000005000000}">
      <text>
        <r>
          <rPr>
            <b/>
            <sz val="9"/>
            <color indexed="81"/>
            <rFont val="Tahoma"/>
            <family val="2"/>
          </rPr>
          <t>Valerio Uccello:</t>
        </r>
        <r>
          <rPr>
            <sz val="9"/>
            <color indexed="81"/>
            <rFont val="Tahoma"/>
            <family val="2"/>
          </rPr>
          <t xml:space="preserve">
See 28 April 2017 decision document:
https://www.ofgem.gov.uk/system/files/docs/2017/04/20170412_draft_decision_on_sbr_and_dsbr_cost_recovery_for_2016_17.pdf</t>
        </r>
      </text>
    </comment>
  </commentList>
</comments>
</file>

<file path=xl/sharedStrings.xml><?xml version="1.0" encoding="utf-8"?>
<sst xmlns="http://schemas.openxmlformats.org/spreadsheetml/2006/main" count="2407" uniqueCount="1060">
  <si>
    <t>Units</t>
  </si>
  <si>
    <t>£m</t>
  </si>
  <si>
    <t>Totex data</t>
  </si>
  <si>
    <t>Capex data</t>
  </si>
  <si>
    <t>Network data</t>
  </si>
  <si>
    <t>Outputs data</t>
  </si>
  <si>
    <t>Opex data</t>
  </si>
  <si>
    <t>Finance data</t>
  </si>
  <si>
    <t>Year</t>
  </si>
  <si>
    <t>Pass Through Items</t>
  </si>
  <si>
    <t>Correction Factor</t>
  </si>
  <si>
    <t>TO</t>
  </si>
  <si>
    <t>Transmission Base Revenue</t>
  </si>
  <si>
    <t>Output Incentive Payments</t>
  </si>
  <si>
    <t>Site Specific Adjustment</t>
  </si>
  <si>
    <t>Bi Lateral Diff Adjust</t>
  </si>
  <si>
    <t>PCFM Variable Values</t>
  </si>
  <si>
    <t>Base Revenue Allowance</t>
  </si>
  <si>
    <t>Pass Through Items Revenue</t>
  </si>
  <si>
    <t>LFt</t>
  </si>
  <si>
    <t>ITCt</t>
  </si>
  <si>
    <t>Business Rates Adjustment</t>
  </si>
  <si>
    <t>License Fee Adjustment</t>
  </si>
  <si>
    <t>Offshore Transmission Revenue</t>
  </si>
  <si>
    <t>SP Transmission Revenue</t>
  </si>
  <si>
    <t>SHETL Revenue</t>
  </si>
  <si>
    <t>Offshore Distribution Revenue</t>
  </si>
  <si>
    <t>Term t</t>
  </si>
  <si>
    <t>PTt Pass Through Calculation and Components</t>
  </si>
  <si>
    <t>Network Reliability Incentive</t>
  </si>
  <si>
    <t>Stakeholder Satisfaction Output</t>
  </si>
  <si>
    <t>Environmental Discretionary Reward</t>
  </si>
  <si>
    <t>IIt Innovation Incentive Calculation and Components</t>
  </si>
  <si>
    <t>Transmission Network Revenue</t>
  </si>
  <si>
    <t>Interest Rate Adjustment in Yr T</t>
  </si>
  <si>
    <t>Network Innovation Competition</t>
  </si>
  <si>
    <t>Network Innovation Allowance</t>
  </si>
  <si>
    <t>Under/Over Recovery</t>
  </si>
  <si>
    <r>
      <t>RI</t>
    </r>
    <r>
      <rPr>
        <vertAlign val="subscript"/>
        <sz val="11"/>
        <color theme="1"/>
        <rFont val="Verdana"/>
        <family val="2"/>
      </rPr>
      <t>t</t>
    </r>
    <r>
      <rPr>
        <sz val="11"/>
        <color theme="1"/>
        <rFont val="Verdana"/>
        <family val="2"/>
      </rPr>
      <t xml:space="preserve"> = RILEG</t>
    </r>
    <r>
      <rPr>
        <vertAlign val="subscript"/>
        <sz val="11"/>
        <color theme="1"/>
        <rFont val="Verdana"/>
        <family val="2"/>
      </rPr>
      <t>t</t>
    </r>
  </si>
  <si>
    <t>TRUt Calculation</t>
  </si>
  <si>
    <t>Special Condition Rev Adjust</t>
  </si>
  <si>
    <t>Present Value</t>
  </si>
  <si>
    <t>Stakeholder Engagement Reward</t>
  </si>
  <si>
    <t>Stakeholder Survey Satisfaction</t>
  </si>
  <si>
    <t>SFIt Calculation</t>
  </si>
  <si>
    <t>CF</t>
  </si>
  <si>
    <t>Calculated Target Emissions</t>
  </si>
  <si>
    <t>Actual Licensee Emissions</t>
  </si>
  <si>
    <t>Conversion Factor</t>
  </si>
  <si>
    <t>Non Traded Price of Carbon</t>
  </si>
  <si>
    <t>BASE</t>
  </si>
  <si>
    <t>Network Innovation Allowance Calculation</t>
  </si>
  <si>
    <t xml:space="preserve">Allowable NIA </t>
  </si>
  <si>
    <t>Recovered NIA</t>
  </si>
  <si>
    <t>Allowable Network Innovation Allowance Calculation</t>
  </si>
  <si>
    <t>PTRA</t>
  </si>
  <si>
    <t>BPC</t>
  </si>
  <si>
    <t>NIAV</t>
  </si>
  <si>
    <t>Pass Through Factor</t>
  </si>
  <si>
    <t>Eligible NIA Expenditure</t>
  </si>
  <si>
    <t>Licensee's NIA Percentage</t>
  </si>
  <si>
    <t>Base Revenue</t>
  </si>
  <si>
    <t>SO Base Internal Revenue Calculation and Components</t>
  </si>
  <si>
    <t>SO Base Internal Revenue</t>
  </si>
  <si>
    <t>SO Internal Revenue</t>
  </si>
  <si>
    <t>SO Base Revenue Allowance</t>
  </si>
  <si>
    <t>SO PCFM Variable Values</t>
  </si>
  <si>
    <t>SO True Up</t>
  </si>
  <si>
    <r>
      <t>SOTRU</t>
    </r>
    <r>
      <rPr>
        <vertAlign val="subscript"/>
        <sz val="11"/>
        <color theme="1"/>
        <rFont val="Verdana"/>
        <family val="2"/>
      </rPr>
      <t>t</t>
    </r>
    <r>
      <rPr>
        <sz val="11"/>
        <color theme="1"/>
        <rFont val="Verdana"/>
        <family val="2"/>
      </rPr>
      <t xml:space="preserve"> = ((RPIA</t>
    </r>
    <r>
      <rPr>
        <vertAlign val="subscript"/>
        <sz val="11"/>
        <color theme="1"/>
        <rFont val="Verdana"/>
        <family val="2"/>
      </rPr>
      <t>t-2</t>
    </r>
    <r>
      <rPr>
        <sz val="11"/>
        <color theme="1"/>
        <rFont val="Verdana"/>
        <family val="2"/>
      </rPr>
      <t xml:space="preserve"> – RPIF</t>
    </r>
    <r>
      <rPr>
        <vertAlign val="subscript"/>
        <sz val="11"/>
        <color theme="1"/>
        <rFont val="Verdana"/>
        <family val="2"/>
      </rPr>
      <t>t-2</t>
    </r>
    <r>
      <rPr>
        <sz val="11"/>
        <color theme="1"/>
        <rFont val="Verdana"/>
        <family val="2"/>
      </rPr>
      <t>)/RPIA</t>
    </r>
    <r>
      <rPr>
        <vertAlign val="subscript"/>
        <sz val="11"/>
        <color theme="1"/>
        <rFont val="Verdana"/>
        <family val="2"/>
      </rPr>
      <t>t-2</t>
    </r>
    <r>
      <rPr>
        <sz val="11"/>
        <color theme="1"/>
        <rFont val="Verdana"/>
        <family val="2"/>
      </rPr>
      <t>) x SOREV</t>
    </r>
    <r>
      <rPr>
        <vertAlign val="subscript"/>
        <sz val="11"/>
        <color theme="1"/>
        <rFont val="Verdana"/>
        <family val="2"/>
      </rPr>
      <t>t-2</t>
    </r>
    <r>
      <rPr>
        <sz val="11"/>
        <color theme="1"/>
        <rFont val="Verdana"/>
        <family val="2"/>
      </rPr>
      <t xml:space="preserve"> x PVF</t>
    </r>
    <r>
      <rPr>
        <vertAlign val="subscript"/>
        <sz val="11"/>
        <color theme="1"/>
        <rFont val="Verdana"/>
        <family val="2"/>
      </rPr>
      <t>t-2</t>
    </r>
    <r>
      <rPr>
        <sz val="11"/>
        <color theme="1"/>
        <rFont val="Verdana"/>
        <family val="2"/>
      </rPr>
      <t xml:space="preserve"> x PVF</t>
    </r>
    <r>
      <rPr>
        <vertAlign val="subscript"/>
        <sz val="11"/>
        <color theme="1"/>
        <rFont val="Verdana"/>
        <family val="2"/>
      </rPr>
      <t>t-1</t>
    </r>
  </si>
  <si>
    <t>SO Revenue Adjustment</t>
  </si>
  <si>
    <t xml:space="preserve">RPI Base year adjustment </t>
  </si>
  <si>
    <t>License Fee Amount</t>
  </si>
  <si>
    <t>RPI Forecast</t>
  </si>
  <si>
    <t>Value of Lost Load</t>
  </si>
  <si>
    <t>Max Downside Adjustment</t>
  </si>
  <si>
    <t>Loss of Supply Volume Target</t>
  </si>
  <si>
    <t>Total Incentivised Energy not supplied</t>
  </si>
  <si>
    <t>Reliability Incentive Legacy</t>
  </si>
  <si>
    <t>Business Rates Allowance</t>
  </si>
  <si>
    <t>Business Rates Actual</t>
  </si>
  <si>
    <t>Business Rates Adjustment Calculation</t>
  </si>
  <si>
    <t>Inter Transmission SO Compensation</t>
  </si>
  <si>
    <t>Inter Transmission Participation Compensation</t>
  </si>
  <si>
    <t>Inter Transmission SO Mechanism Allowance</t>
  </si>
  <si>
    <t>True Up</t>
  </si>
  <si>
    <t>Average Interest in Yr T</t>
  </si>
  <si>
    <t>Income Adjusting Event</t>
  </si>
  <si>
    <t>Commentary</t>
  </si>
  <si>
    <t>(please list)</t>
  </si>
  <si>
    <t>Other Adjustments</t>
  </si>
  <si>
    <t>De-Minimis Turnover</t>
  </si>
  <si>
    <t>(Less Connections Contributions)</t>
  </si>
  <si>
    <t>Excluded Services (inc. Connections Contributions)</t>
  </si>
  <si>
    <t>Other Turnover Items</t>
  </si>
  <si>
    <t>System Operator (Internal)</t>
  </si>
  <si>
    <t>System Operator (External)</t>
  </si>
  <si>
    <t>Transmission Operator</t>
  </si>
  <si>
    <t>Actual Turnover</t>
  </si>
  <si>
    <t>Excluded Services</t>
  </si>
  <si>
    <t>Please provide a list of excluded services for all items greater than or equal to £500k</t>
  </si>
  <si>
    <t>Activity Description</t>
  </si>
  <si>
    <t>Total</t>
  </si>
  <si>
    <t>De Minimis Activities</t>
  </si>
  <si>
    <t>Please provide a list of De Minimis Activities for all items greater than or equal to £500k</t>
  </si>
  <si>
    <r>
      <t>BR</t>
    </r>
    <r>
      <rPr>
        <vertAlign val="subscript"/>
        <sz val="12"/>
        <color theme="1"/>
        <rFont val="Times New Roman"/>
        <family val="1"/>
      </rPr>
      <t>t</t>
    </r>
    <r>
      <rPr>
        <sz val="12"/>
        <color theme="1"/>
        <rFont val="Times New Roman"/>
        <family val="1"/>
      </rPr>
      <t xml:space="preserve">  = (PU</t>
    </r>
    <r>
      <rPr>
        <vertAlign val="subscript"/>
        <sz val="12"/>
        <color theme="1"/>
        <rFont val="Times New Roman"/>
        <family val="1"/>
      </rPr>
      <t>t</t>
    </r>
    <r>
      <rPr>
        <sz val="12"/>
        <color theme="1"/>
        <rFont val="Times New Roman"/>
        <family val="1"/>
      </rPr>
      <t xml:space="preserve"> + MOD</t>
    </r>
    <r>
      <rPr>
        <vertAlign val="subscript"/>
        <sz val="12"/>
        <color theme="1"/>
        <rFont val="Times New Roman"/>
        <family val="1"/>
      </rPr>
      <t>t</t>
    </r>
    <r>
      <rPr>
        <sz val="12"/>
        <color theme="1"/>
        <rFont val="Times New Roman"/>
        <family val="1"/>
      </rPr>
      <t xml:space="preserve"> + TRU</t>
    </r>
    <r>
      <rPr>
        <vertAlign val="subscript"/>
        <sz val="12"/>
        <color theme="1"/>
        <rFont val="Times New Roman"/>
        <family val="1"/>
      </rPr>
      <t>t</t>
    </r>
    <r>
      <rPr>
        <sz val="12"/>
        <color theme="1"/>
        <rFont val="Times New Roman"/>
        <family val="1"/>
      </rPr>
      <t>)  x RPIF</t>
    </r>
    <r>
      <rPr>
        <vertAlign val="subscript"/>
        <sz val="12"/>
        <color theme="1"/>
        <rFont val="Times New Roman"/>
        <family val="1"/>
      </rPr>
      <t>t</t>
    </r>
  </si>
  <si>
    <r>
      <t>RPIF</t>
    </r>
    <r>
      <rPr>
        <vertAlign val="subscript"/>
        <sz val="12"/>
        <color theme="1"/>
        <rFont val="Times New Roman"/>
        <family val="1"/>
      </rPr>
      <t>t</t>
    </r>
    <r>
      <rPr>
        <sz val="12"/>
        <color theme="1"/>
        <rFont val="Times New Roman"/>
        <family val="1"/>
      </rPr>
      <t xml:space="preserve"> = RPIA</t>
    </r>
    <r>
      <rPr>
        <vertAlign val="subscript"/>
        <sz val="12"/>
        <color theme="1"/>
        <rFont val="Times New Roman"/>
        <family val="1"/>
      </rPr>
      <t>t-2</t>
    </r>
    <r>
      <rPr>
        <sz val="12"/>
        <color theme="1"/>
        <rFont val="Times New Roman"/>
        <family val="1"/>
      </rPr>
      <t xml:space="preserve"> x (1+GRPIF</t>
    </r>
    <r>
      <rPr>
        <vertAlign val="subscript"/>
        <sz val="12"/>
        <color theme="1"/>
        <rFont val="Times New Roman"/>
        <family val="1"/>
      </rPr>
      <t>t-1</t>
    </r>
    <r>
      <rPr>
        <sz val="12"/>
        <color theme="1"/>
        <rFont val="Times New Roman"/>
        <family val="1"/>
      </rPr>
      <t>) x (1+GRPIF</t>
    </r>
    <r>
      <rPr>
        <vertAlign val="subscript"/>
        <sz val="12"/>
        <color theme="1"/>
        <rFont val="Times New Roman"/>
        <family val="1"/>
      </rPr>
      <t>t</t>
    </r>
    <r>
      <rPr>
        <sz val="12"/>
        <color theme="1"/>
        <rFont val="Times New Roman"/>
        <family val="1"/>
      </rPr>
      <t>)</t>
    </r>
  </si>
  <si>
    <t>Present Value Factor</t>
  </si>
  <si>
    <t>RPI Adjustment</t>
  </si>
  <si>
    <t>R1 Cover</t>
  </si>
  <si>
    <t>Description</t>
  </si>
  <si>
    <r>
      <t xml:space="preserve">Screenshots of the worksheets in this workbook are given in the </t>
    </r>
    <r>
      <rPr>
        <i/>
        <sz val="10"/>
        <rFont val="Verdana"/>
        <family val="2"/>
      </rPr>
      <t>Instructions for completing revenue reporting</t>
    </r>
    <r>
      <rPr>
        <sz val="10"/>
        <rFont val="Verdana"/>
        <family val="2"/>
      </rPr>
      <t xml:space="preserve"> section of the Cost and Revenue Reporting RIGs
Note:  In the event of any inconsistency, the licence conditions and then the RIGs take precedence.  Any inconsistencies with the licence conditions should be reported to Ofgem straight away.</t>
    </r>
  </si>
  <si>
    <t>input cells</t>
  </si>
  <si>
    <t>cells linked to other worksheet</t>
  </si>
  <si>
    <t>R2 Schematic</t>
  </si>
  <si>
    <t>R3 Version Log</t>
  </si>
  <si>
    <t>Date</t>
  </si>
  <si>
    <t>Version</t>
  </si>
  <si>
    <t>Amendment</t>
  </si>
  <si>
    <t>R4 Licence Condition Values</t>
  </si>
  <si>
    <t>Reg Yr ending 31 March:</t>
  </si>
  <si>
    <t xml:space="preserve">General </t>
  </si>
  <si>
    <t>Range Name</t>
  </si>
  <si>
    <t>%</t>
  </si>
  <si>
    <t>Base Demand Revenue</t>
  </si>
  <si>
    <t>PU</t>
  </si>
  <si>
    <t>Pass through items</t>
  </si>
  <si>
    <t>R5 Input Page</t>
  </si>
  <si>
    <t>Basic Information</t>
  </si>
  <si>
    <t>COMPNAME</t>
  </si>
  <si>
    <t>Regulatory Year</t>
  </si>
  <si>
    <t>R7 Pass through items</t>
  </si>
  <si>
    <t>R8 Output incentives</t>
  </si>
  <si>
    <t>RPIF</t>
  </si>
  <si>
    <t>Factor</t>
  </si>
  <si>
    <t>SOMOD</t>
  </si>
  <si>
    <t>Modification to Revenue from Annual Iteration Process - TO</t>
  </si>
  <si>
    <t>Modification to Revenue from Annual Iteration Process - SO</t>
  </si>
  <si>
    <t>RBE</t>
  </si>
  <si>
    <t>RBA</t>
  </si>
  <si>
    <t>LFE</t>
  </si>
  <si>
    <t>LFA</t>
  </si>
  <si>
    <t>Inter Transmission SO Compensation Calculation (NGET only)</t>
  </si>
  <si>
    <t>RPIA</t>
  </si>
  <si>
    <t>RPI Actual</t>
  </si>
  <si>
    <t>Actual RPI</t>
  </si>
  <si>
    <t>RPI indices</t>
  </si>
  <si>
    <t>PVF</t>
  </si>
  <si>
    <t xml:space="preserve">Present value factor </t>
  </si>
  <si>
    <t>License Fee Allowance</t>
  </si>
  <si>
    <t>Temporary physical disconnection</t>
  </si>
  <si>
    <t>ITC</t>
  </si>
  <si>
    <t>ITP</t>
  </si>
  <si>
    <t>ITA</t>
  </si>
  <si>
    <t>TPD</t>
  </si>
  <si>
    <t>TPA</t>
  </si>
  <si>
    <t>Physical disconnection costs</t>
  </si>
  <si>
    <t>LF</t>
  </si>
  <si>
    <t>Income from terminated bilateral agreements</t>
  </si>
  <si>
    <t>RegYr</t>
  </si>
  <si>
    <t>TIRG</t>
  </si>
  <si>
    <t>FTIRGC</t>
  </si>
  <si>
    <t>FTIRGCDepn</t>
  </si>
  <si>
    <t>ETIRGORAV</t>
  </si>
  <si>
    <t>Dep</t>
  </si>
  <si>
    <t>CCTIRG</t>
  </si>
  <si>
    <t>ETIRGC</t>
  </si>
  <si>
    <t>Determination of TIRG Project - England / Scotland</t>
  </si>
  <si>
    <t>IPTIRG</t>
  </si>
  <si>
    <t>TIRGIncAdj</t>
  </si>
  <si>
    <t>FTIRG</t>
  </si>
  <si>
    <t>ETIRG</t>
  </si>
  <si>
    <t>ATIRG</t>
  </si>
  <si>
    <t>Determination of IPTIRG</t>
  </si>
  <si>
    <t>CFTIRG</t>
  </si>
  <si>
    <t>Determination of FTIRG</t>
  </si>
  <si>
    <t>AFFTIRG</t>
  </si>
  <si>
    <t>FTIRGDepn</t>
  </si>
  <si>
    <t>AFFTIRGDepn</t>
  </si>
  <si>
    <t>Determination of ETIRG</t>
  </si>
  <si>
    <t>SAFTIRG</t>
  </si>
  <si>
    <t>Authority Adjustment</t>
  </si>
  <si>
    <t>SAFRTIRG</t>
  </si>
  <si>
    <t>Cost of capital (TIRG)</t>
  </si>
  <si>
    <t>Authority determined value</t>
  </si>
  <si>
    <t>Adjustment to Average Value of Transmission Project</t>
  </si>
  <si>
    <t>Adjustment to Depreciation</t>
  </si>
  <si>
    <t>Opening Asset Value for Transmission Project</t>
  </si>
  <si>
    <t>CCTIRG*(FTIRG+AFFTIRG)*RPIF</t>
  </si>
  <si>
    <t>(FTIRGDepn+AFFTIRGDepn)*RPIF</t>
  </si>
  <si>
    <t>used for 2014</t>
  </si>
  <si>
    <t>used for 2015</t>
  </si>
  <si>
    <t>used for 2016</t>
  </si>
  <si>
    <t>used for 2017</t>
  </si>
  <si>
    <t>used for 2018</t>
  </si>
  <si>
    <t>used for 2019</t>
  </si>
  <si>
    <t>used for 2020</t>
  </si>
  <si>
    <t>used for 2021</t>
  </si>
  <si>
    <t>GRPIF c</t>
  </si>
  <si>
    <t>Calendar Year</t>
  </si>
  <si>
    <t>Retail Prices Index Forecast Growth Rate</t>
  </si>
  <si>
    <t>from November 2011</t>
  </si>
  <si>
    <t>from November 2012</t>
  </si>
  <si>
    <t>from November 2013</t>
  </si>
  <si>
    <t>from November 2014</t>
  </si>
  <si>
    <t>from November 2015</t>
  </si>
  <si>
    <t>from November 2016</t>
  </si>
  <si>
    <t>from November 2017</t>
  </si>
  <si>
    <t>from November 2018</t>
  </si>
  <si>
    <t>from November 2019</t>
  </si>
  <si>
    <t>OIP</t>
  </si>
  <si>
    <t>Dep*SAFRTIRG*RPIF</t>
  </si>
  <si>
    <t>Present value factor</t>
  </si>
  <si>
    <t>Average Specified Rate</t>
  </si>
  <si>
    <r>
      <t>PT</t>
    </r>
    <r>
      <rPr>
        <vertAlign val="subscript"/>
        <sz val="12"/>
        <color theme="1"/>
        <rFont val="Times New Roman"/>
        <family val="1"/>
      </rPr>
      <t>t</t>
    </r>
    <r>
      <rPr>
        <sz val="12"/>
        <color theme="1"/>
        <rFont val="Times New Roman"/>
        <family val="1"/>
      </rPr>
      <t xml:space="preserve"> = RB</t>
    </r>
    <r>
      <rPr>
        <vertAlign val="subscript"/>
        <sz val="12"/>
        <color theme="1"/>
        <rFont val="Times New Roman"/>
        <family val="1"/>
      </rPr>
      <t>t</t>
    </r>
    <r>
      <rPr>
        <sz val="12"/>
        <color theme="1"/>
        <rFont val="Times New Roman"/>
        <family val="1"/>
      </rPr>
      <t xml:space="preserve"> + LF</t>
    </r>
    <r>
      <rPr>
        <vertAlign val="subscript"/>
        <sz val="12"/>
        <color theme="1"/>
        <rFont val="Times New Roman"/>
        <family val="1"/>
      </rPr>
      <t>t</t>
    </r>
    <r>
      <rPr>
        <sz val="12"/>
        <color theme="1"/>
        <rFont val="Times New Roman"/>
        <family val="1"/>
      </rPr>
      <t xml:space="preserve"> + TPD</t>
    </r>
    <r>
      <rPr>
        <vertAlign val="subscript"/>
        <sz val="12"/>
        <color theme="1"/>
        <rFont val="Times New Roman"/>
        <family val="1"/>
      </rPr>
      <t>t</t>
    </r>
    <r>
      <rPr>
        <sz val="12"/>
        <color theme="1"/>
        <rFont val="Times New Roman"/>
        <family val="1"/>
      </rPr>
      <t>+ ITC</t>
    </r>
    <r>
      <rPr>
        <vertAlign val="subscript"/>
        <sz val="12"/>
        <color theme="1"/>
        <rFont val="Times New Roman"/>
        <family val="1"/>
      </rPr>
      <t>t</t>
    </r>
    <r>
      <rPr>
        <sz val="12"/>
        <color theme="1"/>
        <rFont val="Times New Roman"/>
        <family val="1"/>
      </rPr>
      <t xml:space="preserve"> + Term</t>
    </r>
    <r>
      <rPr>
        <vertAlign val="subscript"/>
        <sz val="12"/>
        <color theme="1"/>
        <rFont val="Times New Roman"/>
        <family val="1"/>
      </rPr>
      <t>t</t>
    </r>
    <r>
      <rPr>
        <sz val="12"/>
        <color theme="1"/>
        <rFont val="Times New Roman"/>
        <family val="1"/>
      </rPr>
      <t xml:space="preserve"> + TSP</t>
    </r>
    <r>
      <rPr>
        <vertAlign val="subscript"/>
        <sz val="12"/>
        <color theme="1"/>
        <rFont val="Times New Roman"/>
        <family val="1"/>
      </rPr>
      <t>t</t>
    </r>
    <r>
      <rPr>
        <sz val="12"/>
        <color theme="1"/>
        <rFont val="Times New Roman"/>
        <family val="1"/>
      </rPr>
      <t xml:space="preserve"> + TSH</t>
    </r>
    <r>
      <rPr>
        <vertAlign val="subscript"/>
        <sz val="12"/>
        <color theme="1"/>
        <rFont val="Times New Roman"/>
        <family val="1"/>
      </rPr>
      <t>t</t>
    </r>
    <r>
      <rPr>
        <sz val="12"/>
        <color theme="1"/>
        <rFont val="Times New Roman"/>
        <family val="1"/>
      </rPr>
      <t xml:space="preserve"> + TOFTO</t>
    </r>
    <r>
      <rPr>
        <vertAlign val="subscript"/>
        <sz val="12"/>
        <color theme="1"/>
        <rFont val="Times New Roman"/>
        <family val="1"/>
      </rPr>
      <t>t</t>
    </r>
    <r>
      <rPr>
        <sz val="12"/>
        <color theme="1"/>
        <rFont val="Times New Roman"/>
        <family val="1"/>
      </rPr>
      <t xml:space="preserve"> + OFET</t>
    </r>
    <r>
      <rPr>
        <vertAlign val="subscript"/>
        <sz val="12"/>
        <color theme="1"/>
        <rFont val="Times New Roman"/>
        <family val="1"/>
      </rPr>
      <t>t</t>
    </r>
  </si>
  <si>
    <t>Licence Condition 3C</t>
  </si>
  <si>
    <t>RILEG</t>
  </si>
  <si>
    <t>Incentives</t>
  </si>
  <si>
    <t>Reliability</t>
  </si>
  <si>
    <t>VOLL</t>
  </si>
  <si>
    <t>MWh</t>
  </si>
  <si>
    <t>ENST</t>
  </si>
  <si>
    <t>RIDPA</t>
  </si>
  <si>
    <t>ENSA</t>
  </si>
  <si>
    <t>Base revenue</t>
  </si>
  <si>
    <t>TIRG revenue</t>
  </si>
  <si>
    <t>Revenue adjustment factor</t>
  </si>
  <si>
    <t>Revenue adjustment factor calculation</t>
  </si>
  <si>
    <t>CSSP</t>
  </si>
  <si>
    <t>Product</t>
  </si>
  <si>
    <t>Average specified rate</t>
  </si>
  <si>
    <t>TIRGt</t>
  </si>
  <si>
    <t>SER</t>
  </si>
  <si>
    <t>Incentive in respect of Sulphur Hexafluoride</t>
  </si>
  <si>
    <t>PTIS</t>
  </si>
  <si>
    <t>RPI factor</t>
  </si>
  <si>
    <t>PTIS calculation</t>
  </si>
  <si>
    <t>TIS</t>
  </si>
  <si>
    <t>Totex Incentive Strength</t>
  </si>
  <si>
    <t>TR</t>
  </si>
  <si>
    <t>Corporation tax rate</t>
  </si>
  <si>
    <t>Post tax incentive strength</t>
  </si>
  <si>
    <t>Sulphur Hexafluoride Incentive</t>
  </si>
  <si>
    <t>Base leakage</t>
  </si>
  <si>
    <t>Additional SF6 leakage</t>
  </si>
  <si>
    <t>ADD</t>
  </si>
  <si>
    <t>DSP</t>
  </si>
  <si>
    <t>Reduction from decommissioned assets</t>
  </si>
  <si>
    <t>ALE</t>
  </si>
  <si>
    <t>NTPC</t>
  </si>
  <si>
    <t>Non traded price of carbon</t>
  </si>
  <si>
    <t>SFI</t>
  </si>
  <si>
    <t>Customer &amp; Stakeholder Satisfaction Incentive</t>
  </si>
  <si>
    <t>Customer Satisfaction Survey</t>
  </si>
  <si>
    <t>CSSPRO</t>
  </si>
  <si>
    <t>SSST</t>
  </si>
  <si>
    <t>SSSCAP</t>
  </si>
  <si>
    <t>SSSUPA</t>
  </si>
  <si>
    <t>SSSCOL</t>
  </si>
  <si>
    <t>SSSDPA</t>
  </si>
  <si>
    <r>
      <t>If SSSP</t>
    </r>
    <r>
      <rPr>
        <vertAlign val="subscript"/>
        <sz val="12"/>
        <color theme="1"/>
        <rFont val="Times New Roman"/>
        <family val="1"/>
      </rPr>
      <t>t-2</t>
    </r>
    <r>
      <rPr>
        <sz val="12"/>
        <color theme="1"/>
        <rFont val="Times New Roman"/>
        <family val="1"/>
      </rPr>
      <t>&lt; SSST:</t>
    </r>
  </si>
  <si>
    <t>Stakeholder Satisfaction Target</t>
  </si>
  <si>
    <t>Stakeholder Satisfaction Survey cap</t>
  </si>
  <si>
    <t>Stakeholder Satisfaction Survey collar</t>
  </si>
  <si>
    <t>Stakeholder Satisfaction Survey upside adj</t>
  </si>
  <si>
    <t xml:space="preserve">Stakeholder Satisfaction Survey downside </t>
  </si>
  <si>
    <t>SSSP</t>
  </si>
  <si>
    <t>Stakeholder Satisfaction Survey score</t>
  </si>
  <si>
    <r>
      <t>EDR</t>
    </r>
    <r>
      <rPr>
        <vertAlign val="subscript"/>
        <sz val="12"/>
        <rFont val="Times New Roman"/>
        <family val="1"/>
      </rPr>
      <t>t</t>
    </r>
    <r>
      <rPr>
        <sz val="12"/>
        <rFont val="Times New Roman"/>
        <family val="1"/>
      </rPr>
      <t xml:space="preserve"> = EDRO</t>
    </r>
    <r>
      <rPr>
        <vertAlign val="subscript"/>
        <sz val="12"/>
        <rFont val="Times New Roman"/>
        <family val="1"/>
      </rPr>
      <t>t-2</t>
    </r>
    <r>
      <rPr>
        <sz val="12"/>
        <rFont val="Times New Roman"/>
        <family val="1"/>
      </rPr>
      <t xml:space="preserve"> x (1 + I</t>
    </r>
    <r>
      <rPr>
        <vertAlign val="subscript"/>
        <sz val="12"/>
        <rFont val="Times New Roman"/>
        <family val="1"/>
      </rPr>
      <t>t-2</t>
    </r>
    <r>
      <rPr>
        <sz val="12"/>
        <rFont val="Times New Roman"/>
        <family val="1"/>
      </rPr>
      <t xml:space="preserve"> / 100) x (1 + I</t>
    </r>
    <r>
      <rPr>
        <vertAlign val="subscript"/>
        <sz val="12"/>
        <rFont val="Times New Roman"/>
        <family val="1"/>
      </rPr>
      <t>t-1</t>
    </r>
    <r>
      <rPr>
        <sz val="12"/>
        <rFont val="Times New Roman"/>
        <family val="1"/>
      </rPr>
      <t xml:space="preserve"> / 100)</t>
    </r>
  </si>
  <si>
    <t>EDRO</t>
  </si>
  <si>
    <t>EDR scheme adjustment</t>
  </si>
  <si>
    <r>
      <t>ANIA</t>
    </r>
    <r>
      <rPr>
        <vertAlign val="subscript"/>
        <sz val="12"/>
        <color theme="1"/>
        <rFont val="Times New Roman"/>
        <family val="1"/>
      </rPr>
      <t>t</t>
    </r>
    <r>
      <rPr>
        <sz val="12"/>
        <color theme="1"/>
        <rFont val="Times New Roman"/>
        <family val="1"/>
      </rPr>
      <t xml:space="preserve"> = PTRA x min((ENIA</t>
    </r>
    <r>
      <rPr>
        <vertAlign val="subscript"/>
        <sz val="12"/>
        <color theme="1"/>
        <rFont val="Times New Roman"/>
        <family val="1"/>
      </rPr>
      <t>t</t>
    </r>
    <r>
      <rPr>
        <sz val="12"/>
        <color theme="1"/>
        <rFont val="Times New Roman"/>
        <family val="1"/>
      </rPr>
      <t xml:space="preserve"> + BPC</t>
    </r>
    <r>
      <rPr>
        <vertAlign val="subscript"/>
        <sz val="12"/>
        <color theme="1"/>
        <rFont val="Times New Roman"/>
        <family val="1"/>
      </rPr>
      <t>t</t>
    </r>
    <r>
      <rPr>
        <sz val="12"/>
        <color theme="1"/>
        <rFont val="Times New Roman"/>
        <family val="1"/>
      </rPr>
      <t>), (NIAV x BR</t>
    </r>
    <r>
      <rPr>
        <vertAlign val="subscript"/>
        <sz val="12"/>
        <color theme="1"/>
        <rFont val="Times New Roman"/>
        <family val="1"/>
      </rPr>
      <t>t</t>
    </r>
    <r>
      <rPr>
        <sz val="12"/>
        <color theme="1"/>
        <rFont val="Times New Roman"/>
        <family val="1"/>
      </rPr>
      <t>))</t>
    </r>
  </si>
  <si>
    <r>
      <t>NIA</t>
    </r>
    <r>
      <rPr>
        <vertAlign val="subscript"/>
        <sz val="12"/>
        <color theme="1"/>
        <rFont val="Times New Roman"/>
        <family val="1"/>
      </rPr>
      <t>t</t>
    </r>
    <r>
      <rPr>
        <sz val="12"/>
        <color theme="1"/>
        <rFont val="Times New Roman"/>
        <family val="1"/>
      </rPr>
      <t>= ANIA</t>
    </r>
    <r>
      <rPr>
        <vertAlign val="subscript"/>
        <sz val="12"/>
        <color theme="1"/>
        <rFont val="Times New Roman"/>
        <family val="1"/>
      </rPr>
      <t>t</t>
    </r>
    <r>
      <rPr>
        <sz val="12"/>
        <color theme="1"/>
        <rFont val="Times New Roman"/>
        <family val="1"/>
      </rPr>
      <t xml:space="preserve"> - NIAR</t>
    </r>
    <r>
      <rPr>
        <vertAlign val="subscript"/>
        <sz val="12"/>
        <color theme="1"/>
        <rFont val="Times New Roman"/>
        <family val="1"/>
      </rPr>
      <t>t</t>
    </r>
  </si>
  <si>
    <t>NIC Eligible Bid Preparation Costs</t>
  </si>
  <si>
    <t>ENIA</t>
  </si>
  <si>
    <t>NIA</t>
  </si>
  <si>
    <t>NICF</t>
  </si>
  <si>
    <t>NIAR</t>
  </si>
  <si>
    <r>
      <t>TRU</t>
    </r>
    <r>
      <rPr>
        <vertAlign val="subscript"/>
        <sz val="10"/>
        <color rgb="FFFF0000"/>
        <rFont val="Verdana"/>
        <family val="2"/>
      </rPr>
      <t>t</t>
    </r>
  </si>
  <si>
    <t xml:space="preserve">Pre tax TIRG cost of capital </t>
  </si>
  <si>
    <t>Adjustment to Av asset value</t>
  </si>
  <si>
    <t>R11 TIRG</t>
  </si>
  <si>
    <t>Adjustment to Av asset depreciation</t>
  </si>
  <si>
    <t>Opening asset value</t>
  </si>
  <si>
    <t xml:space="preserve"> Period:</t>
  </si>
  <si>
    <t>Reconciliation to Regulatory / Statutory Accounts</t>
  </si>
  <si>
    <t>Building phase - average asset value</t>
  </si>
  <si>
    <t>Building phase - depreciation value</t>
  </si>
  <si>
    <t xml:space="preserve">Incentive phase opening RAV </t>
  </si>
  <si>
    <t xml:space="preserve">Incentive phase depreciation allowed </t>
  </si>
  <si>
    <t>Incentive phase average asset value</t>
  </si>
  <si>
    <t>Income adjusting event</t>
  </si>
  <si>
    <t>DIS</t>
  </si>
  <si>
    <t>Net adjustment</t>
  </si>
  <si>
    <t>TS</t>
  </si>
  <si>
    <r>
      <t>TO</t>
    </r>
    <r>
      <rPr>
        <vertAlign val="subscript"/>
        <sz val="12"/>
        <color theme="1"/>
        <rFont val="Times New Roman"/>
        <family val="1"/>
      </rPr>
      <t>t</t>
    </r>
    <r>
      <rPr>
        <sz val="12"/>
        <color theme="1"/>
        <rFont val="Times New Roman"/>
        <family val="1"/>
      </rPr>
      <t xml:space="preserve"> = BR</t>
    </r>
    <r>
      <rPr>
        <vertAlign val="subscript"/>
        <sz val="12"/>
        <color theme="1"/>
        <rFont val="Times New Roman"/>
        <family val="1"/>
      </rPr>
      <t>t</t>
    </r>
    <r>
      <rPr>
        <sz val="12"/>
        <color theme="1"/>
        <rFont val="Times New Roman"/>
        <family val="1"/>
      </rPr>
      <t xml:space="preserve"> + PT</t>
    </r>
    <r>
      <rPr>
        <vertAlign val="subscript"/>
        <sz val="12"/>
        <color theme="1"/>
        <rFont val="Times New Roman"/>
        <family val="1"/>
      </rPr>
      <t>t</t>
    </r>
    <r>
      <rPr>
        <sz val="12"/>
        <color theme="1"/>
        <rFont val="Times New Roman"/>
        <family val="1"/>
      </rPr>
      <t xml:space="preserve"> + OIP</t>
    </r>
    <r>
      <rPr>
        <vertAlign val="subscript"/>
        <sz val="12"/>
        <color theme="1"/>
        <rFont val="Times New Roman"/>
        <family val="1"/>
      </rPr>
      <t>t</t>
    </r>
    <r>
      <rPr>
        <sz val="12"/>
        <color theme="1"/>
        <rFont val="Times New Roman"/>
        <family val="1"/>
      </rPr>
      <t xml:space="preserve"> +NIA</t>
    </r>
    <r>
      <rPr>
        <vertAlign val="subscript"/>
        <sz val="12"/>
        <color theme="1"/>
        <rFont val="Times New Roman"/>
        <family val="1"/>
      </rPr>
      <t>t</t>
    </r>
    <r>
      <rPr>
        <sz val="12"/>
        <color theme="1"/>
        <rFont val="Times New Roman"/>
        <family val="1"/>
      </rPr>
      <t xml:space="preserve"> + NICF</t>
    </r>
    <r>
      <rPr>
        <vertAlign val="subscript"/>
        <sz val="12"/>
        <color theme="1"/>
        <rFont val="Times New Roman"/>
        <family val="1"/>
      </rPr>
      <t>t</t>
    </r>
    <r>
      <rPr>
        <sz val="12"/>
        <color theme="1"/>
        <rFont val="Times New Roman"/>
        <family val="1"/>
      </rPr>
      <t>+ TIRG</t>
    </r>
    <r>
      <rPr>
        <vertAlign val="subscript"/>
        <sz val="12"/>
        <color theme="1"/>
        <rFont val="Times New Roman"/>
        <family val="1"/>
      </rPr>
      <t>t</t>
    </r>
    <r>
      <rPr>
        <sz val="12"/>
        <color theme="1"/>
        <rFont val="Times New Roman"/>
        <family val="1"/>
      </rPr>
      <t xml:space="preserve"> + DIS</t>
    </r>
    <r>
      <rPr>
        <vertAlign val="subscript"/>
        <sz val="12"/>
        <color theme="1"/>
        <rFont val="Times New Roman"/>
        <family val="1"/>
      </rPr>
      <t>t</t>
    </r>
    <r>
      <rPr>
        <sz val="12"/>
        <color theme="1"/>
        <rFont val="Times New Roman"/>
        <family val="1"/>
      </rPr>
      <t xml:space="preserve"> + TS</t>
    </r>
    <r>
      <rPr>
        <vertAlign val="subscript"/>
        <sz val="12"/>
        <color theme="1"/>
        <rFont val="Times New Roman"/>
        <family val="1"/>
      </rPr>
      <t>t</t>
    </r>
    <r>
      <rPr>
        <u/>
        <vertAlign val="subscript"/>
        <sz val="12"/>
        <color rgb="FF008080"/>
        <rFont val="Times New Roman"/>
        <family val="1"/>
      </rPr>
      <t xml:space="preserve"> </t>
    </r>
    <r>
      <rPr>
        <sz val="12"/>
        <color theme="1"/>
        <rFont val="Times New Roman"/>
        <family val="1"/>
      </rPr>
      <t>- K</t>
    </r>
    <r>
      <rPr>
        <vertAlign val="subscript"/>
        <sz val="12"/>
        <color theme="1"/>
        <rFont val="Times New Roman"/>
        <family val="1"/>
      </rPr>
      <t>t</t>
    </r>
  </si>
  <si>
    <t>Weighted average cost of capital (from PCFM)</t>
  </si>
  <si>
    <t>WACC</t>
  </si>
  <si>
    <t>Company name</t>
  </si>
  <si>
    <r>
      <t>RB</t>
    </r>
    <r>
      <rPr>
        <vertAlign val="subscript"/>
        <sz val="10"/>
        <color rgb="FFFF0000"/>
        <rFont val="Verdana"/>
        <family val="2"/>
      </rPr>
      <t>t</t>
    </r>
  </si>
  <si>
    <r>
      <t>REV</t>
    </r>
    <r>
      <rPr>
        <vertAlign val="subscript"/>
        <sz val="10"/>
        <color rgb="FFFF0000"/>
        <rFont val="Verdana"/>
        <family val="2"/>
      </rPr>
      <t>t</t>
    </r>
  </si>
  <si>
    <t>RI</t>
  </si>
  <si>
    <t xml:space="preserve">RPIF </t>
  </si>
  <si>
    <t>RPI Adjustment Factor</t>
  </si>
  <si>
    <t>SOREV</t>
  </si>
  <si>
    <t>SOPU</t>
  </si>
  <si>
    <t>TNR</t>
  </si>
  <si>
    <t xml:space="preserve">Max Allowed Revenue </t>
  </si>
  <si>
    <t>R13 Excluded/ De Minimis revenue</t>
  </si>
  <si>
    <t>Sub total</t>
  </si>
  <si>
    <t>SubTIRG</t>
  </si>
  <si>
    <t>MOD</t>
  </si>
  <si>
    <t xml:space="preserve">Eligible NIA Internal Expenditure </t>
  </si>
  <si>
    <t>Allowable Network Innovation Expenditure</t>
  </si>
  <si>
    <t>NIAIE</t>
  </si>
  <si>
    <t>Z</t>
  </si>
  <si>
    <t>FOR INFORMATION ONLY</t>
  </si>
  <si>
    <t>CTE</t>
  </si>
  <si>
    <t>BR</t>
  </si>
  <si>
    <t>CSSAF</t>
  </si>
  <si>
    <t>SSSAF</t>
  </si>
  <si>
    <t>SSS</t>
  </si>
  <si>
    <t>RB</t>
  </si>
  <si>
    <t>Term</t>
  </si>
  <si>
    <t>TSP</t>
  </si>
  <si>
    <t>TSH</t>
  </si>
  <si>
    <t>TOFTO</t>
  </si>
  <si>
    <t>OFET</t>
  </si>
  <si>
    <t>PT</t>
  </si>
  <si>
    <t>(CCTIRG*(ETIRG*SAFRTIRG)*RPIF)</t>
  </si>
  <si>
    <t>OIP Output Incentive Calculation and Components</t>
  </si>
  <si>
    <t>Network Reliability Incentive Calculation</t>
  </si>
  <si>
    <t xml:space="preserve">Post Tax Totex Incentive Strength </t>
  </si>
  <si>
    <t>Actual RPI factor</t>
  </si>
  <si>
    <t>Forecast RPI factor</t>
  </si>
  <si>
    <t>SSO</t>
  </si>
  <si>
    <t>EDR</t>
  </si>
  <si>
    <t>SSO Calculation</t>
  </si>
  <si>
    <t>SSS Calculation</t>
  </si>
  <si>
    <t>Name</t>
  </si>
  <si>
    <t>I</t>
  </si>
  <si>
    <t xml:space="preserve">GRPIF </t>
  </si>
  <si>
    <t xml:space="preserve">RPIA </t>
  </si>
  <si>
    <t>TRU</t>
  </si>
  <si>
    <t>REV</t>
  </si>
  <si>
    <t>ANIA</t>
  </si>
  <si>
    <t>PR</t>
  </si>
  <si>
    <t>K</t>
  </si>
  <si>
    <t xml:space="preserve">TIRG </t>
  </si>
  <si>
    <t xml:space="preserve">PT </t>
  </si>
  <si>
    <t xml:space="preserve">DIS </t>
  </si>
  <si>
    <t xml:space="preserve">TS </t>
  </si>
  <si>
    <t xml:space="preserve">K </t>
  </si>
  <si>
    <t xml:space="preserve">SOMOD </t>
  </si>
  <si>
    <t xml:space="preserve">SOTRU </t>
  </si>
  <si>
    <t xml:space="preserve">SOBR </t>
  </si>
  <si>
    <t xml:space="preserve">SOI </t>
  </si>
  <si>
    <t xml:space="preserve">SO Base Internal Revenue </t>
  </si>
  <si>
    <t xml:space="preserve">RPI Adjustment Factor </t>
  </si>
  <si>
    <t>SO terms</t>
  </si>
  <si>
    <t>SO Revenue Adjustment Calculation</t>
  </si>
  <si>
    <t>SOTRU</t>
  </si>
  <si>
    <t>Incremental change per PCFM</t>
  </si>
  <si>
    <t xml:space="preserve">SO Revenue Adjustment </t>
  </si>
  <si>
    <t>For 2014-15 only:</t>
  </si>
  <si>
    <t>CSOC</t>
  </si>
  <si>
    <t>NC</t>
  </si>
  <si>
    <t>Base revenue per SC AA5A</t>
  </si>
  <si>
    <t>Non incentivised costs</t>
  </si>
  <si>
    <t>SO Revenue</t>
  </si>
  <si>
    <t>Licence Fee Adjustment Calculation</t>
  </si>
  <si>
    <t>K Calculation and Components</t>
  </si>
  <si>
    <t>SOTRU Calculation</t>
  </si>
  <si>
    <t>SO External Revenue Calculation and Components</t>
  </si>
  <si>
    <t>CSOBM</t>
  </si>
  <si>
    <t>Contacts of availability for use of BM services</t>
  </si>
  <si>
    <t>BSCC</t>
  </si>
  <si>
    <t xml:space="preserve">Balancing service adjustments </t>
  </si>
  <si>
    <t>ET</t>
  </si>
  <si>
    <t xml:space="preserve">Balancing service provision to others </t>
  </si>
  <si>
    <t>OM</t>
  </si>
  <si>
    <t>Incentive Payments</t>
  </si>
  <si>
    <t>IncPayExt</t>
  </si>
  <si>
    <t>Balancing External Costs</t>
  </si>
  <si>
    <t>BX ext</t>
  </si>
  <si>
    <t>Determination of  Incentive Payments</t>
  </si>
  <si>
    <t>SF</t>
  </si>
  <si>
    <t>MT</t>
  </si>
  <si>
    <t>Cost of Balancing Services</t>
  </si>
  <si>
    <t>IBC</t>
  </si>
  <si>
    <t>CB</t>
  </si>
  <si>
    <t>Licensee Bids</t>
  </si>
  <si>
    <t>Contracts for Availability of use</t>
  </si>
  <si>
    <t>Allowed Income Adjustments</t>
  </si>
  <si>
    <t>RT</t>
  </si>
  <si>
    <t>Balancing Services to Others</t>
  </si>
  <si>
    <t>Cost of Incentivised Balancing Services</t>
  </si>
  <si>
    <t xml:space="preserve">This workbook incoporates the detailed and forecast returns referred to in Standard Condition B15 of the Electricity Transmission Licence.  
</t>
  </si>
  <si>
    <t>Customer Satisfaction Target</t>
  </si>
  <si>
    <t>Customer Satisfaction Survey cap</t>
  </si>
  <si>
    <t>Customer Satisfaction Survey collar</t>
  </si>
  <si>
    <t>Customer Satisfaction Survey upside adj</t>
  </si>
  <si>
    <t xml:space="preserve">Customer Satisfaction Survey downside </t>
  </si>
  <si>
    <t>CSST</t>
  </si>
  <si>
    <t>CSSCAP</t>
  </si>
  <si>
    <t>CSSCOL</t>
  </si>
  <si>
    <t>CSSUPA</t>
  </si>
  <si>
    <t>CSSDPA</t>
  </si>
  <si>
    <t xml:space="preserve">Building phase - depreciation value  </t>
  </si>
  <si>
    <t xml:space="preserve">Building phase - average asset value </t>
  </si>
  <si>
    <t xml:space="preserve">CTE calculation </t>
  </si>
  <si>
    <t>For relevant year beginning on 1 April 2015:</t>
  </si>
  <si>
    <t>Stakeholder Engagement Reward Limit (3D.5)</t>
  </si>
  <si>
    <t>If CSSPt-2&gt; CSST:</t>
  </si>
  <si>
    <t>Customer Satisfaction Survey score</t>
  </si>
  <si>
    <t>Qualifying NIA Internal Expenditure</t>
  </si>
  <si>
    <t>Eligible Internal NIA Expenditure</t>
  </si>
  <si>
    <t>Balancing Services Activity Revenue
Restriction on External Costs</t>
  </si>
  <si>
    <t>Determination of IBC (Cost of balancing services)</t>
  </si>
  <si>
    <t>Incentive Target Cost</t>
  </si>
  <si>
    <t>Modelled Target Costs</t>
  </si>
  <si>
    <t>MTC</t>
  </si>
  <si>
    <t>BSTC</t>
  </si>
  <si>
    <t>Target Cost for Black Start (SC 4G)</t>
  </si>
  <si>
    <t>Incentive Target Cost + 100</t>
  </si>
  <si>
    <t>Incentive Target Cost - 100</t>
  </si>
  <si>
    <t>Turnover as per Profit and Loss (Regulatory Accounts)</t>
  </si>
  <si>
    <t>Forecast pre-construction and contingency costs (</t>
  </si>
  <si>
    <t>Forecast pre-construction and contingency costs</t>
  </si>
  <si>
    <r>
      <t>RB</t>
    </r>
    <r>
      <rPr>
        <vertAlign val="subscript"/>
        <sz val="10"/>
        <rFont val="Verdana"/>
        <family val="2"/>
      </rPr>
      <t>t</t>
    </r>
  </si>
  <si>
    <r>
      <t>REV</t>
    </r>
    <r>
      <rPr>
        <vertAlign val="subscript"/>
        <sz val="10"/>
        <rFont val="Verdana"/>
        <family val="2"/>
      </rPr>
      <t>t</t>
    </r>
  </si>
  <si>
    <t>fixed value - check cells</t>
  </si>
  <si>
    <t>Transmission Network Reliability Incentive</t>
  </si>
  <si>
    <t>RILT</t>
  </si>
  <si>
    <t>RIUT</t>
  </si>
  <si>
    <t>RIUPA</t>
  </si>
  <si>
    <t>Supply Collar</t>
  </si>
  <si>
    <t>RICOL</t>
  </si>
  <si>
    <t>Incentivised Loss Supply - Lower Limit</t>
  </si>
  <si>
    <t>Percentage Adjust - Lower Limit</t>
  </si>
  <si>
    <t xml:space="preserve">PR </t>
  </si>
  <si>
    <t>Base revenue in year t-1</t>
  </si>
  <si>
    <t>PR t-1</t>
  </si>
  <si>
    <t>Revenue Adjustment</t>
  </si>
  <si>
    <t>RIP</t>
  </si>
  <si>
    <t>Revenue Adjustment Factor in incentive period y</t>
  </si>
  <si>
    <t>RAF</t>
  </si>
  <si>
    <t>Incentivised Loss Supply - Upper Limit</t>
  </si>
  <si>
    <t>Percentage Adjust - UpperLimit</t>
  </si>
  <si>
    <t>Calculation for 2013/14 (taken from 2012/13 revenue model)</t>
  </si>
  <si>
    <t>Transmission Network Reliability Incentive (from 12/13 revenue model)</t>
  </si>
  <si>
    <t xml:space="preserve">Number of Incentivised loss of supply events </t>
  </si>
  <si>
    <t>Maximum Upside %</t>
  </si>
  <si>
    <t xml:space="preserve">Maximum Downside % </t>
  </si>
  <si>
    <t>Incentivised Upper Target</t>
  </si>
  <si>
    <t xml:space="preserve">Incentivised loss of supply collar </t>
  </si>
  <si>
    <t>Lower Limit target</t>
  </si>
  <si>
    <r>
      <t>CSSAF</t>
    </r>
    <r>
      <rPr>
        <b/>
        <vertAlign val="subscript"/>
        <sz val="10"/>
        <rFont val="Verdana"/>
        <family val="2"/>
      </rPr>
      <t>t-2</t>
    </r>
    <r>
      <rPr>
        <b/>
        <sz val="10"/>
        <rFont val="Verdana"/>
        <family val="2"/>
      </rPr>
      <t xml:space="preserve"> calculation</t>
    </r>
  </si>
  <si>
    <r>
      <t>SSSAF</t>
    </r>
    <r>
      <rPr>
        <b/>
        <vertAlign val="subscript"/>
        <sz val="10"/>
        <rFont val="Verdana"/>
        <family val="2"/>
      </rPr>
      <t>t-2</t>
    </r>
    <r>
      <rPr>
        <b/>
        <sz val="10"/>
        <rFont val="Verdana"/>
        <family val="2"/>
      </rPr>
      <t xml:space="preserve"> calculation</t>
    </r>
  </si>
  <si>
    <r>
      <t>If SSSP</t>
    </r>
    <r>
      <rPr>
        <vertAlign val="subscript"/>
        <sz val="10"/>
        <rFont val="Verdana"/>
        <family val="2"/>
      </rPr>
      <t>t-2</t>
    </r>
    <r>
      <rPr>
        <sz val="10"/>
        <rFont val="Verdana"/>
        <family val="2"/>
      </rPr>
      <t>&gt; SSST:</t>
    </r>
  </si>
  <si>
    <r>
      <t>SF6 Incentive for CO</t>
    </r>
    <r>
      <rPr>
        <vertAlign val="subscript"/>
        <sz val="10"/>
        <rFont val="Verdana"/>
        <family val="2"/>
      </rPr>
      <t>2</t>
    </r>
    <r>
      <rPr>
        <sz val="10"/>
        <rFont val="Verdana"/>
        <family val="2"/>
      </rPr>
      <t xml:space="preserve"> Equivalent Emissions</t>
    </r>
  </si>
  <si>
    <r>
      <t>EDR</t>
    </r>
    <r>
      <rPr>
        <b/>
        <vertAlign val="subscript"/>
        <sz val="10"/>
        <rFont val="Verdana"/>
        <family val="2"/>
      </rPr>
      <t>t</t>
    </r>
    <r>
      <rPr>
        <b/>
        <sz val="10"/>
        <rFont val="Verdana"/>
        <family val="2"/>
      </rPr>
      <t xml:space="preserve"> calculation</t>
    </r>
  </si>
  <si>
    <r>
      <t>SFI</t>
    </r>
    <r>
      <rPr>
        <vertAlign val="subscript"/>
        <sz val="12"/>
        <rFont val="Times New Roman"/>
        <family val="1"/>
      </rPr>
      <t>t</t>
    </r>
    <r>
      <rPr>
        <sz val="12"/>
        <rFont val="Times New Roman"/>
        <family val="1"/>
      </rPr>
      <t xml:space="preserve"> = (CTE</t>
    </r>
    <r>
      <rPr>
        <vertAlign val="subscript"/>
        <sz val="12"/>
        <rFont val="Times New Roman"/>
        <family val="1"/>
      </rPr>
      <t>t-2</t>
    </r>
    <r>
      <rPr>
        <sz val="12"/>
        <rFont val="Times New Roman"/>
        <family val="1"/>
      </rPr>
      <t xml:space="preserve"> – ALE</t>
    </r>
    <r>
      <rPr>
        <vertAlign val="subscript"/>
        <sz val="12"/>
        <rFont val="Times New Roman"/>
        <family val="1"/>
      </rPr>
      <t>t-2</t>
    </r>
    <r>
      <rPr>
        <sz val="12"/>
        <rFont val="Times New Roman"/>
        <family val="1"/>
      </rPr>
      <t>) x CF x NTPC</t>
    </r>
    <r>
      <rPr>
        <vertAlign val="subscript"/>
        <sz val="12"/>
        <rFont val="Times New Roman"/>
        <family val="1"/>
      </rPr>
      <t xml:space="preserve">t-2 </t>
    </r>
    <r>
      <rPr>
        <sz val="12"/>
        <rFont val="Times New Roman"/>
        <family val="1"/>
      </rPr>
      <t>x PTIS</t>
    </r>
    <r>
      <rPr>
        <vertAlign val="subscript"/>
        <sz val="12"/>
        <rFont val="Times New Roman"/>
        <family val="1"/>
      </rPr>
      <t>t-2</t>
    </r>
    <r>
      <rPr>
        <sz val="12"/>
        <rFont val="Times New Roman"/>
        <family val="1"/>
      </rPr>
      <t xml:space="preserve"> x PVF</t>
    </r>
    <r>
      <rPr>
        <vertAlign val="subscript"/>
        <sz val="12"/>
        <rFont val="Times New Roman"/>
        <family val="1"/>
      </rPr>
      <t>t-2</t>
    </r>
    <r>
      <rPr>
        <sz val="12"/>
        <rFont val="Times New Roman"/>
        <family val="1"/>
      </rPr>
      <t xml:space="preserve"> x PVF</t>
    </r>
    <r>
      <rPr>
        <vertAlign val="subscript"/>
        <sz val="12"/>
        <rFont val="Times New Roman"/>
        <family val="1"/>
      </rPr>
      <t>t-1</t>
    </r>
    <r>
      <rPr>
        <sz val="12"/>
        <rFont val="Times New Roman"/>
        <family val="1"/>
      </rPr>
      <t xml:space="preserve"> x RPIF</t>
    </r>
    <r>
      <rPr>
        <vertAlign val="subscript"/>
        <sz val="12"/>
        <rFont val="Times New Roman"/>
        <family val="1"/>
      </rPr>
      <t>t</t>
    </r>
  </si>
  <si>
    <r>
      <t>If CSSP</t>
    </r>
    <r>
      <rPr>
        <vertAlign val="subscript"/>
        <sz val="12"/>
        <rFont val="Times New Roman"/>
        <family val="1"/>
      </rPr>
      <t>t-2</t>
    </r>
    <r>
      <rPr>
        <sz val="12"/>
        <rFont val="Times New Roman"/>
        <family val="1"/>
      </rPr>
      <t>&lt; CSST:</t>
    </r>
  </si>
  <si>
    <r>
      <t>CTE</t>
    </r>
    <r>
      <rPr>
        <sz val="6"/>
        <rFont val="Verdana"/>
        <family val="2"/>
      </rPr>
      <t>t-2</t>
    </r>
    <r>
      <rPr>
        <sz val="10"/>
        <rFont val="Verdana"/>
        <family val="2"/>
      </rPr>
      <t xml:space="preserve"> = BASE + ADD</t>
    </r>
    <r>
      <rPr>
        <sz val="6"/>
        <rFont val="Verdana"/>
        <family val="2"/>
      </rPr>
      <t xml:space="preserve">t-2 </t>
    </r>
    <r>
      <rPr>
        <sz val="10"/>
        <rFont val="Verdana"/>
        <family val="2"/>
      </rPr>
      <t>- DSP</t>
    </r>
    <r>
      <rPr>
        <sz val="6"/>
        <rFont val="Verdana"/>
        <family val="2"/>
      </rPr>
      <t>t-2</t>
    </r>
  </si>
  <si>
    <t>IONT</t>
  </si>
  <si>
    <t>Outage Change Cost Allowance</t>
  </si>
  <si>
    <t>ON</t>
  </si>
  <si>
    <t>ONTRU</t>
  </si>
  <si>
    <t>Allowance for Payments</t>
  </si>
  <si>
    <t>SOEMR</t>
  </si>
  <si>
    <t>SOEMRCO</t>
  </si>
  <si>
    <t>EMR functions internal costs</t>
  </si>
  <si>
    <t>£m (09/10 prices)</t>
  </si>
  <si>
    <t>EMR adjustment to allowed revenue</t>
  </si>
  <si>
    <t>(SC 4A.3)</t>
  </si>
  <si>
    <t>Score</t>
  </si>
  <si>
    <t>Present value factors (SC 3A)</t>
  </si>
  <si>
    <t>Site specific charges (3A.4)</t>
  </si>
  <si>
    <t>Transmission Owner Final Sums (3A.4)</t>
  </si>
  <si>
    <r>
      <t xml:space="preserve">Pass through items </t>
    </r>
    <r>
      <rPr>
        <b/>
        <sz val="9"/>
        <color indexed="8"/>
        <rFont val="Verdana"/>
        <family val="2"/>
      </rPr>
      <t>(SC 3B)</t>
    </r>
  </si>
  <si>
    <r>
      <t xml:space="preserve">Incentive Payments </t>
    </r>
    <r>
      <rPr>
        <b/>
        <sz val="9"/>
        <color indexed="8"/>
        <rFont val="Verdana"/>
        <family val="2"/>
      </rPr>
      <t>(SC 3F)</t>
    </r>
  </si>
  <si>
    <t>Reliability incentive legacy term (SC 3C)</t>
  </si>
  <si>
    <t>Unsupplied Energy Volumes - events</t>
  </si>
  <si>
    <t>#</t>
  </si>
  <si>
    <t>Volume</t>
  </si>
  <si>
    <t>Network Reliability Incentive (SC 3C.4)</t>
  </si>
  <si>
    <t>Customer and Stakeholder Incentive (SC 3D)</t>
  </si>
  <si>
    <t>KG</t>
  </si>
  <si>
    <t>Sulphur Hexafluoride Incentive (SC 3E)</t>
  </si>
  <si>
    <t>Innovation Incentive (SC 3H)</t>
  </si>
  <si>
    <t>TIRG (SC 3J)</t>
  </si>
  <si>
    <t>SC 3A.5</t>
  </si>
  <si>
    <t>SC 3A.7</t>
  </si>
  <si>
    <t>Transmission Investment Incentives Projects adjustment 12/13</t>
  </si>
  <si>
    <t>Capital expenditure inventive revenue adjustment 12/13</t>
  </si>
  <si>
    <r>
      <t xml:space="preserve">CXIncRA </t>
    </r>
    <r>
      <rPr>
        <sz val="8"/>
        <rFont val="Verdana"/>
        <family val="2"/>
      </rPr>
      <t>t-2</t>
    </r>
  </si>
  <si>
    <t>Network rates allowance 12/13</t>
  </si>
  <si>
    <r>
      <t xml:space="preserve">RV </t>
    </r>
    <r>
      <rPr>
        <sz val="8"/>
        <rFont val="Verdana"/>
        <family val="2"/>
      </rPr>
      <t>t-2</t>
    </r>
  </si>
  <si>
    <t>(SC 3B.3)</t>
  </si>
  <si>
    <t>(SC 3B.5)</t>
  </si>
  <si>
    <t>Index</t>
  </si>
  <si>
    <t>(SC 3B.9)</t>
  </si>
  <si>
    <t>(SC 3B.12)</t>
  </si>
  <si>
    <t>(SC 3B.15)</t>
  </si>
  <si>
    <t>(SC 3A.12)</t>
  </si>
  <si>
    <t>SC 3D.3</t>
  </si>
  <si>
    <t>Events</t>
  </si>
  <si>
    <t>(SC 3D.11)</t>
  </si>
  <si>
    <t>(SC 3E.3)</t>
  </si>
  <si>
    <t>kg</t>
  </si>
  <si>
    <t>(SC 3E.6)</t>
  </si>
  <si>
    <t>(SC 3F.7)</t>
  </si>
  <si>
    <t>SC 3E.4</t>
  </si>
  <si>
    <t>For relevant year beginning on 1 April 2016 onwards:</t>
  </si>
  <si>
    <t>(SC 3H)</t>
  </si>
  <si>
    <t>SC 3H.4</t>
  </si>
  <si>
    <t>SC 3H.6</t>
  </si>
  <si>
    <t>SC 3H.7</t>
  </si>
  <si>
    <t>PRO</t>
  </si>
  <si>
    <t>(SC 3J.2)</t>
  </si>
  <si>
    <t>(SC 3J.3)</t>
  </si>
  <si>
    <t>(SC 3J.5)</t>
  </si>
  <si>
    <t>(SC 3J.7)</t>
  </si>
  <si>
    <t>(SC 3A.3)</t>
  </si>
  <si>
    <t>(SC 4A.5)</t>
  </si>
  <si>
    <t>SOREVt</t>
  </si>
  <si>
    <t>Base revenue per SC AA5A (12/13)</t>
  </si>
  <si>
    <t>Non incentivised costs (12/13)</t>
  </si>
  <si>
    <t>RPI Adjustment Factor (12/13)</t>
  </si>
  <si>
    <t>SO Revenue Adjustment (14/15)</t>
  </si>
  <si>
    <t>(SC 4C.1)</t>
  </si>
  <si>
    <t>£m/tonne</t>
  </si>
  <si>
    <t>Base Transmission Revenue</t>
  </si>
  <si>
    <t>PRt-2</t>
  </si>
  <si>
    <r>
      <t>TOInc</t>
    </r>
    <r>
      <rPr>
        <sz val="8"/>
        <rFont val="Verdana"/>
        <family val="2"/>
      </rPr>
      <t>t-2</t>
    </r>
  </si>
  <si>
    <t>IPTIRGt-2</t>
  </si>
  <si>
    <t>TIRG Annual preconstruction and contingency revenue allowance</t>
  </si>
  <si>
    <t>TIRG Annual construction revenue allowance</t>
  </si>
  <si>
    <t>TIRG Annual incentive revenue allowance</t>
  </si>
  <si>
    <t>FTIRGt-2</t>
  </si>
  <si>
    <t>ETIRGt-2</t>
  </si>
  <si>
    <t>Licence fee payments allowance</t>
  </si>
  <si>
    <t>PFt-2</t>
  </si>
  <si>
    <t>ITVt-2</t>
  </si>
  <si>
    <t>Inter-transmission system operator compensation scheme allowance</t>
  </si>
  <si>
    <t>Revenue total for 2012/13 (SC 3A.11)</t>
  </si>
  <si>
    <t>EMR incentive revenue</t>
  </si>
  <si>
    <t>External Revenue Annual Summary</t>
  </si>
  <si>
    <t>Summary of External Costs by Scheme</t>
  </si>
  <si>
    <t>2013/14 Scheme Total</t>
  </si>
  <si>
    <t>2014/15 Scheme Total</t>
  </si>
  <si>
    <t>2015/16 Scheme Total</t>
  </si>
  <si>
    <t>2016/17 Scheme Total</t>
  </si>
  <si>
    <t>2017/18 Scheme Total</t>
  </si>
  <si>
    <t>2018/19 Scheme Total</t>
  </si>
  <si>
    <t>2019/20 Scheme Total</t>
  </si>
  <si>
    <t>2020/21 Scheme Total</t>
  </si>
  <si>
    <t>2012/13 Accounts</t>
  </si>
  <si>
    <t>2013/14 Accounts</t>
  </si>
  <si>
    <t>2014/15 Accounts</t>
  </si>
  <si>
    <t>2015/16 Accounts</t>
  </si>
  <si>
    <t>2016/17 Accounts</t>
  </si>
  <si>
    <t>2017/18 Accounts</t>
  </si>
  <si>
    <t>2018/19 Accounts</t>
  </si>
  <si>
    <t>2019/20 Accounts</t>
  </si>
  <si>
    <t>2020/21 Accounts</t>
  </si>
  <si>
    <t>2021/22 Accounts</t>
  </si>
  <si>
    <t>Cost of Licensee Bids and Offers in BM less non-delivery charges</t>
  </si>
  <si>
    <t>Non cash costs within BSCC for which income not received</t>
  </si>
  <si>
    <t>Revenue derived from new balancing services</t>
  </si>
  <si>
    <t>LBS</t>
  </si>
  <si>
    <t>Outage Change Allowance RPI True Up</t>
  </si>
  <si>
    <t>RPI Estimate</t>
  </si>
  <si>
    <t>2010/11 Scheme</t>
  </si>
  <si>
    <t>2011/12 Scheme</t>
  </si>
  <si>
    <t>2012/13 Scheme</t>
  </si>
  <si>
    <t>2013/14 Scheme</t>
  </si>
  <si>
    <t>2014/15 Scheme</t>
  </si>
  <si>
    <t>2015/16 Scheme</t>
  </si>
  <si>
    <t>2016/17 Scheme</t>
  </si>
  <si>
    <t>2017/18 Scheme</t>
  </si>
  <si>
    <t>2018/19 Scheme</t>
  </si>
  <si>
    <t>New Balancing Services</t>
  </si>
  <si>
    <t>(SC 4K.2)</t>
  </si>
  <si>
    <t>Total revenue deriving from DSBR</t>
  </si>
  <si>
    <t>DSBR</t>
  </si>
  <si>
    <t>Total revenue deriving from SBR</t>
  </si>
  <si>
    <t>SBR</t>
  </si>
  <si>
    <t>Tender Option Contracts</t>
  </si>
  <si>
    <t>TOC</t>
  </si>
  <si>
    <t>Revenue associated with procuring and using DSBR and SBR</t>
  </si>
  <si>
    <t>Demand Side Balancing Reserve</t>
  </si>
  <si>
    <t>DSBR Set Up Payments</t>
  </si>
  <si>
    <t>DSBRS</t>
  </si>
  <si>
    <t>Authority adjustments to DSBR Set Up Payments</t>
  </si>
  <si>
    <t>DSBRSA</t>
  </si>
  <si>
    <t>DSBR Administration Payments</t>
  </si>
  <si>
    <t>DSBRAd</t>
  </si>
  <si>
    <t>Authority adjustments to DSBR Administration Payments</t>
  </si>
  <si>
    <t>DSBRAdA</t>
  </si>
  <si>
    <t>DSBR Testing Payments</t>
  </si>
  <si>
    <t>DSBRT</t>
  </si>
  <si>
    <t>Authority adjustments to DSBR Testing Payments</t>
  </si>
  <si>
    <t>DSBR Utilisation Payments</t>
  </si>
  <si>
    <t>DSBRU</t>
  </si>
  <si>
    <t>Supplemental Balancing Reserve</t>
  </si>
  <si>
    <t>SBR Capability Payments</t>
  </si>
  <si>
    <t>SBRC</t>
  </si>
  <si>
    <t>Authority adjustments to SBR Capability Payments</t>
  </si>
  <si>
    <t>SBRCA</t>
  </si>
  <si>
    <t>SBR Testing Payments</t>
  </si>
  <si>
    <t>SBRT</t>
  </si>
  <si>
    <t>Authority adjustments to SBR Testing Payments</t>
  </si>
  <si>
    <t>SBRTA</t>
  </si>
  <si>
    <t>SBR Availability Payments</t>
  </si>
  <si>
    <t>SBRA</t>
  </si>
  <si>
    <t>SBR Utilisation Payments</t>
  </si>
  <si>
    <t>SBRU</t>
  </si>
  <si>
    <t>SBR Tender Option Contract Payments</t>
  </si>
  <si>
    <t>SBRTO</t>
  </si>
  <si>
    <t>Authority adjustments to SBR Tender Option Contract Payments</t>
  </si>
  <si>
    <t>SBRTOA</t>
  </si>
  <si>
    <t>DSBR Tender Option Contract Payments</t>
  </si>
  <si>
    <t>DSBRTO</t>
  </si>
  <si>
    <t>Authority adjustments to DSBR Tender Option Contract Payments</t>
  </si>
  <si>
    <t>DSBRTOA</t>
  </si>
  <si>
    <t>Revenue restriction on Tender Option Contract Payments</t>
  </si>
  <si>
    <t>TOCap</t>
  </si>
  <si>
    <t>R17 SO Balancing Services</t>
  </si>
  <si>
    <t>v1</t>
  </si>
  <si>
    <t>£m 09/10 prices</t>
  </si>
  <si>
    <t>Opening Base Revenue Allowance - TO (SC 3A Appendix 1)</t>
  </si>
  <si>
    <t>Opening Base Revenue Allowance - SO (SC 4A Appendix 1)</t>
  </si>
  <si>
    <t>Business Rates Allowance (SC 3B Appendix 1)</t>
  </si>
  <si>
    <t>Ofgem Licence Fee Allowance (SC 3B Appendix 2)</t>
  </si>
  <si>
    <t>Inter Transmission SO Compensation Calculation (SC 3B Appendix 3)</t>
  </si>
  <si>
    <t>Value of lost load per MWh (SC 3C.4)</t>
  </si>
  <si>
    <t>Loss of Supply Volume Target (SC 3C.4)</t>
  </si>
  <si>
    <t>Max Downside Adjustment (SC 3C.4)</t>
  </si>
  <si>
    <t>£/tonne 09/10 prices</t>
  </si>
  <si>
    <t>Non traded price of carbon (SC 3E.3)</t>
  </si>
  <si>
    <t>Totex Incentive Strength (SC 6C Appendix 1)</t>
  </si>
  <si>
    <t>Conversion Factor (SC 3E.3)</t>
  </si>
  <si>
    <t>Licensee's NIA Percentage (SC 3H Appendix 1)</t>
  </si>
  <si>
    <t>Pass Through Factor (SC 3H.6)</t>
  </si>
  <si>
    <t>Target Cost for Black Start (SC 4G.2)</t>
  </si>
  <si>
    <t>(SC 3J)</t>
  </si>
  <si>
    <t>EMR functions internal costs (SC 4A Appendix 2)</t>
  </si>
  <si>
    <t xml:space="preserve">Business rates payments </t>
  </si>
  <si>
    <t xml:space="preserve">Ofgem Licence fee payments </t>
  </si>
  <si>
    <t xml:space="preserve">Temporary physical disconnection </t>
  </si>
  <si>
    <t xml:space="preserve">Inter-transmission system SO compensation </t>
  </si>
  <si>
    <t xml:space="preserve">Environmental discretionary reward scheme - 3F </t>
  </si>
  <si>
    <t xml:space="preserve">Total Incentivised Energy not supplied </t>
  </si>
  <si>
    <t xml:space="preserve">Stakeholder satisfaction survey result </t>
  </si>
  <si>
    <t xml:space="preserve">Stakeholder engagement reward </t>
  </si>
  <si>
    <t xml:space="preserve">Customer satisfaction survey result </t>
  </si>
  <si>
    <t xml:space="preserve">Additional SF6 leakage </t>
  </si>
  <si>
    <t xml:space="preserve">Reduction from decommissioned assets </t>
  </si>
  <si>
    <t xml:space="preserve">Actual emissions </t>
  </si>
  <si>
    <t>Full year effect of previous year additions</t>
  </si>
  <si>
    <t>FYADD</t>
  </si>
  <si>
    <t>Full year effect of previous year disposals</t>
  </si>
  <si>
    <t>FYDSP</t>
  </si>
  <si>
    <t>Previous year base leakage</t>
  </si>
  <si>
    <t>Full year impact of previous year additions</t>
  </si>
  <si>
    <t>Full year impact of previous year disposals</t>
  </si>
  <si>
    <t>CTE/FYCTE</t>
  </si>
  <si>
    <t>SSSPRO</t>
  </si>
  <si>
    <t>Proportion</t>
  </si>
  <si>
    <t>Stakeholder Satisfaction Survey</t>
  </si>
  <si>
    <r>
      <t>SOI</t>
    </r>
    <r>
      <rPr>
        <vertAlign val="subscript"/>
        <sz val="11"/>
        <color theme="1"/>
        <rFont val="Times New Roman"/>
        <family val="1"/>
      </rPr>
      <t>t</t>
    </r>
    <r>
      <rPr>
        <sz val="11"/>
        <color theme="1"/>
        <rFont val="Verdana"/>
        <family val="2"/>
      </rPr>
      <t xml:space="preserve"> = (SOPU</t>
    </r>
    <r>
      <rPr>
        <vertAlign val="subscript"/>
        <sz val="11"/>
        <color theme="1"/>
        <rFont val="Times New Roman"/>
        <family val="1"/>
      </rPr>
      <t>t</t>
    </r>
    <r>
      <rPr>
        <sz val="11"/>
        <color theme="1"/>
        <rFont val="Verdana"/>
        <family val="2"/>
      </rPr>
      <t xml:space="preserve"> + SOMOD</t>
    </r>
    <r>
      <rPr>
        <vertAlign val="subscript"/>
        <sz val="11"/>
        <color theme="1"/>
        <rFont val="Times New Roman"/>
        <family val="1"/>
      </rPr>
      <t xml:space="preserve">t </t>
    </r>
    <r>
      <rPr>
        <sz val="11"/>
        <color theme="1"/>
        <rFont val="Verdana"/>
        <family val="2"/>
      </rPr>
      <t>+ SOEMRINC</t>
    </r>
    <r>
      <rPr>
        <vertAlign val="subscript"/>
        <sz val="11"/>
        <color theme="1"/>
        <rFont val="Times New Roman"/>
        <family val="1"/>
      </rPr>
      <t>t</t>
    </r>
    <r>
      <rPr>
        <sz val="11"/>
        <color theme="1"/>
        <rFont val="Verdana"/>
        <family val="2"/>
      </rPr>
      <t xml:space="preserve"> + SOEMR</t>
    </r>
    <r>
      <rPr>
        <vertAlign val="subscript"/>
        <sz val="11"/>
        <color theme="1"/>
        <rFont val="Times New Roman"/>
        <family val="1"/>
      </rPr>
      <t>t</t>
    </r>
    <r>
      <rPr>
        <sz val="11"/>
        <color theme="1"/>
        <rFont val="Verdana"/>
        <family val="2"/>
      </rPr>
      <t xml:space="preserve"> + SOEMRCO</t>
    </r>
    <r>
      <rPr>
        <vertAlign val="subscript"/>
        <sz val="11"/>
        <color theme="1"/>
        <rFont val="Times New Roman"/>
        <family val="1"/>
      </rPr>
      <t>t</t>
    </r>
    <r>
      <rPr>
        <sz val="11"/>
        <color theme="1"/>
        <rFont val="Verdana"/>
        <family val="2"/>
      </rPr>
      <t xml:space="preserve"> + SOTRU</t>
    </r>
    <r>
      <rPr>
        <vertAlign val="subscript"/>
        <sz val="11"/>
        <color theme="1"/>
        <rFont val="Times New Roman"/>
        <family val="1"/>
      </rPr>
      <t>t</t>
    </r>
    <r>
      <rPr>
        <sz val="11"/>
        <color theme="1"/>
        <rFont val="Verdana"/>
        <family val="2"/>
      </rPr>
      <t>) x RPIF</t>
    </r>
    <r>
      <rPr>
        <vertAlign val="subscript"/>
        <sz val="11"/>
        <color theme="1"/>
        <rFont val="Times New Roman"/>
        <family val="1"/>
      </rPr>
      <t>t       </t>
    </r>
  </si>
  <si>
    <t>SOEMRINC</t>
  </si>
  <si>
    <t>(SC 4L)</t>
  </si>
  <si>
    <r>
      <t>SOEMRINC</t>
    </r>
    <r>
      <rPr>
        <vertAlign val="subscript"/>
        <sz val="12"/>
        <color theme="1"/>
        <rFont val="Times New Roman"/>
        <family val="1"/>
      </rPr>
      <t>t</t>
    </r>
    <r>
      <rPr>
        <sz val="12"/>
        <color theme="1"/>
        <rFont val="Times New Roman"/>
        <family val="1"/>
      </rPr>
      <t xml:space="preserve"> = DRI</t>
    </r>
    <r>
      <rPr>
        <vertAlign val="subscript"/>
        <sz val="12"/>
        <color theme="1"/>
        <rFont val="Times New Roman"/>
        <family val="1"/>
      </rPr>
      <t>t</t>
    </r>
    <r>
      <rPr>
        <sz val="12"/>
        <color theme="1"/>
        <rFont val="Times New Roman"/>
        <family val="1"/>
      </rPr>
      <t xml:space="preserve"> + DFA</t>
    </r>
    <r>
      <rPr>
        <vertAlign val="subscript"/>
        <sz val="12"/>
        <color theme="1"/>
        <rFont val="Times New Roman"/>
        <family val="1"/>
      </rPr>
      <t>t</t>
    </r>
    <r>
      <rPr>
        <sz val="12"/>
        <color theme="1"/>
        <rFont val="Times New Roman"/>
        <family val="1"/>
      </rPr>
      <t xml:space="preserve"> + DSR</t>
    </r>
    <r>
      <rPr>
        <vertAlign val="subscript"/>
        <sz val="12"/>
        <color theme="1"/>
        <rFont val="Times New Roman"/>
        <family val="1"/>
      </rPr>
      <t>t</t>
    </r>
    <r>
      <rPr>
        <sz val="12"/>
        <color theme="1"/>
        <rFont val="Times New Roman"/>
        <family val="1"/>
      </rPr>
      <t xml:space="preserve"> + CSSS</t>
    </r>
    <r>
      <rPr>
        <vertAlign val="subscript"/>
        <sz val="12"/>
        <color theme="1"/>
        <rFont val="Times New Roman"/>
        <family val="1"/>
      </rPr>
      <t>t</t>
    </r>
    <r>
      <rPr>
        <sz val="12"/>
        <color theme="1"/>
        <rFont val="Times New Roman"/>
        <family val="1"/>
      </rPr>
      <t xml:space="preserve"> </t>
    </r>
  </si>
  <si>
    <t>DRI</t>
  </si>
  <si>
    <t>DFA</t>
  </si>
  <si>
    <t>DSR</t>
  </si>
  <si>
    <t>CSSS</t>
  </si>
  <si>
    <t>Dispute Resolution Incentive</t>
  </si>
  <si>
    <t>Peak National Demand Forecasting Accuracy Incentive</t>
  </si>
  <si>
    <t xml:space="preserve">Demand Side Response Incentive </t>
  </si>
  <si>
    <t>Customer and Stakeholder Satisfaction Survey Incentive</t>
  </si>
  <si>
    <t>EMR Incentive Revenue</t>
  </si>
  <si>
    <t>EMR  Incentive Revenue</t>
  </si>
  <si>
    <r>
      <t>DFA</t>
    </r>
    <r>
      <rPr>
        <vertAlign val="subscript"/>
        <sz val="12"/>
        <color theme="1"/>
        <rFont val="Times New Roman"/>
        <family val="1"/>
      </rPr>
      <t xml:space="preserve">t </t>
    </r>
    <r>
      <rPr>
        <sz val="12"/>
        <color theme="1"/>
        <rFont val="Times New Roman"/>
        <family val="1"/>
      </rPr>
      <t>= DFAA</t>
    </r>
    <r>
      <rPr>
        <vertAlign val="subscript"/>
        <sz val="12"/>
        <color theme="1"/>
        <rFont val="Times New Roman"/>
        <family val="1"/>
      </rPr>
      <t xml:space="preserve"> t-2</t>
    </r>
    <r>
      <rPr>
        <sz val="12"/>
        <color theme="1"/>
        <rFont val="Times New Roman"/>
        <family val="1"/>
      </rPr>
      <t xml:space="preserve"> + DFAB</t>
    </r>
    <r>
      <rPr>
        <vertAlign val="subscript"/>
        <sz val="12"/>
        <color theme="1"/>
        <rFont val="Times New Roman"/>
        <family val="1"/>
      </rPr>
      <t xml:space="preserve"> t-2 </t>
    </r>
    <r>
      <rPr>
        <sz val="12"/>
        <color theme="1"/>
        <rFont val="Times New Roman"/>
        <family val="1"/>
      </rPr>
      <t>+ DFAC</t>
    </r>
    <r>
      <rPr>
        <vertAlign val="subscript"/>
        <sz val="12"/>
        <color theme="1"/>
        <rFont val="Times New Roman"/>
        <family val="1"/>
      </rPr>
      <t xml:space="preserve"> t-2</t>
    </r>
    <r>
      <rPr>
        <sz val="12"/>
        <color theme="1"/>
        <rFont val="Times New Roman"/>
        <family val="1"/>
      </rPr>
      <t xml:space="preserve"> </t>
    </r>
  </si>
  <si>
    <t>DFAA</t>
  </si>
  <si>
    <t>DFAB</t>
  </si>
  <si>
    <t>DFAC</t>
  </si>
  <si>
    <t>Incentive for Relevant year t-2 arising from the Peak National Demand Forecast made in year t-6</t>
  </si>
  <si>
    <t>Incentive for year t-2 arising from the Peak National Demand Forecast made in year t-3</t>
  </si>
  <si>
    <t>Incentive for year 2017/18 arising from the Peak National Demand Forecast made in year 2016/17</t>
  </si>
  <si>
    <r>
      <t>CSSS</t>
    </r>
    <r>
      <rPr>
        <vertAlign val="subscript"/>
        <sz val="12"/>
        <color theme="1"/>
        <rFont val="Times New Roman"/>
        <family val="1"/>
      </rPr>
      <t>t</t>
    </r>
    <r>
      <rPr>
        <sz val="12"/>
        <color theme="1"/>
        <rFont val="Times New Roman"/>
        <family val="1"/>
      </rPr>
      <t xml:space="preserve"> = CSSSCfD</t>
    </r>
    <r>
      <rPr>
        <vertAlign val="subscript"/>
        <sz val="12"/>
        <color theme="1"/>
        <rFont val="Times New Roman"/>
        <family val="1"/>
      </rPr>
      <t>t</t>
    </r>
    <r>
      <rPr>
        <sz val="12"/>
        <color theme="1"/>
        <rFont val="Times New Roman"/>
        <family val="1"/>
      </rPr>
      <t xml:space="preserve"> + CSSSCM</t>
    </r>
    <r>
      <rPr>
        <vertAlign val="subscript"/>
        <sz val="12"/>
        <color theme="1"/>
        <rFont val="Times New Roman"/>
        <family val="1"/>
      </rPr>
      <t>t</t>
    </r>
  </si>
  <si>
    <t>CSSSCM</t>
  </si>
  <si>
    <r>
      <t>CSSSCfD</t>
    </r>
    <r>
      <rPr>
        <vertAlign val="subscript"/>
        <sz val="12"/>
        <color theme="1"/>
        <rFont val="Times New Roman"/>
        <family val="1"/>
      </rPr>
      <t>t</t>
    </r>
  </si>
  <si>
    <t>Contracts for Difference (“CfD”) Customer and Stakeholder Satisfaction Survey Scores adjustment</t>
  </si>
  <si>
    <t>Capacity Market (“CM”) Customer and Stakeholder Satisfaction Survey Scores adjustment</t>
  </si>
  <si>
    <t>CSSS Calculation</t>
  </si>
  <si>
    <t>EMR Financial Incentives (SC 4L)</t>
  </si>
  <si>
    <t>TotAdj</t>
  </si>
  <si>
    <t>IncAdj</t>
  </si>
  <si>
    <t>Incentive adjustment</t>
  </si>
  <si>
    <t>Peak National Demand Actual</t>
  </si>
  <si>
    <t>PEAKA</t>
  </si>
  <si>
    <t>Peak National Demand Forecast t-6</t>
  </si>
  <si>
    <t>PEAK6</t>
  </si>
  <si>
    <t>Peak National Demand Forecast t-3</t>
  </si>
  <si>
    <t>PEAK3</t>
  </si>
  <si>
    <t>Peak National Demand t-6</t>
  </si>
  <si>
    <t>Peak National Demand t-3</t>
  </si>
  <si>
    <t>Difference between Peak National Demand observed in year t-2 and the Peak National Demand Forecast for year t-2 made in year t-6 expressed as an absolute percentage.</t>
  </si>
  <si>
    <t>DFEA</t>
  </si>
  <si>
    <t>Difference between Peak National Demand observed in year t-2 and the Peak National Demand Forecast for year t-2 made in year t-3 expressed as an absolute percentage.</t>
  </si>
  <si>
    <t>DFEB</t>
  </si>
  <si>
    <t>Difference between Peak National Demand observed in Relavant Year 2017/18 and the Peak National Demand Forecast for year 2017/18 made in year 2016/17 expressed as an absolute percentage</t>
  </si>
  <si>
    <t>DFEC</t>
  </si>
  <si>
    <t xml:space="preserve">Volume of DSR pre-qualifying for year ahead auction </t>
  </si>
  <si>
    <t>GW 3dp</t>
  </si>
  <si>
    <t>DSRpq</t>
  </si>
  <si>
    <t>Demand Side Response Incentive</t>
  </si>
  <si>
    <t>DSRC</t>
  </si>
  <si>
    <t>Volume of demand side reponse capacity target</t>
  </si>
  <si>
    <t>DSRT</t>
  </si>
  <si>
    <t>CfD customer and satisfaction survey score</t>
  </si>
  <si>
    <t>CfDS</t>
  </si>
  <si>
    <t>CfD customer and satisfaction survey deviation</t>
  </si>
  <si>
    <t>CfDSD</t>
  </si>
  <si>
    <t>CM customer and satisfaction survey score</t>
  </si>
  <si>
    <t>CMS</t>
  </si>
  <si>
    <t>CM customer and satisfaction survey deviation</t>
  </si>
  <si>
    <t>CMSD</t>
  </si>
  <si>
    <t>CfD customer and satisfaction survey cap</t>
  </si>
  <si>
    <t>CfDC</t>
  </si>
  <si>
    <t>CfDT</t>
  </si>
  <si>
    <t>CfD customer and satisfaction survey target</t>
  </si>
  <si>
    <t>CfDF</t>
  </si>
  <si>
    <t>CfD customer and satisfaction survey score incentive</t>
  </si>
  <si>
    <t>CSSSCfD</t>
  </si>
  <si>
    <t>£</t>
  </si>
  <si>
    <t>CM customer and satisfaction survey cap</t>
  </si>
  <si>
    <t>CMC</t>
  </si>
  <si>
    <t>CM customer and satisfaction survey floor</t>
  </si>
  <si>
    <t>CMT</t>
  </si>
  <si>
    <t>CM customer and satisfaction survey target</t>
  </si>
  <si>
    <t>CMF</t>
  </si>
  <si>
    <t>CM customer and satisfaction survey score incentive</t>
  </si>
  <si>
    <t>(1)</t>
  </si>
  <si>
    <t>SF6 Emissions Incentive</t>
  </si>
  <si>
    <t>£m/MWh</t>
  </si>
  <si>
    <r>
      <t>SSS</t>
    </r>
    <r>
      <rPr>
        <sz val="10"/>
        <rFont val="Verdana"/>
        <family val="2"/>
      </rPr>
      <t xml:space="preserve">t-2 </t>
    </r>
    <r>
      <rPr>
        <sz val="12"/>
        <rFont val="Verdana"/>
        <family val="2"/>
      </rPr>
      <t>= (BR</t>
    </r>
    <r>
      <rPr>
        <sz val="10"/>
        <rFont val="Verdana"/>
        <family val="2"/>
      </rPr>
      <t>t-2</t>
    </r>
    <r>
      <rPr>
        <sz val="12"/>
        <rFont val="Verdana"/>
        <family val="2"/>
      </rPr>
      <t xml:space="preserve"> + TIRG</t>
    </r>
    <r>
      <rPr>
        <sz val="10"/>
        <rFont val="Verdana"/>
        <family val="2"/>
      </rPr>
      <t>t-2</t>
    </r>
    <r>
      <rPr>
        <sz val="12"/>
        <rFont val="Verdana"/>
        <family val="2"/>
      </rPr>
      <t>) x [(CSSAF</t>
    </r>
    <r>
      <rPr>
        <sz val="10"/>
        <rFont val="Verdana"/>
        <family val="2"/>
      </rPr>
      <t>t-2</t>
    </r>
    <r>
      <rPr>
        <sz val="12"/>
        <rFont val="Verdana"/>
        <family val="2"/>
      </rPr>
      <t xml:space="preserve"> x CSSPRO</t>
    </r>
    <r>
      <rPr>
        <sz val="10"/>
        <rFont val="Verdana"/>
        <family val="2"/>
      </rPr>
      <t>t-2</t>
    </r>
    <r>
      <rPr>
        <sz val="12"/>
        <rFont val="Verdana"/>
        <family val="2"/>
      </rPr>
      <t>) + (SSSAF</t>
    </r>
    <r>
      <rPr>
        <sz val="10"/>
        <rFont val="Verdana"/>
        <family val="2"/>
      </rPr>
      <t>t-2</t>
    </r>
    <r>
      <rPr>
        <sz val="12"/>
        <rFont val="Verdana"/>
        <family val="2"/>
      </rPr>
      <t xml:space="preserve"> x SSSPRO</t>
    </r>
    <r>
      <rPr>
        <sz val="10"/>
        <rFont val="Verdana"/>
        <family val="2"/>
      </rPr>
      <t>t-2</t>
    </r>
    <r>
      <rPr>
        <sz val="12"/>
        <rFont val="Verdana"/>
        <family val="2"/>
      </rPr>
      <t>)</t>
    </r>
  </si>
  <si>
    <t>AFFTIRGDEPN</t>
  </si>
  <si>
    <t>TIRGINCADJ</t>
  </si>
  <si>
    <t>CfD customer and satisfaction survey floor</t>
  </si>
  <si>
    <t>2012/13 Scheme Total (Indicative)</t>
  </si>
  <si>
    <t>2012/13 Scheme Total</t>
  </si>
  <si>
    <t>DSBRTA</t>
  </si>
  <si>
    <t>Customer Satisfaction Survey Target</t>
  </si>
  <si>
    <t>Stakeholder Satisfaction Survey Target</t>
  </si>
  <si>
    <t>SERLIMIT</t>
  </si>
  <si>
    <t>Preconstruction and contingency allowance</t>
  </si>
  <si>
    <t>Construction period allowance</t>
  </si>
  <si>
    <t>Incentive period allowance</t>
  </si>
  <si>
    <t>Actual annual revenue allowance</t>
  </si>
  <si>
    <t>Actual Annual Revenue Allowance</t>
  </si>
  <si>
    <t>Transmission investment revenue allowance</t>
  </si>
  <si>
    <t>Black Start Services Cost Allowance</t>
  </si>
  <si>
    <t>BSC</t>
  </si>
  <si>
    <t>FIIR</t>
  </si>
  <si>
    <t>Wind Generation and National Demand Forecasting Incentive</t>
  </si>
  <si>
    <t>SOTOC</t>
  </si>
  <si>
    <t>SO-TO Cost Allowance</t>
  </si>
  <si>
    <t>(SC 4C.11)</t>
  </si>
  <si>
    <t>Sharing Factors (4C.29)</t>
  </si>
  <si>
    <t>Target for balancing services (4C.29)</t>
  </si>
  <si>
    <t>(SC 4C.12)</t>
  </si>
  <si>
    <t>Balancing Services Offset (4C.29)</t>
  </si>
  <si>
    <t>Black Start Allowed Revenue</t>
  </si>
  <si>
    <t>(SC 4G.2)</t>
  </si>
  <si>
    <t>Black Start Total Costs</t>
  </si>
  <si>
    <t>BSTA</t>
  </si>
  <si>
    <t>Black Start Total Costs Adjustment</t>
  </si>
  <si>
    <t>WFI</t>
  </si>
  <si>
    <t>WUI</t>
  </si>
  <si>
    <t>D1FI</t>
  </si>
  <si>
    <t>D1UI</t>
  </si>
  <si>
    <t>D2FI</t>
  </si>
  <si>
    <t>D2UI</t>
  </si>
  <si>
    <t>D7FI</t>
  </si>
  <si>
    <t>D7UI</t>
  </si>
  <si>
    <t>Day Ahead Wind Generation Forecast Accuracy Incentive</t>
  </si>
  <si>
    <t>Day Ahead Wind Generation Unbiased Forecast Incentive</t>
  </si>
  <si>
    <t>Day Ahead National Demand Forecast Accuracy Incentive</t>
  </si>
  <si>
    <t>Day Ahead National Demand Unbiased Forecast Incentive</t>
  </si>
  <si>
    <t>Two-Day Ahead National Demand Forecast Accuracy Incentive</t>
  </si>
  <si>
    <t>Two-Day Ahead National Demand Unbiased Forecast Incentive</t>
  </si>
  <si>
    <t>Week Ahead National Demand Forecast Accuracy Incentive</t>
  </si>
  <si>
    <t>Week Ahead National Demand Unbiased Forecast Incentive</t>
  </si>
  <si>
    <t>SO-TO Mechanism</t>
  </si>
  <si>
    <t>(SC 4J.2)</t>
  </si>
  <si>
    <t>OC</t>
  </si>
  <si>
    <t>COS</t>
  </si>
  <si>
    <t>OCTRU</t>
  </si>
  <si>
    <t>JW</t>
  </si>
  <si>
    <t>OIPay</t>
  </si>
  <si>
    <t>Commercial Operational Services payments to SPTL/SHET</t>
  </si>
  <si>
    <t>Outage Changes payments to SPTL/SHET</t>
  </si>
  <si>
    <t>SO-TO Cost Allowance True-Up</t>
  </si>
  <si>
    <t>Outage Changes Cost Allowance True-Up</t>
  </si>
  <si>
    <t>cells containing formula</t>
  </si>
  <si>
    <t>Joint Works Projects payments to SPTL/SHET</t>
  </si>
  <si>
    <t>Outage Cost adjustments</t>
  </si>
  <si>
    <t>(SC 4J.3)</t>
  </si>
  <si>
    <t>SO-TO Cost Allowance RPI True Up</t>
  </si>
  <si>
    <t>(SC 4J.4)</t>
  </si>
  <si>
    <t>Outage Change Cost Allowance Calculation</t>
  </si>
  <si>
    <t>Check on ONTRU</t>
  </si>
  <si>
    <t>Wind Generation Forecasting Incentive</t>
  </si>
  <si>
    <t>RFIIR</t>
  </si>
  <si>
    <t>Roll Out Value</t>
  </si>
  <si>
    <t>ROV</t>
  </si>
  <si>
    <t>Feasibility Studies</t>
  </si>
  <si>
    <t>BSFS</t>
  </si>
  <si>
    <t>Allowed Outage Cost Adjustment</t>
  </si>
  <si>
    <t>Until 2016/17:</t>
  </si>
  <si>
    <t>From 2017/18:</t>
  </si>
  <si>
    <t>TL</t>
  </si>
  <si>
    <t>Costs recovered - Feasibility Studies</t>
  </si>
  <si>
    <t>Notional cost of losses</t>
  </si>
  <si>
    <t>Sharing Factor</t>
  </si>
  <si>
    <t>Balancing Services (High)</t>
  </si>
  <si>
    <t>Balancing Services (Low)</t>
  </si>
  <si>
    <t>(SC 4C.30)</t>
  </si>
  <si>
    <r>
      <t>OIP</t>
    </r>
    <r>
      <rPr>
        <vertAlign val="subscript"/>
        <sz val="12"/>
        <color theme="1"/>
        <rFont val="Times New Roman"/>
        <family val="1"/>
      </rPr>
      <t>t</t>
    </r>
    <r>
      <rPr>
        <sz val="12"/>
        <color theme="1"/>
        <rFont val="Times New Roman"/>
        <family val="1"/>
      </rPr>
      <t xml:space="preserve"> = RI</t>
    </r>
    <r>
      <rPr>
        <vertAlign val="subscript"/>
        <sz val="12"/>
        <color theme="1"/>
        <rFont val="Times New Roman"/>
        <family val="1"/>
      </rPr>
      <t>t</t>
    </r>
    <r>
      <rPr>
        <sz val="12"/>
        <color theme="1"/>
        <rFont val="Times New Roman"/>
        <family val="1"/>
      </rPr>
      <t xml:space="preserve"> + SSO</t>
    </r>
    <r>
      <rPr>
        <vertAlign val="subscript"/>
        <sz val="12"/>
        <color theme="1"/>
        <rFont val="Times New Roman"/>
        <family val="1"/>
      </rPr>
      <t>t</t>
    </r>
    <r>
      <rPr>
        <sz val="12"/>
        <color theme="1"/>
        <rFont val="Times New Roman"/>
        <family val="1"/>
      </rPr>
      <t xml:space="preserve"> + SFI</t>
    </r>
    <r>
      <rPr>
        <vertAlign val="subscript"/>
        <sz val="12"/>
        <color theme="1"/>
        <rFont val="Times New Roman"/>
        <family val="1"/>
      </rPr>
      <t>t</t>
    </r>
    <r>
      <rPr>
        <u/>
        <vertAlign val="subscript"/>
        <sz val="12"/>
        <color rgb="FF008080"/>
        <rFont val="Times New Roman"/>
        <family val="1"/>
      </rPr>
      <t xml:space="preserve"> </t>
    </r>
    <r>
      <rPr>
        <sz val="12"/>
        <color theme="1"/>
        <rFont val="Times New Roman"/>
        <family val="1"/>
      </rPr>
      <t>+ EDR</t>
    </r>
    <r>
      <rPr>
        <vertAlign val="subscript"/>
        <sz val="12"/>
        <color theme="1"/>
        <rFont val="Times New Roman"/>
        <family val="1"/>
      </rPr>
      <t>t</t>
    </r>
  </si>
  <si>
    <t>From 2018/19:</t>
  </si>
  <si>
    <t>For 2017/18:</t>
  </si>
  <si>
    <t>Incentive payment (upto 2018/19)</t>
  </si>
  <si>
    <t>R12 Maximum allowed revenue summary</t>
  </si>
  <si>
    <t xml:space="preserve"> [Reported in RFPR, not required for 2018-19 reporting]</t>
  </si>
  <si>
    <t>Wind Generation Forecasting incentive - 2017/18 only</t>
  </si>
  <si>
    <t>Max Allowed Revenue</t>
  </si>
  <si>
    <t>No</t>
  </si>
  <si>
    <t>Change</t>
  </si>
  <si>
    <t>Reason</t>
  </si>
  <si>
    <t xml:space="preserve">Tabs no longer required in entirety for ESO. </t>
  </si>
  <si>
    <t xml:space="preserve">R17 no longer completed pre-Separation, </t>
  </si>
  <si>
    <t>R14 Rec to Stat Act now done in RFPR</t>
  </si>
  <si>
    <t>R11 TIRG relates solely to NGET</t>
  </si>
  <si>
    <t>No SO MAR Summary tab previously</t>
  </si>
  <si>
    <t>To bring in line with License</t>
  </si>
  <si>
    <t>(No change in SO Internal Formula)</t>
  </si>
  <si>
    <t>TOt = TRUt + PTt + NIAt + NICFt + DISt + TSt + FINt - Kt</t>
  </si>
  <si>
    <t>Previous NGET formula</t>
  </si>
  <si>
    <t>Current NGESO formula</t>
  </si>
  <si>
    <t>FIN</t>
  </si>
  <si>
    <t>Financing Cost</t>
  </si>
  <si>
    <t>Neither relevant to NGESO</t>
  </si>
  <si>
    <t>New NGESO Formula for Rev</t>
  </si>
  <si>
    <t>Removed from REV calculation in line with new License</t>
  </si>
  <si>
    <t>Tab R6 renamed to 'R6 True Up'</t>
  </si>
  <si>
    <t>Reflecting remaining function</t>
  </si>
  <si>
    <t>PTt = RBt + LFt + ITCt + Termt + TSPt + TSHt + TNGETt + TOFTOt + OFETt + TICFt + TICPt</t>
  </si>
  <si>
    <t>Original NGET Formula</t>
  </si>
  <si>
    <t>New NGESO Formula</t>
  </si>
  <si>
    <t>TNGET</t>
  </si>
  <si>
    <t>TICF</t>
  </si>
  <si>
    <t>TICP</t>
  </si>
  <si>
    <t>NGET Revenue</t>
  </si>
  <si>
    <t>To update passthrough to reflect NGESO license formula</t>
  </si>
  <si>
    <t>Interconnector Owner Revenue</t>
  </si>
  <si>
    <t>Interconnector Special Condition Revenue</t>
  </si>
  <si>
    <t>Amounts notified to Licensee by all interconnector owners</t>
  </si>
  <si>
    <t>Amount notified to Licensee by each relevant interconnector licensee</t>
  </si>
  <si>
    <t xml:space="preserve">Total Charged by SHETPLC, SPTL &amp; NGET in respect of Site-Specific Charges </t>
  </si>
  <si>
    <t xml:space="preserve">Total income from SHETPLC, SPTL &amp; NGET in respect of Site-Specific Charges </t>
  </si>
  <si>
    <t xml:space="preserve">Total income from SHETPLC, SPTL &amp; NGET in respect of TO Final Sums </t>
  </si>
  <si>
    <t xml:space="preserve">Total Charged by SHETPLC, SPTL &amp; NGET in respect of TO Final Sums </t>
  </si>
  <si>
    <t>R12</t>
  </si>
  <si>
    <t>R15</t>
  </si>
  <si>
    <t>R4</t>
  </si>
  <si>
    <t>R6</t>
  </si>
  <si>
    <t>R7</t>
  </si>
  <si>
    <t>R5</t>
  </si>
  <si>
    <t>Not relevant to ESO, TO incentives</t>
  </si>
  <si>
    <t>Cells only TO relevant</t>
  </si>
  <si>
    <t>R5, R12</t>
  </si>
  <si>
    <t>FIN given in license in 09/10 prices</t>
  </si>
  <si>
    <t>R5, R10</t>
  </si>
  <si>
    <t>To provide K figures for last two years of T1 data</t>
  </si>
  <si>
    <t>Delete entries and grey out cells for years 2019 and prior to remove TO input data</t>
  </si>
  <si>
    <t>R16</t>
  </si>
  <si>
    <t>IncPayRec</t>
  </si>
  <si>
    <t>Incentive Payments Reconciliation</t>
  </si>
  <si>
    <t>(SC 3A.4)</t>
  </si>
  <si>
    <t>Financial Facilities from NGET</t>
  </si>
  <si>
    <t>SO External Revenue</t>
  </si>
  <si>
    <t>SOI</t>
  </si>
  <si>
    <t>BXext</t>
  </si>
  <si>
    <t>R3</t>
  </si>
  <si>
    <t>NGET Version log deleted</t>
  </si>
  <si>
    <t>R6 True Up</t>
  </si>
  <si>
    <t>National Grid Electricity System Operator Ltd</t>
  </si>
  <si>
    <t>NGET Base Revenue</t>
  </si>
  <si>
    <t>NGETBR</t>
  </si>
  <si>
    <t>Add row 43 NGETBR for inclusion of NGET base Revenue</t>
  </si>
  <si>
    <t>Used for NIA calculation in ESO R8</t>
  </si>
  <si>
    <t xml:space="preserve">Row 25 renamed to NGETBR </t>
  </si>
  <si>
    <t>Reflecting updated Licence</t>
  </si>
  <si>
    <t>R9</t>
  </si>
  <si>
    <t>R11, R14, R17, R18</t>
  </si>
  <si>
    <t xml:space="preserve">Add updated formula for BXext </t>
  </si>
  <si>
    <t>From 2019/20:</t>
  </si>
  <si>
    <t>DSR calculation for FY21 in cell M82 contained incorrect formula.  Licence formula is [IMAGE TO RIGHT] but cell formula was out by a factor of one million, due to failure to realise cell already in units of £m. Cell adjusted to correct licence formula.</t>
  </si>
  <si>
    <t>Grey out formula from prior years in TO calculations</t>
  </si>
  <si>
    <t>R10</t>
  </si>
  <si>
    <t>Grey out TO and TNR cells from prior year calculations</t>
  </si>
  <si>
    <t>Grey out prior year input and calculation cells</t>
  </si>
  <si>
    <t xml:space="preserve">R16 SO External Revenue </t>
  </si>
  <si>
    <t>Lines 53-65 duplicated below to add updated formula calculation for FY20, 21</t>
  </si>
  <si>
    <t>Add row 76  Incentive Payments Reconciliation</t>
  </si>
  <si>
    <t>For 2018/19:</t>
  </si>
  <si>
    <t>Row 108, 109 add input row for Incentive Payment Reconciliation</t>
  </si>
  <si>
    <t>R9 Innovation incentive</t>
  </si>
  <si>
    <t>R10 Correction term</t>
  </si>
  <si>
    <t xml:space="preserve">R15 SO Base Internal Revenue </t>
  </si>
  <si>
    <t>Maximum Revenue</t>
  </si>
  <si>
    <t>SC 3A.9</t>
  </si>
  <si>
    <t>(SC 3A.8)</t>
  </si>
  <si>
    <t>Tab label</t>
  </si>
  <si>
    <t>Begun with finalised NGET Revenue RRP template 2018/19.</t>
  </si>
  <si>
    <t>Hide Tabs R11, R14, R17, R8 - Intention would be to delete post Ofgem agreement</t>
  </si>
  <si>
    <t>Rename to 'R12 SO MAR'</t>
  </si>
  <si>
    <t xml:space="preserve">Copy R15 Row 18 'SO Internal Revenue' onto R12, </t>
  </si>
  <si>
    <t>Copy R16, Row 8 External Revenue onto R12</t>
  </si>
  <si>
    <t>To give visibility of total SO Revenue</t>
  </si>
  <si>
    <t>R12 A22 changes to 'Maximum Revenue' in line with License</t>
  </si>
  <si>
    <t>To bring in line with NGESO License</t>
  </si>
  <si>
    <t>TIRG, BR, OIP terms deleted from TO calculation</t>
  </si>
  <si>
    <t>Not included in NGESO TO Formula</t>
  </si>
  <si>
    <t>FIN term added to TO formula</t>
  </si>
  <si>
    <t>New Licence term from 2020 onwards</t>
  </si>
  <si>
    <t>K extended to FY 2020 and 2021</t>
  </si>
  <si>
    <t>NGESO Licence Term</t>
  </si>
  <si>
    <t>R4 PTRA historic deleted</t>
  </si>
  <si>
    <t>Historic not relevant</t>
  </si>
  <si>
    <t>R4 Rows 72-81 related to TIRG and row 9 TO base revenue allowance hidden as not NGESO relevant - intention would be to delete once agreed with Ofgem</t>
  </si>
  <si>
    <t>R6 hid rows 5-12 TO Base Revenue, and 42-57 relating to NGET Rev in 2013 - intention would be to delete once agreed with Ofgem</t>
  </si>
  <si>
    <t>Not relevant to NGESO</t>
  </si>
  <si>
    <t>TRU licence reference updated to 3A.5</t>
  </si>
  <si>
    <t>Licence condition ref diff in NGESO to NGET</t>
  </si>
  <si>
    <t>Licence condition reference updated for REV from SC3A.10 to SC 3A.8</t>
  </si>
  <si>
    <t>R6 - BR, TPD, SFI, RI, SubTIRG deleted from REV formula as not in NGESO TRU term</t>
  </si>
  <si>
    <t>NGESO TO formula added to top of sheet and NGET formula hidden - intention to delete</t>
  </si>
  <si>
    <t>R7 Passthrough rows 46-53 hidden to remove TPD calc - intention to delete</t>
  </si>
  <si>
    <t>Hide row 7 to remove old NGET formula - intention to delete</t>
  </si>
  <si>
    <t>Tab R7 Pass Through delete row 7 TPD, add additional rows for term TNGET</t>
  </si>
  <si>
    <t>R5 row 66 hidden to remove TPD input (TPA)</t>
  </si>
  <si>
    <t>R5 Rows 30-41 hidden to remove 2013 NGET MAR input cells, row 25 TOMOD, hide all TO Incentive inputs and TIRG inputs - Intention to delete</t>
  </si>
  <si>
    <t>To allow input for TNGET for Pass through formula on tab R7</t>
  </si>
  <si>
    <t>R5 Input add row 71 TNGET input cells and link to R7 pass Through</t>
  </si>
  <si>
    <t>To include NGET in TS and DIS inputs</t>
  </si>
  <si>
    <t>Row 20-61 TO Incentive inputs - intention to delete</t>
  </si>
  <si>
    <t>R5 Insert row 45 for FIN term input, on R12 rows 38-42 insert Inflation uplift calculation for FIN</t>
  </si>
  <si>
    <t xml:space="preserve">R10 Extend K calculation terms in rows 13-17 for years 2022, 2023 </t>
  </si>
  <si>
    <t xml:space="preserve">R10 </t>
  </si>
  <si>
    <t>Replace K formula and reference SC 3A.9</t>
  </si>
  <si>
    <t>To reflect NGESO Licence</t>
  </si>
  <si>
    <t>Lines 12-14 insert NGESO values directed in license (0) for RBE, LFE, ITA</t>
  </si>
  <si>
    <t>Update company name row 6 to NGESO</t>
  </si>
  <si>
    <t>Not relevant to NGSEO RRP</t>
  </si>
  <si>
    <r>
      <t>To allow for NGESO Licence update to include IncPayRec term in</t>
    </r>
    <r>
      <rPr>
        <b/>
        <sz val="10"/>
        <color theme="1"/>
        <rFont val="Verdana"/>
        <family val="2"/>
      </rPr>
      <t xml:space="preserve"> BX ext</t>
    </r>
    <r>
      <rPr>
        <sz val="10"/>
        <color theme="1"/>
        <rFont val="Verdana"/>
        <family val="2"/>
      </rPr>
      <t xml:space="preserve"> formula</t>
    </r>
  </si>
  <si>
    <t>For the 2018/19 Bxext formula, remove inputs for FY20 and FY21 form cells AA55-AE65</t>
  </si>
  <si>
    <r>
      <t xml:space="preserve">To ensure </t>
    </r>
    <r>
      <rPr>
        <b/>
        <sz val="10"/>
        <color theme="1"/>
        <rFont val="Verdana"/>
        <family val="2"/>
      </rPr>
      <t>BX ext</t>
    </r>
    <r>
      <rPr>
        <sz val="10"/>
        <color theme="1"/>
        <rFont val="Verdana"/>
        <family val="2"/>
      </rPr>
      <t xml:space="preserve"> at the top of the sheet is linked to the newly added 2019/20 formula</t>
    </r>
  </si>
  <si>
    <r>
      <t xml:space="preserve">Updated cell to link to AA14 to link to AA79 which is the newly added 2019/20 </t>
    </r>
    <r>
      <rPr>
        <b/>
        <sz val="10"/>
        <color theme="1"/>
        <rFont val="Verdana"/>
        <family val="2"/>
      </rPr>
      <t>BX ext</t>
    </r>
    <r>
      <rPr>
        <sz val="10"/>
        <color theme="1"/>
        <rFont val="Verdana"/>
        <family val="2"/>
      </rPr>
      <t xml:space="preserve"> formula, AB14 to AB79, AD14 to AD79 and AE14 to AE79</t>
    </r>
  </si>
  <si>
    <t>R4 NIAV changed to 0.2% for 2020 and 2021 in line with the license. Historic years deleted as not relevant</t>
  </si>
  <si>
    <t xml:space="preserve">R5 Input site specific charges and TO final sums text updated to include TNGET as well as Scots </t>
  </si>
  <si>
    <t>R5 extend 'I' Average Specified rate definition  to years 2022, 2023</t>
  </si>
  <si>
    <t>Formulas for DFAB and DFAC applied incorrectly in rows 66, 67. 
In licence DFAt=DFAA(t-2)+DFAB(t-2)+DFAC(t-2).
These sub terms are calculated as [IMAGE TO RIGHT] with reference  to the same t-2.
E.g. DFA 2019 should be calculated through DFAB 2017, which in turn is calculated using DFEB 2017.    
Current formulas do not reflect this licence definition (formulas were creating 4 year lag)
E.g.DFAB 2021 in M66 is calculated through DFEB 2019.
To correct this and make DFAA, DFAB, DFAC be calculated with reference to input data of the same year formula adjusted in J67 (2018), K-M66 (2019-21). Now e.g. 2019 K66 links to 2019 K71, correctly reflecting licence.  
Other cells greyed as no source data will occur for any calculation in those cells.</t>
  </si>
  <si>
    <t>This tab doesn’t appear to be used for anything (i.e. does not feed charge setting as charges based on actuals) and monthly cost report is produced and published by NGESO on their website. A new tab account be created to record the Incentive Payment term and Incentive Payment Reconciliation term - happy to design this if required.</t>
  </si>
  <si>
    <t>Propose that R16 could be removed entirely and not filled in for 2020.</t>
  </si>
  <si>
    <t>R13</t>
  </si>
  <si>
    <t>header changed to 'Revenue from ESO's Excluded Services and De minimis Activities, not revenues for ECD activities it is acting an agent for'</t>
  </si>
  <si>
    <t>Agreed treatment for ECD in ESO Rev RRP with Ofgem 210120</t>
  </si>
  <si>
    <t>Revenue from ESO's Excluded Services and De minimis Activities, not revenues for ECD activities it is acting an agent for</t>
  </si>
  <si>
    <t>Regulatory year changed to 2020 in header</t>
  </si>
  <si>
    <t>£m 09/10</t>
  </si>
  <si>
    <t>£m nominal</t>
  </si>
  <si>
    <t>Financing Allowance (09/10 Prices)</t>
  </si>
  <si>
    <t>Financing Allowance</t>
  </si>
  <si>
    <t>Fin values added as directed in license Appendix 1 p345, also uplifited to nominal price base</t>
  </si>
  <si>
    <t>R5, R6, R7, R9, R10, R12, R13, R15, R16</t>
  </si>
  <si>
    <t>Version 2 change log</t>
  </si>
  <si>
    <t>unit chaged from £m to £m 09/10 or £m nominal</t>
  </si>
  <si>
    <t>Greater clarity as per Ofgem request</t>
  </si>
  <si>
    <r>
      <rPr>
        <i/>
        <sz val="10"/>
        <color theme="1"/>
        <rFont val="Verdana"/>
        <family val="2"/>
      </rPr>
      <t xml:space="preserve">FINt Cost </t>
    </r>
    <r>
      <rPr>
        <sz val="10"/>
        <color theme="1"/>
        <rFont val="Verdana"/>
        <family val="2"/>
      </rPr>
      <t>changed to FINt Allowance per Ofgem request</t>
    </r>
  </si>
  <si>
    <t>Formula error</t>
  </si>
  <si>
    <t>CSSSCfD and CSSSCM 2021 values overridden to 0 as the lack of score in 2019 was driving a negative incentive value. The reason for no score on the surveys was because there were no contracts for difference rounds or capacity markets in 2019</t>
  </si>
  <si>
    <t>Version 3 change log</t>
  </si>
  <si>
    <t>Financing Costs header changed to Financing Allowance in row 45</t>
  </si>
  <si>
    <t>Colour coding in TS and DIS inputs changed from grey to yellow for 2018/19</t>
  </si>
  <si>
    <t>Version 4 change log</t>
  </si>
  <si>
    <t>Change from nominal to 09/10 price base</t>
  </si>
  <si>
    <t>D56:D60</t>
  </si>
  <si>
    <t>Incorrect price base was input in version 2.
SOEMRINC is in 09/10 as it is uplifted in the SOI term to nominal. 
Hence the terms that make up SOEMRC need to be in 09/10 price base</t>
  </si>
  <si>
    <t>D65:D68</t>
  </si>
  <si>
    <t>D89:D91</t>
  </si>
  <si>
    <t>Incorrect price base was input in version 2.
SOEMRINC is in 09/10, therefore DFA is in 09/10
Hence the terms that make up DFA need to be in 09/10 price base</t>
  </si>
  <si>
    <t>Incorrect price base was input in version 2.
SOEMRINC is in 09/10, therefore CSSS is in 09/10
Hence the terms that make up CSSS need to be in 09/10 price base</t>
  </si>
  <si>
    <t>D82</t>
  </si>
  <si>
    <t>Incorrect price base was input in version 2.
SOEMRINC is in 09/10, therefore DSR is in 09/10</t>
  </si>
  <si>
    <t>NGESO Revenue RRP model established based on previous NGET Revenue RRP Model</t>
  </si>
  <si>
    <t xml:space="preserve">Actual and forecast RPI values, ASR and MOD values input into R5 </t>
  </si>
  <si>
    <t xml:space="preserve">R11, R14, R17, R18- Hidden tabs, no longer required following separation. </t>
  </si>
  <si>
    <t>R4 - NIAV changed to 0.2% for 2020 and 2021 in line with the license. Historic years deleted as not relevant
    - PTRA historic deleted
    - Rows 72-81 related to TIRG and row 9 TO base revenue allowance hidden as not NGESO relevant.
    - Row 20-61 TO Incentive inputs hidden as not NGESO relevant.
    - Lines 12-14 insert NGESO values directed in license (0) for RBE, LFE, ITA</t>
  </si>
  <si>
    <t>R15- Change  cells D56:D:60, D65:D68, D89:D91 and D82 from nominal to 09/10 price base</t>
  </si>
  <si>
    <t>R5- Financing Costs header changed to Financing Allowance in row 45.
   - Colour coding in TS and DIS inputs changed from grey to yellow for 2018/19</t>
  </si>
  <si>
    <t>R5, R6, R7, R9, R10, R12, R13, R15, R16- Unit chaged from £m to £m 09/10 or £m nominal</t>
  </si>
  <si>
    <t>R13- Header changed to 'Revenue from ESO's Excluded Services and De minimis Activities, not revenues for ECD activities it is acting an agent for'</t>
  </si>
  <si>
    <t>R5- Regulatory year changed to 2020 in header</t>
  </si>
  <si>
    <t>R12- FINt Cost changed to FINt Allowance</t>
  </si>
  <si>
    <t>R15- CSSSCfD and CSSSCM 2021 values overridden to 0 as the lack of score in 2019 was driving a negative incentive value. The reason for no score on the surveys was because there were no contracts for difference rounds or capacity markets in 2019</t>
  </si>
  <si>
    <t>R6 - renamed to 'R6 True Up'
      - Hidden rows 5-12 TO Base Revenue, and 42-57 relating to NGET Rev in 2013
      -TRU licence reference updated to 3A.5 and Licence condition reference updated for REV from SC3A.10 to SC 3A.8.
      - BR, TPD, SFI, RI, SubTIRG deleted from REV formula as not in NGESO TRU term</t>
  </si>
  <si>
    <t>R7 - Hidden row 7 to remove old NGET formula and new NGESO formula added in Row 6.
     -Hidden rows 46-53 to remove TPD calculation.</t>
  </si>
  <si>
    <t>R5 - Inserted row 45 for FIN term input
    - Row 66 hidden to remove TPD input (TPA), Rows 30-42 hidden to remove 2013 NGET MAR input cells, row 25 TOMOD, hide all TO Incentive inputs and TIRG inputs
    - Added row 71 TNGET input cells and linked to R7 pass Through
    - Site specific charges and TO final sums text updated to include TNGET
    - Extended 'I' Average Specified rate definition  to years 2022, 2023
    - Added row 43 NGETBR for inclusion of NGET base Revenue
    - Updated company name row 6 to NGESO
    - Deleted entries and greyed out cells for years 2019 and prior to remove TO input data</t>
  </si>
  <si>
    <t>R3-  NGET Version log deleted</t>
  </si>
  <si>
    <t>R12  - Renamed to 'R12 SO MAR'. 
       - Added 'SO Internal Revenue' from R15 Row 18. 
       - Added 'External Revenue' from R16 Row 8. 
       - Cell A22 changed to Maximum Revenue in line with licence. 
       - NGESO TO formula added to top of sheet and NGET formula hidden. 
       - TIRG, BR, OIP terms deleted from TO calculation and FIN term added. 
       - Fin values added as directed in license Appendix 1 p345, uplifited to nominal price base calculation in Row 38-42
       - K extended to FY 2020 and 2021
       - Greyed out formula from prior years in TO calculations</t>
  </si>
  <si>
    <t>R10 - Extend K calculation terms in rows 13-17 for years 2022, 2023 
      - Replace K formula and reference SC 3A.9
      - Greyed out TO and TNR cells from prior year calculations</t>
  </si>
  <si>
    <t>R9 - Row 25 renamed to NGETBR 
     - Greyed out prior year input and calculation cells</t>
  </si>
  <si>
    <t>R15- Corrected formulas for DFAB &amp; DFAC in order to reflect licence. 
        - DSR calculation for FY21 in cell M82 contained incorrect formula, due to failure to realise cell already in units of £m. Cell adjusted to correct licence formula.</t>
  </si>
  <si>
    <t xml:space="preserve">R16- Lines 53-65 duplicated below to add updated formula calculation for FY20, 21
     - Added row 76 Incentive Payments Reconciliation and Row 108, 109 for Incentive Payment Reconciliation inputs.
     - Added updated formula for BXext and removed FY20 and FY21 inputs from cells AA55-AE65
     - Updated cell AA14 to link to AA79, AB14 to AB79, AD14 to AD79 and AE14 to AE79 which is the newly added 2019/20 BX ext formula, </t>
  </si>
  <si>
    <t>v2</t>
  </si>
  <si>
    <t>National Grid Electricity Transmission Plc</t>
  </si>
  <si>
    <t>Regulatory Year ending 31 March 2019</t>
  </si>
  <si>
    <t xml:space="preserve">R5 - CT rate updated to be 19% for 2020/21, ASR 0.72% for 2019/20.  LBS in R16 tab now treated as a variable inputed by the ESO directly </t>
  </si>
  <si>
    <t>v7.2</t>
  </si>
  <si>
    <t>R5 Input page - updated RPI for 2020</t>
  </si>
  <si>
    <t>LMOD1</t>
  </si>
  <si>
    <t>FC LMOD2</t>
  </si>
  <si>
    <t>from November 2020</t>
  </si>
  <si>
    <t>from November 2021</t>
  </si>
  <si>
    <t>used for 2022</t>
  </si>
  <si>
    <t>used for 2023</t>
  </si>
  <si>
    <t>LMOD2 PCFM</t>
  </si>
  <si>
    <t>LSOMODt</t>
  </si>
  <si>
    <t>LSOTRUt</t>
  </si>
  <si>
    <t>LSOEMRINCt</t>
  </si>
  <si>
    <t>Regulatory Year ending 31 March 2021</t>
  </si>
  <si>
    <t>v3</t>
  </si>
  <si>
    <t>LARt Summary tab added</t>
  </si>
  <si>
    <t>R5 - Cells M62 and N62, ASR updated 0.1% for 2020/21 and 2021/22.  Cells N49, O49 and P49, WACC updated for 2021/22 and 2022/23 and 2023/24. Cells O50 and P50, PVF updated for 2022/23 and 2023/24</t>
  </si>
  <si>
    <t>R6 True Up - Cells N38 and O38, REV extended to 2023. PVF extended to 2024. Cells N40:Q40, TRU extended to 2025. Cells N50:O55, RB, LF, ITC, REV and RPIF have been extended to 2023</t>
  </si>
  <si>
    <t>R5 -Cells N10:O10, RPIA extended to 2023. Cells N11:O11, RPI indices extended to 2023</t>
  </si>
  <si>
    <t>R7 - All terms extended to 2023</t>
  </si>
  <si>
    <t>R10 - All term extended to 2023</t>
  </si>
  <si>
    <t>R12 - Cells N19:O19, K term extended to 2023</t>
  </si>
  <si>
    <t>R15 - Cells N11:O11, SOEMRINC extended to 2023, Cells N12:O12, SOMOD extended to 2023, Cells N15:O15, SOTRU extended to 2023, Cells N24:O26, PVF, RPIA and RPIF extended to 2023, Cells N56:O60, Table (SC 4L) extended to 2023</t>
  </si>
  <si>
    <t>R16 - Cell Y60 updated to =X60, Cell AB73 updated to = AA 73, Cell AE73 updated to = AD 73</t>
  </si>
  <si>
    <t>PCFM StatCon Feb 2021</t>
  </si>
  <si>
    <t>v3.1</t>
  </si>
  <si>
    <t>Feb HMT Forecast</t>
  </si>
  <si>
    <t xml:space="preserve"> R5 Input page - RPI indices have been updated (M11:O11) and (N24 and N25:O25). WACC values 2022-2024 have been updated (N48:P48) based on PCFM from February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</si>
</sst>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0.000_-;\-* #,##0.000_-;_-* &quot;-&quot;??_-;_-@_-"/>
    <numFmt numFmtId="169" formatCode="_-* #,##0.00\ _D_M_-;\-* #,##0.00\ _D_M_-;_-* &quot;-&quot;??\ _D_M_-;_-@_-"/>
    <numFmt numFmtId="170" formatCode="_-* #,##0_-;\-* #,##0_-;_-* &quot;-&quot;??_-;_-@_-"/>
    <numFmt numFmtId="171" formatCode="#,##0.000"/>
    <numFmt numFmtId="172" formatCode="0.000"/>
    <numFmt numFmtId="173" formatCode="#,##0.00;[Red]\-#,##0.00;0.00"/>
    <numFmt numFmtId="174" formatCode="#,##0.00;[Red]\-#,##0.00;\-"/>
    <numFmt numFmtId="175" formatCode="#,##0.000;[Red]\-#,##0.000;\-"/>
    <numFmt numFmtId="176" formatCode="0.0%"/>
    <numFmt numFmtId="177" formatCode="#,##0.000;[Red]\-#,##0.000;0.000"/>
    <numFmt numFmtId="178" formatCode="#,##0;[Red]\-#,##0;\-"/>
    <numFmt numFmtId="179" formatCode="_-* #,##0.0_-;\-* #,##0.0_-;_-* &quot;-&quot;??_-;_-@_-"/>
    <numFmt numFmtId="180" formatCode="#,##0.0;[Red]\-#,##0.0;\-"/>
    <numFmt numFmtId="181" formatCode="0.0"/>
    <numFmt numFmtId="182" formatCode="#,##0.0;[Red]\-#,##0.0;0.0"/>
    <numFmt numFmtId="183" formatCode="#,##0.000_ ;[Red]\-#,##0.000\ "/>
    <numFmt numFmtId="184" formatCode="#,##0.000_ ;\-#,##0.000\ "/>
    <numFmt numFmtId="185" formatCode="#,##0.0_ ;[Red]\-#,##0.0\ "/>
    <numFmt numFmtId="186" formatCode="_-* #,##0.000_-;\-* #,##0.000_-;_-* &quot;-&quot;???_-;_-@_-"/>
    <numFmt numFmtId="187" formatCode="0.000%"/>
    <numFmt numFmtId="188" formatCode="#,##0.000_);\(#,##0.000\);\-"/>
    <numFmt numFmtId="189" formatCode="0.00;\-0.00;\-"/>
    <numFmt numFmtId="190" formatCode="#,##0.00000000000000_ ;[Red]\-#,##0.00000000000000\ "/>
    <numFmt numFmtId="191" formatCode="#,##0.0000;[Red]\-#,##0.0000;0.0000"/>
    <numFmt numFmtId="192" formatCode="#,##0.0000;[Red]\-#,##0.0000;\-"/>
    <numFmt numFmtId="193" formatCode="_(* #,##0.000_);_(* \(#,##0.000\);_(* &quot;-&quot;??_);_(@_)"/>
    <numFmt numFmtId="194" formatCode="_-[$€-2]* #,##0.00_-;\-[$€-2]* #,##0.00_-;_-[$€-2]* &quot;-&quot;??_-"/>
    <numFmt numFmtId="195" formatCode="#,##0;\(#,##0\)"/>
    <numFmt numFmtId="196" formatCode="d\-mmm\-yyyy"/>
    <numFmt numFmtId="197" formatCode="_(* #,##0.0000_);_(* \(#,##0.0000\);_(* &quot;-&quot;??_);_(@_)"/>
    <numFmt numFmtId="198" formatCode="_(* #,##0_);_(* \(#,##0\);_(* &quot;-&quot;??_);_(@_)"/>
    <numFmt numFmtId="199" formatCode="0.0000000"/>
    <numFmt numFmtId="200" formatCode="_(* #,##0.0000000_);_(* \(#,##0.0000000\);_(* &quot;-&quot;??_);_(@_)"/>
    <numFmt numFmtId="201" formatCode="[$$-409]#,##0.00"/>
    <numFmt numFmtId="202" formatCode="_(* #,##0.0_);_(* \(#,##0.0\);_(* &quot;-&quot;??_);_(@_)"/>
    <numFmt numFmtId="203" formatCode="#,##0.0"/>
    <numFmt numFmtId="204" formatCode="#,##0.00_ ;[Red]\-#,##0.00\ "/>
    <numFmt numFmtId="205" formatCode="0.0000"/>
  </numFmts>
  <fonts count="161">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b/>
      <sz val="10"/>
      <color theme="1"/>
      <name val="Verdana"/>
      <family val="2"/>
    </font>
    <font>
      <sz val="10"/>
      <name val="Arial"/>
      <family val="2"/>
    </font>
    <font>
      <sz val="11"/>
      <name val="CG Omega"/>
      <family val="2"/>
    </font>
    <font>
      <sz val="11"/>
      <name val="Verdana"/>
      <family val="2"/>
    </font>
    <font>
      <b/>
      <sz val="16"/>
      <color theme="1"/>
      <name val="Verdana"/>
      <family val="2"/>
    </font>
    <font>
      <b/>
      <sz val="11"/>
      <color theme="1"/>
      <name val="Calibri"/>
      <family val="2"/>
      <scheme val="minor"/>
    </font>
    <font>
      <sz val="10"/>
      <color rgb="FFFF0000"/>
      <name val="Verdana"/>
      <family val="2"/>
    </font>
    <font>
      <b/>
      <sz val="11"/>
      <name val="Times New Roman"/>
      <family val="1"/>
    </font>
    <font>
      <sz val="11"/>
      <name val="Times New Roman"/>
      <family val="1"/>
    </font>
    <font>
      <i/>
      <sz val="11"/>
      <name val="Times New Roman"/>
      <family val="1"/>
    </font>
    <font>
      <sz val="11"/>
      <name val="Arial"/>
      <family val="2"/>
    </font>
    <font>
      <sz val="11"/>
      <color rgb="FF92D050"/>
      <name val="Arial"/>
      <family val="2"/>
    </font>
    <font>
      <sz val="8"/>
      <color indexed="81"/>
      <name val="Tahoma"/>
      <family val="2"/>
    </font>
    <font>
      <b/>
      <sz val="8"/>
      <color indexed="81"/>
      <name val="Tahoma"/>
      <family val="2"/>
    </font>
    <font>
      <sz val="11"/>
      <color theme="1"/>
      <name val="Verdana"/>
      <family val="2"/>
    </font>
    <font>
      <vertAlign val="subscript"/>
      <sz val="11"/>
      <color theme="1"/>
      <name val="Verdana"/>
      <family val="2"/>
    </font>
    <font>
      <sz val="22"/>
      <color rgb="FF00B050"/>
      <name val="Verdana"/>
      <family val="2"/>
    </font>
    <font>
      <b/>
      <sz val="10"/>
      <color rgb="FFFF0000"/>
      <name val="Verdana"/>
      <family val="2"/>
    </font>
    <font>
      <b/>
      <sz val="10"/>
      <name val="Verdana"/>
      <family val="2"/>
    </font>
    <font>
      <sz val="12"/>
      <color theme="1"/>
      <name val="Times New Roman"/>
      <family val="1"/>
    </font>
    <font>
      <vertAlign val="subscript"/>
      <sz val="12"/>
      <color theme="1"/>
      <name val="Times New Roman"/>
      <family val="1"/>
    </font>
    <font>
      <sz val="11"/>
      <color indexed="10"/>
      <name val="Times New Roman"/>
      <family val="1"/>
    </font>
    <font>
      <sz val="11"/>
      <color indexed="8"/>
      <name val="Calibri"/>
      <family val="2"/>
    </font>
    <font>
      <sz val="11"/>
      <color indexed="9"/>
      <name val="Calibri"/>
      <family val="2"/>
    </font>
    <font>
      <b/>
      <sz val="11"/>
      <color indexed="8"/>
      <name val="Calibri"/>
      <family val="2"/>
    </font>
    <font>
      <sz val="12"/>
      <name val="Helv"/>
    </font>
    <font>
      <sz val="10"/>
      <name val="CG Omega"/>
      <family val="2"/>
    </font>
    <font>
      <sz val="10"/>
      <name val="Verdana"/>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i/>
      <u/>
      <sz val="11"/>
      <name val="Times New Roman"/>
      <family val="1"/>
    </font>
    <font>
      <b/>
      <i/>
      <sz val="11"/>
      <name val="Times New Roman"/>
      <family val="1"/>
    </font>
    <font>
      <sz val="11"/>
      <color indexed="55"/>
      <name val="Times New Roman"/>
      <family val="1"/>
    </font>
    <font>
      <b/>
      <sz val="12"/>
      <color indexed="8"/>
      <name val="Verdana"/>
      <family val="2"/>
    </font>
    <font>
      <b/>
      <sz val="14"/>
      <name val="Verdana"/>
      <family val="2"/>
    </font>
    <font>
      <b/>
      <sz val="10"/>
      <color indexed="8"/>
      <name val="Verdana"/>
      <family val="2"/>
    </font>
    <font>
      <b/>
      <sz val="11"/>
      <name val="Verdana"/>
      <family val="2"/>
    </font>
    <font>
      <i/>
      <sz val="10"/>
      <name val="Verdana"/>
      <family val="2"/>
    </font>
    <font>
      <sz val="10"/>
      <color indexed="10"/>
      <name val="Verdana"/>
      <family val="2"/>
    </font>
    <font>
      <sz val="10"/>
      <color indexed="8"/>
      <name val="Verdana"/>
      <family val="2"/>
    </font>
    <font>
      <b/>
      <u/>
      <sz val="10"/>
      <name val="Verdana"/>
      <family val="2"/>
    </font>
    <font>
      <b/>
      <sz val="12"/>
      <name val="Verdana"/>
      <family val="2"/>
    </font>
    <font>
      <sz val="18"/>
      <color rgb="FFFF0000"/>
      <name val="Verdana"/>
      <family val="2"/>
    </font>
    <font>
      <b/>
      <sz val="14"/>
      <color theme="1"/>
      <name val="Verdana"/>
      <family val="2"/>
    </font>
    <font>
      <b/>
      <sz val="11"/>
      <name val="Arial"/>
      <family val="2"/>
    </font>
    <font>
      <b/>
      <sz val="12"/>
      <color theme="1"/>
      <name val="Verdana"/>
      <family val="2"/>
    </font>
    <font>
      <sz val="10"/>
      <color theme="1"/>
      <name val="Verdana"/>
      <family val="2"/>
    </font>
    <font>
      <sz val="10"/>
      <color theme="5" tint="0.39997558519241921"/>
      <name val="Verdana"/>
      <family val="2"/>
    </font>
    <font>
      <vertAlign val="subscript"/>
      <sz val="10"/>
      <color rgb="FFFF0000"/>
      <name val="Verdana"/>
      <family val="2"/>
    </font>
    <font>
      <sz val="12"/>
      <name val="Times New Roman"/>
      <family val="1"/>
    </font>
    <font>
      <vertAlign val="subscript"/>
      <sz val="12"/>
      <name val="Times New Roman"/>
      <family val="1"/>
    </font>
    <font>
      <u/>
      <vertAlign val="subscript"/>
      <sz val="12"/>
      <color rgb="FF008080"/>
      <name val="Times New Roman"/>
      <family val="1"/>
    </font>
    <font>
      <sz val="11"/>
      <color rgb="FFFF0000"/>
      <name val="Arial"/>
      <family val="2"/>
    </font>
    <font>
      <b/>
      <u/>
      <sz val="11"/>
      <name val="Verdana"/>
      <family val="2"/>
    </font>
    <font>
      <sz val="10"/>
      <name val="Arial"/>
      <family val="2"/>
    </font>
    <font>
      <b/>
      <u/>
      <sz val="11"/>
      <name val="Arial"/>
      <family val="2"/>
    </font>
    <font>
      <i/>
      <u/>
      <sz val="11"/>
      <name val="Arial"/>
      <family val="2"/>
    </font>
    <font>
      <sz val="11"/>
      <name val="CG Omega"/>
      <family val="2"/>
    </font>
    <font>
      <sz val="10"/>
      <color rgb="FF00B0F0"/>
      <name val="Verdana"/>
      <family val="2"/>
    </font>
    <font>
      <sz val="11"/>
      <color rgb="FF00B0F0"/>
      <name val="Arial"/>
      <family val="2"/>
    </font>
    <font>
      <sz val="10"/>
      <color rgb="FF00B0F0"/>
      <name val="Arial"/>
      <family val="2"/>
    </font>
    <font>
      <i/>
      <u/>
      <sz val="10"/>
      <name val="Verdana"/>
      <family val="2"/>
    </font>
    <font>
      <vertAlign val="subscript"/>
      <sz val="10"/>
      <name val="Verdana"/>
      <family val="2"/>
    </font>
    <font>
      <i/>
      <sz val="9"/>
      <color indexed="10"/>
      <name val="Arial"/>
      <family val="2"/>
    </font>
    <font>
      <i/>
      <sz val="11"/>
      <name val="Arial"/>
      <family val="2"/>
    </font>
    <font>
      <b/>
      <sz val="16"/>
      <name val="Verdana"/>
      <family val="2"/>
    </font>
    <font>
      <u/>
      <sz val="10"/>
      <name val="Arial"/>
      <family val="2"/>
    </font>
    <font>
      <b/>
      <vertAlign val="subscript"/>
      <sz val="10"/>
      <name val="Verdana"/>
      <family val="2"/>
    </font>
    <font>
      <b/>
      <sz val="11"/>
      <name val="Calibri"/>
      <family val="2"/>
      <scheme val="minor"/>
    </font>
    <font>
      <sz val="6"/>
      <name val="Verdana"/>
      <family val="2"/>
    </font>
    <font>
      <b/>
      <sz val="10"/>
      <name val="Arial"/>
      <family val="2"/>
    </font>
    <font>
      <sz val="11"/>
      <color rgb="FFFF0000"/>
      <name val="Verdana"/>
      <family val="2"/>
    </font>
    <font>
      <b/>
      <sz val="9"/>
      <color indexed="8"/>
      <name val="Verdana"/>
      <family val="2"/>
    </font>
    <font>
      <sz val="8"/>
      <name val="Verdana"/>
      <family val="2"/>
    </font>
    <font>
      <sz val="10"/>
      <color rgb="FFFF33CC"/>
      <name val="Verdana"/>
      <family val="2"/>
    </font>
    <font>
      <b/>
      <sz val="11"/>
      <color theme="1"/>
      <name val="Times New Roman"/>
      <family val="1"/>
    </font>
    <font>
      <b/>
      <sz val="9"/>
      <name val="Verdana"/>
      <family val="2"/>
    </font>
    <font>
      <b/>
      <sz val="8"/>
      <color theme="1"/>
      <name val="Verdana"/>
      <family val="2"/>
    </font>
    <font>
      <b/>
      <sz val="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9"/>
      <name val="Arial"/>
      <family val="2"/>
    </font>
    <font>
      <sz val="11"/>
      <color indexed="16"/>
      <name val="Calibri"/>
      <family val="2"/>
    </font>
    <font>
      <b/>
      <sz val="11"/>
      <color indexed="53"/>
      <name val="Calibri"/>
      <family val="2"/>
    </font>
    <font>
      <b/>
      <sz val="11"/>
      <color indexed="9"/>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sz val="11"/>
      <color indexed="10"/>
      <name val="Calibri"/>
      <family val="2"/>
    </font>
    <font>
      <sz val="8"/>
      <name val="Arial"/>
      <family val="2"/>
    </font>
    <font>
      <b/>
      <sz val="14"/>
      <name val="Arial"/>
      <family val="2"/>
    </font>
    <font>
      <u/>
      <sz val="11"/>
      <color theme="10"/>
      <name val="Calibri"/>
      <family val="2"/>
      <scheme val="minor"/>
    </font>
    <font>
      <b/>
      <sz val="8"/>
      <name val="Arial"/>
      <family val="2"/>
    </font>
    <font>
      <sz val="8"/>
      <color indexed="8"/>
      <name val="Arial"/>
      <family val="2"/>
    </font>
    <font>
      <b/>
      <sz val="8"/>
      <color indexed="8"/>
      <name val="Arial"/>
      <family val="2"/>
    </font>
    <font>
      <sz val="19"/>
      <name val="Arial"/>
      <family val="2"/>
    </font>
    <font>
      <sz val="8"/>
      <color indexed="14"/>
      <name val="Arial"/>
      <family val="2"/>
    </font>
    <font>
      <sz val="11"/>
      <color indexed="37"/>
      <name val="Calibri"/>
      <family val="2"/>
    </font>
    <font>
      <b/>
      <sz val="11"/>
      <color indexed="17"/>
      <name val="Calibri"/>
      <family val="2"/>
    </font>
    <font>
      <sz val="11"/>
      <color indexed="14"/>
      <name val="Calibri"/>
      <family val="2"/>
    </font>
    <font>
      <sz val="8"/>
      <color indexed="62"/>
      <name val="Arial"/>
      <family val="2"/>
    </font>
    <font>
      <i/>
      <sz val="10"/>
      <color indexed="18"/>
      <name val="Arial"/>
      <family val="2"/>
    </font>
    <font>
      <b/>
      <sz val="10"/>
      <color indexed="12"/>
      <name val="Arial"/>
      <family val="2"/>
    </font>
    <font>
      <sz val="10"/>
      <color indexed="12"/>
      <name val="Arial"/>
      <family val="2"/>
    </font>
    <font>
      <sz val="10"/>
      <name val="Helv"/>
      <charset val="204"/>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b/>
      <sz val="18"/>
      <color indexed="56"/>
      <name val="Cambria"/>
      <family val="2"/>
    </font>
    <font>
      <b/>
      <i/>
      <sz val="12"/>
      <color indexed="8"/>
      <name val="Arial"/>
      <family val="2"/>
    </font>
    <font>
      <sz val="12"/>
      <color indexed="8"/>
      <name val="Arial"/>
      <family val="2"/>
    </font>
    <font>
      <i/>
      <sz val="12"/>
      <color indexed="8"/>
      <name val="Arial"/>
      <family val="2"/>
    </font>
    <font>
      <sz val="12"/>
      <color indexed="14"/>
      <name val="Arial"/>
      <family val="2"/>
    </font>
    <font>
      <sz val="10"/>
      <name val="Helv"/>
    </font>
    <font>
      <sz val="10"/>
      <name val="MS Sans Serif"/>
      <family val="2"/>
    </font>
    <font>
      <sz val="9"/>
      <name val="NewsGoth Lt BT"/>
      <family val="2"/>
    </font>
    <font>
      <sz val="12"/>
      <name val="Verdana"/>
      <family val="2"/>
    </font>
    <font>
      <vertAlign val="subscript"/>
      <sz val="11"/>
      <color theme="1"/>
      <name val="Times New Roman"/>
      <family val="1"/>
    </font>
    <font>
      <vertAlign val="superscript"/>
      <sz val="11"/>
      <name val="Times New Roman"/>
      <family val="1"/>
    </font>
    <font>
      <sz val="9"/>
      <color indexed="81"/>
      <name val="Tahoma"/>
      <family val="2"/>
    </font>
    <font>
      <b/>
      <sz val="9"/>
      <color indexed="81"/>
      <name val="Tahoma"/>
      <family val="2"/>
    </font>
    <font>
      <i/>
      <sz val="10"/>
      <color rgb="FFFF0000"/>
      <name val="Verdana"/>
      <family val="2"/>
    </font>
    <font>
      <b/>
      <sz val="12"/>
      <color theme="1"/>
      <name val="Times New Roman"/>
      <family val="1"/>
    </font>
    <font>
      <i/>
      <sz val="10"/>
      <color theme="1"/>
      <name val="Verdana"/>
      <family val="2"/>
    </font>
    <font>
      <sz val="10"/>
      <color rgb="FF000000"/>
      <name val="Verdana"/>
      <family val="2"/>
    </font>
    <font>
      <i/>
      <sz val="10"/>
      <color theme="6" tint="-0.499984740745262"/>
      <name val="Verdana"/>
      <family val="2"/>
    </font>
  </fonts>
  <fills count="133">
    <fill>
      <patternFill patternType="none"/>
    </fill>
    <fill>
      <patternFill patternType="gray125"/>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42"/>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1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CCFFCC"/>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patternFill>
    </fill>
    <fill>
      <patternFill patternType="solid">
        <fgColor indexed="47"/>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solid">
        <fgColor indexed="44"/>
        <bgColor indexed="64"/>
      </patternFill>
    </fill>
    <fill>
      <patternFill patternType="solid">
        <fgColor indexed="40"/>
        <bgColor indexed="64"/>
      </patternFill>
    </fill>
    <fill>
      <patternFill patternType="solid">
        <fgColor indexed="45"/>
        <bgColor indexed="64"/>
      </patternFill>
    </fill>
    <fill>
      <patternFill patternType="solid">
        <fgColor indexed="49"/>
      </patternFill>
    </fill>
    <fill>
      <patternFill patternType="solid">
        <fgColor indexed="60"/>
      </patternFill>
    </fill>
    <fill>
      <patternFill patternType="solid">
        <fgColor indexed="61"/>
        <bgColor indexed="61"/>
      </patternFill>
    </fill>
    <fill>
      <patternFill patternType="solid">
        <fgColor indexed="58"/>
        <bgColor indexed="58"/>
      </patternFill>
    </fill>
    <fill>
      <patternFill patternType="solid">
        <fgColor indexed="31"/>
        <bgColor indexed="31"/>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3"/>
        <bgColor indexed="53"/>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43"/>
        <bgColor indexed="64"/>
      </patternFill>
    </fill>
    <fill>
      <patternFill patternType="solid">
        <fgColor indexed="12"/>
      </patternFill>
    </fill>
    <fill>
      <patternFill patternType="solid">
        <fgColor indexed="23"/>
      </patternFill>
    </fill>
    <fill>
      <patternFill patternType="solid">
        <fgColor indexed="20"/>
      </patternFill>
    </fill>
    <fill>
      <patternFill patternType="solid">
        <fgColor indexed="31"/>
      </patternFill>
    </fill>
    <fill>
      <patternFill patternType="solid">
        <fgColor indexed="42"/>
      </patternFill>
    </fill>
    <fill>
      <patternFill patternType="solid">
        <fgColor indexed="35"/>
      </patternFill>
    </fill>
    <fill>
      <patternFill patternType="solid">
        <fgColor indexed="46"/>
      </patternFill>
    </fill>
    <fill>
      <patternFill patternType="solid">
        <fgColor indexed="27"/>
      </patternFill>
    </fill>
    <fill>
      <patternFill patternType="solid">
        <fgColor indexed="24"/>
      </patternFill>
    </fill>
    <fill>
      <patternFill patternType="solid">
        <fgColor indexed="58"/>
      </patternFill>
    </fill>
    <fill>
      <patternFill patternType="solid">
        <fgColor indexed="30"/>
      </patternFill>
    </fill>
    <fill>
      <patternFill patternType="solid">
        <fgColor indexed="36"/>
      </patternFill>
    </fill>
    <fill>
      <patternFill patternType="solid">
        <fgColor indexed="62"/>
      </patternFill>
    </fill>
    <fill>
      <patternFill patternType="solid">
        <fgColor indexed="55"/>
      </patternFill>
    </fill>
    <fill>
      <patternFill patternType="solid">
        <fgColor indexed="54"/>
        <bgColor indexed="64"/>
      </patternFill>
    </fill>
    <fill>
      <patternFill patternType="solid">
        <fgColor indexed="10"/>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58"/>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8" tint="0.59999389629810485"/>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double">
        <color indexed="64"/>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bottom style="thick">
        <color indexed="62"/>
      </bottom>
      <diagonal/>
    </border>
    <border>
      <left/>
      <right/>
      <top/>
      <bottom style="medium">
        <color indexed="30"/>
      </bottom>
      <diagonal/>
    </border>
    <border>
      <left/>
      <right/>
      <top/>
      <bottom style="double">
        <color indexed="52"/>
      </bottom>
      <diagonal/>
    </border>
    <border>
      <left/>
      <right/>
      <top style="thin">
        <color indexed="48"/>
      </top>
      <bottom style="thin">
        <color indexed="48"/>
      </bottom>
      <diagonal/>
    </border>
    <border>
      <left/>
      <right/>
      <top style="hair">
        <color indexed="22"/>
      </top>
      <bottom/>
      <diagonal/>
    </border>
    <border>
      <left/>
      <right/>
      <top style="thin">
        <color indexed="62"/>
      </top>
      <bottom style="double">
        <color indexed="62"/>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s>
  <cellStyleXfs count="1366">
    <xf numFmtId="0" fontId="0" fillId="0" borderId="0"/>
    <xf numFmtId="0" fontId="5" fillId="0" borderId="0"/>
    <xf numFmtId="0" fontId="6" fillId="0" borderId="0"/>
    <xf numFmtId="0" fontId="5" fillId="0" borderId="0"/>
    <xf numFmtId="169" fontId="5" fillId="0" borderId="0" applyFont="0" applyFill="0" applyBorder="0" applyAlignment="0" applyProtection="0"/>
    <xf numFmtId="0" fontId="6" fillId="0" borderId="0"/>
    <xf numFmtId="0" fontId="6" fillId="0" borderId="0"/>
    <xf numFmtId="0" fontId="6" fillId="0" borderId="0"/>
    <xf numFmtId="0" fontId="6" fillId="0" borderId="0"/>
    <xf numFmtId="0" fontId="26"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7"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7"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7" fillId="11"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7" fillId="4" borderId="0" applyNumberFormat="0" applyBorder="0" applyAlignment="0" applyProtection="0"/>
    <xf numFmtId="0" fontId="26" fillId="12" borderId="0" applyNumberFormat="0" applyBorder="0" applyAlignment="0" applyProtection="0"/>
    <xf numFmtId="0" fontId="26" fillId="7" borderId="0" applyNumberFormat="0" applyBorder="0" applyAlignment="0" applyProtection="0"/>
    <xf numFmtId="0" fontId="27"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9" fillId="0" borderId="0"/>
    <xf numFmtId="0" fontId="30" fillId="0" borderId="0"/>
    <xf numFmtId="9" fontId="31" fillId="0" borderId="0" applyFont="0" applyFill="0" applyBorder="0" applyAlignment="0" applyProtection="0"/>
    <xf numFmtId="4" fontId="32" fillId="17" borderId="8" applyNumberFormat="0" applyProtection="0">
      <alignment vertical="center"/>
    </xf>
    <xf numFmtId="4" fontId="33" fillId="17" borderId="8" applyNumberFormat="0" applyProtection="0">
      <alignment vertical="center"/>
    </xf>
    <xf numFmtId="4" fontId="32" fillId="17" borderId="8" applyNumberFormat="0" applyProtection="0">
      <alignment horizontal="left" vertical="center" indent="1"/>
    </xf>
    <xf numFmtId="0" fontId="32" fillId="17" borderId="8" applyNumberFormat="0" applyProtection="0">
      <alignment horizontal="left" vertical="top" indent="1"/>
    </xf>
    <xf numFmtId="4" fontId="32" fillId="18" borderId="0" applyNumberFormat="0" applyProtection="0">
      <alignment horizontal="left" vertical="center" indent="1"/>
    </xf>
    <xf numFmtId="4" fontId="34" fillId="19" borderId="8" applyNumberFormat="0" applyProtection="0">
      <alignment horizontal="right" vertical="center"/>
    </xf>
    <xf numFmtId="4" fontId="34" fillId="20" borderId="8" applyNumberFormat="0" applyProtection="0">
      <alignment horizontal="right" vertical="center"/>
    </xf>
    <xf numFmtId="4" fontId="34" fillId="21" borderId="8" applyNumberFormat="0" applyProtection="0">
      <alignment horizontal="right" vertical="center"/>
    </xf>
    <xf numFmtId="4" fontId="34" fillId="22" borderId="8" applyNumberFormat="0" applyProtection="0">
      <alignment horizontal="right" vertical="center"/>
    </xf>
    <xf numFmtId="4" fontId="34" fillId="23" borderId="8" applyNumberFormat="0" applyProtection="0">
      <alignment horizontal="right" vertical="center"/>
    </xf>
    <xf numFmtId="4" fontId="34" fillId="24" borderId="8" applyNumberFormat="0" applyProtection="0">
      <alignment horizontal="right" vertical="center"/>
    </xf>
    <xf numFmtId="4" fontId="34" fillId="25" borderId="8" applyNumberFormat="0" applyProtection="0">
      <alignment horizontal="right" vertical="center"/>
    </xf>
    <xf numFmtId="4" fontId="34" fillId="26" borderId="8" applyNumberFormat="0" applyProtection="0">
      <alignment horizontal="right" vertical="center"/>
    </xf>
    <xf numFmtId="4" fontId="34" fillId="27" borderId="8" applyNumberFormat="0" applyProtection="0">
      <alignment horizontal="right" vertical="center"/>
    </xf>
    <xf numFmtId="4" fontId="32" fillId="28" borderId="9" applyNumberFormat="0" applyProtection="0">
      <alignment horizontal="left" vertical="center" indent="1"/>
    </xf>
    <xf numFmtId="4" fontId="34" fillId="29" borderId="0" applyNumberFormat="0" applyProtection="0">
      <alignment horizontal="left" vertical="center" indent="1"/>
    </xf>
    <xf numFmtId="4" fontId="35" fillId="30" borderId="0" applyNumberFormat="0" applyProtection="0">
      <alignment horizontal="left" vertical="center" indent="1"/>
    </xf>
    <xf numFmtId="4" fontId="34" fillId="18" borderId="8" applyNumberFormat="0" applyProtection="0">
      <alignment horizontal="right" vertical="center"/>
    </xf>
    <xf numFmtId="4" fontId="34" fillId="29" borderId="0" applyNumberFormat="0" applyProtection="0">
      <alignment horizontal="left" vertical="center" indent="1"/>
    </xf>
    <xf numFmtId="4" fontId="34" fillId="18" borderId="0" applyNumberFormat="0" applyProtection="0">
      <alignment horizontal="left" vertical="center" indent="1"/>
    </xf>
    <xf numFmtId="0" fontId="5" fillId="30" borderId="8" applyNumberFormat="0" applyProtection="0">
      <alignment horizontal="left" vertical="center" indent="1"/>
    </xf>
    <xf numFmtId="0" fontId="5" fillId="30" borderId="8" applyNumberFormat="0" applyProtection="0">
      <alignment horizontal="left" vertical="top" indent="1"/>
    </xf>
    <xf numFmtId="0" fontId="5" fillId="18" borderId="8" applyNumberFormat="0" applyProtection="0">
      <alignment horizontal="left" vertical="center" indent="1"/>
    </xf>
    <xf numFmtId="0" fontId="5" fillId="18" borderId="8" applyNumberFormat="0" applyProtection="0">
      <alignment horizontal="left" vertical="top" indent="1"/>
    </xf>
    <xf numFmtId="0" fontId="5" fillId="31" borderId="8" applyNumberFormat="0" applyProtection="0">
      <alignment horizontal="left" vertical="center" indent="1"/>
    </xf>
    <xf numFmtId="0" fontId="5" fillId="31" borderId="8" applyNumberFormat="0" applyProtection="0">
      <alignment horizontal="left" vertical="top" indent="1"/>
    </xf>
    <xf numFmtId="0" fontId="5" fillId="29" borderId="8" applyNumberFormat="0" applyProtection="0">
      <alignment horizontal="left" vertical="center" indent="1"/>
    </xf>
    <xf numFmtId="0" fontId="5" fillId="29" borderId="8" applyNumberFormat="0" applyProtection="0">
      <alignment horizontal="left" vertical="top" indent="1"/>
    </xf>
    <xf numFmtId="0" fontId="5" fillId="32" borderId="1" applyNumberFormat="0">
      <protection locked="0"/>
    </xf>
    <xf numFmtId="4" fontId="34" fillId="33" borderId="8" applyNumberFormat="0" applyProtection="0">
      <alignment vertical="center"/>
    </xf>
    <xf numFmtId="4" fontId="36" fillId="33" borderId="8" applyNumberFormat="0" applyProtection="0">
      <alignment vertical="center"/>
    </xf>
    <xf numFmtId="4" fontId="34" fillId="33" borderId="8" applyNumberFormat="0" applyProtection="0">
      <alignment horizontal="left" vertical="center" indent="1"/>
    </xf>
    <xf numFmtId="0" fontId="34" fillId="33" borderId="8" applyNumberFormat="0" applyProtection="0">
      <alignment horizontal="left" vertical="top" indent="1"/>
    </xf>
    <xf numFmtId="4" fontId="34" fillId="29" borderId="8" applyNumberFormat="0" applyProtection="0">
      <alignment horizontal="right" vertical="center"/>
    </xf>
    <xf numFmtId="4" fontId="36" fillId="29" borderId="8" applyNumberFormat="0" applyProtection="0">
      <alignment horizontal="right" vertical="center"/>
    </xf>
    <xf numFmtId="4" fontId="34" fillId="18" borderId="8" applyNumberFormat="0" applyProtection="0">
      <alignment horizontal="left" vertical="center" indent="1"/>
    </xf>
    <xf numFmtId="0" fontId="34" fillId="18" borderId="8" applyNumberFormat="0" applyProtection="0">
      <alignment horizontal="left" vertical="top" indent="1"/>
    </xf>
    <xf numFmtId="4" fontId="37" fillId="34" borderId="0" applyNumberFormat="0" applyProtection="0">
      <alignment horizontal="left" vertical="center" indent="1"/>
    </xf>
    <xf numFmtId="4" fontId="38" fillId="29" borderId="8" applyNumberFormat="0" applyProtection="0">
      <alignment horizontal="right" vertical="center"/>
    </xf>
    <xf numFmtId="0" fontId="39" fillId="0" borderId="0" applyNumberFormat="0" applyFill="0" applyBorder="0" applyAlignment="0" applyProtection="0"/>
    <xf numFmtId="0" fontId="5" fillId="0" borderId="0"/>
    <xf numFmtId="0" fontId="5" fillId="0" borderId="0"/>
    <xf numFmtId="9" fontId="49" fillId="0" borderId="0" applyFont="0" applyFill="0" applyBorder="0" applyAlignment="0" applyProtection="0"/>
    <xf numFmtId="9" fontId="56" fillId="0" borderId="0" applyFont="0" applyFill="0" applyBorder="0" applyAlignment="0" applyProtection="0"/>
    <xf numFmtId="0" fontId="64" fillId="0" borderId="0"/>
    <xf numFmtId="0" fontId="67" fillId="0" borderId="0"/>
    <xf numFmtId="0" fontId="67" fillId="0" borderId="0"/>
    <xf numFmtId="167" fontId="6" fillId="0" borderId="0" applyFont="0" applyFill="0" applyBorder="0" applyAlignment="0" applyProtection="0"/>
    <xf numFmtId="0" fontId="5" fillId="0" borderId="0"/>
    <xf numFmtId="0" fontId="34" fillId="18" borderId="0" applyNumberFormat="0" applyBorder="0" applyAlignment="0" applyProtection="0"/>
    <xf numFmtId="0" fontId="34" fillId="20"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19" borderId="0" applyNumberFormat="0" applyBorder="0" applyAlignment="0" applyProtection="0"/>
    <xf numFmtId="0" fontId="34" fillId="30" borderId="0" applyNumberFormat="0" applyBorder="0" applyAlignment="0" applyProtection="0"/>
    <xf numFmtId="0" fontId="34" fillId="20" borderId="0" applyNumberFormat="0" applyBorder="0" applyAlignment="0" applyProtection="0"/>
    <xf numFmtId="0" fontId="34" fillId="25" borderId="0" applyNumberFormat="0" applyBorder="0" applyAlignment="0" applyProtection="0"/>
    <xf numFmtId="0" fontId="34" fillId="77" borderId="0" applyNumberFormat="0" applyBorder="0" applyAlignment="0" applyProtection="0"/>
    <xf numFmtId="0" fontId="34" fillId="30" borderId="0" applyNumberFormat="0" applyBorder="0" applyAlignment="0" applyProtection="0"/>
    <xf numFmtId="0" fontId="34" fillId="78" borderId="0" applyNumberFormat="0" applyBorder="0" applyAlignment="0" applyProtection="0"/>
    <xf numFmtId="0" fontId="104" fillId="30" borderId="0" applyNumberFormat="0" applyBorder="0" applyAlignment="0" applyProtection="0"/>
    <xf numFmtId="0" fontId="104" fillId="20" borderId="0" applyNumberFormat="0" applyBorder="0" applyAlignment="0" applyProtection="0"/>
    <xf numFmtId="0" fontId="104" fillId="25" borderId="0" applyNumberFormat="0" applyBorder="0" applyAlignment="0" applyProtection="0"/>
    <xf numFmtId="0" fontId="104" fillId="77" borderId="0" applyNumberFormat="0" applyBorder="0" applyAlignment="0" applyProtection="0"/>
    <xf numFmtId="0" fontId="104" fillId="30" borderId="0" applyNumberFormat="0" applyBorder="0" applyAlignment="0" applyProtection="0"/>
    <xf numFmtId="0" fontId="104" fillId="78" borderId="0" applyNumberFormat="0" applyBorder="0" applyAlignment="0" applyProtection="0"/>
    <xf numFmtId="0" fontId="27" fillId="79" borderId="0" applyNumberFormat="0" applyBorder="0" applyAlignment="0" applyProtection="0"/>
    <xf numFmtId="0" fontId="27" fillId="80" borderId="0" applyNumberFormat="0" applyBorder="0" applyAlignment="0" applyProtection="0"/>
    <xf numFmtId="0" fontId="27" fillId="8" borderId="0" applyNumberFormat="0" applyBorder="0" applyAlignment="0" applyProtection="0"/>
    <xf numFmtId="0" fontId="27" fillId="81" borderId="0" applyNumberFormat="0" applyBorder="0" applyAlignment="0" applyProtection="0"/>
    <xf numFmtId="0" fontId="27" fillId="82" borderId="0" applyNumberFormat="0" applyBorder="0" applyAlignment="0" applyProtection="0"/>
    <xf numFmtId="0" fontId="27" fillId="83" borderId="0" applyNumberFormat="0" applyBorder="0" applyAlignment="0" applyProtection="0"/>
    <xf numFmtId="0" fontId="105" fillId="7" borderId="0" applyNumberFormat="0" applyBorder="0" applyAlignment="0" applyProtection="0"/>
    <xf numFmtId="0" fontId="106" fillId="84" borderId="30" applyNumberFormat="0" applyAlignment="0" applyProtection="0"/>
    <xf numFmtId="0" fontId="107" fillId="8" borderId="31" applyNumberFormat="0" applyAlignment="0" applyProtection="0"/>
    <xf numFmtId="0" fontId="108" fillId="0" borderId="0" applyNumberFormat="0" applyFill="0" applyBorder="0" applyAlignment="0" applyProtection="0"/>
    <xf numFmtId="0" fontId="109" fillId="85" borderId="0" applyNumberFormat="0" applyBorder="0" applyAlignment="0" applyProtection="0"/>
    <xf numFmtId="0" fontId="110" fillId="0" borderId="32" applyNumberFormat="0" applyFill="0" applyAlignment="0" applyProtection="0"/>
    <xf numFmtId="0" fontId="111" fillId="0" borderId="33" applyNumberFormat="0" applyFill="0" applyAlignment="0" applyProtection="0"/>
    <xf numFmtId="0" fontId="112" fillId="0" borderId="34" applyNumberFormat="0" applyFill="0" applyAlignment="0" applyProtection="0"/>
    <xf numFmtId="0" fontId="112" fillId="0" borderId="0" applyNumberFormat="0" applyFill="0" applyBorder="0" applyAlignment="0" applyProtection="0"/>
    <xf numFmtId="0" fontId="113" fillId="13" borderId="30" applyNumberFormat="0" applyAlignment="0" applyProtection="0"/>
    <xf numFmtId="0" fontId="114" fillId="0" borderId="35" applyNumberFormat="0" applyFill="0" applyAlignment="0" applyProtection="0"/>
    <xf numFmtId="0" fontId="115" fillId="13" borderId="0" applyNumberFormat="0" applyBorder="0" applyAlignment="0" applyProtection="0"/>
    <xf numFmtId="0" fontId="5" fillId="12" borderId="36" applyNumberFormat="0" applyFont="0" applyAlignment="0" applyProtection="0"/>
    <xf numFmtId="0" fontId="116" fillId="84" borderId="37" applyNumberFormat="0" applyAlignment="0" applyProtection="0"/>
    <xf numFmtId="0" fontId="27" fillId="83" borderId="0" applyNumberFormat="0" applyBorder="0" applyAlignment="0" applyProtection="0"/>
    <xf numFmtId="0" fontId="27" fillId="82" borderId="0" applyNumberFormat="0" applyBorder="0" applyAlignment="0" applyProtection="0"/>
    <xf numFmtId="0" fontId="27" fillId="81" borderId="0" applyNumberFormat="0" applyBorder="0" applyAlignment="0" applyProtection="0"/>
    <xf numFmtId="0" fontId="27" fillId="8" borderId="0" applyNumberFormat="0" applyBorder="0" applyAlignment="0" applyProtection="0"/>
    <xf numFmtId="0" fontId="27" fillId="80" borderId="0" applyNumberFormat="0" applyBorder="0" applyAlignment="0" applyProtection="0"/>
    <xf numFmtId="0" fontId="27" fillId="79" borderId="0" applyNumberFormat="0" applyBorder="0" applyAlignment="0" applyProtection="0"/>
    <xf numFmtId="0" fontId="39" fillId="0" borderId="0" applyNumberFormat="0" applyFill="0" applyBorder="0" applyAlignment="0" applyProtection="0"/>
    <xf numFmtId="0" fontId="28" fillId="0" borderId="38" applyNumberFormat="0" applyFill="0" applyAlignment="0" applyProtection="0"/>
    <xf numFmtId="0" fontId="117" fillId="0" borderId="0" applyNumberFormat="0" applyFill="0" applyBorder="0" applyAlignment="0" applyProtection="0"/>
    <xf numFmtId="0" fontId="3" fillId="0" borderId="0"/>
    <xf numFmtId="4" fontId="34" fillId="29" borderId="0" applyNumberFormat="0" applyProtection="0">
      <alignment horizontal="left" vertical="center" indent="1"/>
    </xf>
    <xf numFmtId="4" fontId="34" fillId="18" borderId="0" applyNumberFormat="0" applyProtection="0">
      <alignment horizontal="left" vertical="center" inden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89" fillId="0" borderId="0" applyNumberFormat="0" applyFill="0" applyBorder="0" applyAlignment="0" applyProtection="0"/>
    <xf numFmtId="0" fontId="90" fillId="0" borderId="21" applyNumberFormat="0" applyFill="0" applyAlignment="0" applyProtection="0"/>
    <xf numFmtId="0" fontId="91" fillId="0" borderId="22" applyNumberFormat="0" applyFill="0" applyAlignment="0" applyProtection="0"/>
    <xf numFmtId="0" fontId="92" fillId="0" borderId="23" applyNumberFormat="0" applyFill="0" applyAlignment="0" applyProtection="0"/>
    <xf numFmtId="0" fontId="92" fillId="0" borderId="0" applyNumberFormat="0" applyFill="0" applyBorder="0" applyAlignment="0" applyProtection="0"/>
    <xf numFmtId="0" fontId="93" fillId="46" borderId="0" applyNumberFormat="0" applyBorder="0" applyAlignment="0" applyProtection="0"/>
    <xf numFmtId="0" fontId="94" fillId="47" borderId="0" applyNumberFormat="0" applyBorder="0" applyAlignment="0" applyProtection="0"/>
    <xf numFmtId="0" fontId="95" fillId="48" borderId="0" applyNumberFormat="0" applyBorder="0" applyAlignment="0" applyProtection="0"/>
    <xf numFmtId="0" fontId="96" fillId="49" borderId="24" applyNumberFormat="0" applyAlignment="0" applyProtection="0"/>
    <xf numFmtId="0" fontId="97" fillId="50" borderId="25" applyNumberFormat="0" applyAlignment="0" applyProtection="0"/>
    <xf numFmtId="0" fontId="98" fillId="50" borderId="24" applyNumberFormat="0" applyAlignment="0" applyProtection="0"/>
    <xf numFmtId="0" fontId="99" fillId="0" borderId="26" applyNumberFormat="0" applyFill="0" applyAlignment="0" applyProtection="0"/>
    <xf numFmtId="0" fontId="100" fillId="51" borderId="27" applyNumberFormat="0" applyAlignment="0" applyProtection="0"/>
    <xf numFmtId="0" fontId="101" fillId="0" borderId="0" applyNumberFormat="0" applyFill="0" applyBorder="0" applyAlignment="0" applyProtection="0"/>
    <xf numFmtId="0" fontId="3" fillId="52" borderId="28" applyNumberFormat="0" applyFont="0" applyAlignment="0" applyProtection="0"/>
    <xf numFmtId="0" fontId="102" fillId="0" borderId="0" applyNumberFormat="0" applyFill="0" applyBorder="0" applyAlignment="0" applyProtection="0"/>
    <xf numFmtId="0" fontId="9" fillId="0" borderId="29" applyNumberFormat="0" applyFill="0" applyAlignment="0" applyProtection="0"/>
    <xf numFmtId="0" fontId="103" fillId="53"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103" fillId="56" borderId="0" applyNumberFormat="0" applyBorder="0" applyAlignment="0" applyProtection="0"/>
    <xf numFmtId="0" fontId="10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103" fillId="60" borderId="0" applyNumberFormat="0" applyBorder="0" applyAlignment="0" applyProtection="0"/>
    <xf numFmtId="0" fontId="10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103" fillId="64" borderId="0" applyNumberFormat="0" applyBorder="0" applyAlignment="0" applyProtection="0"/>
    <xf numFmtId="0" fontId="10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103" fillId="68" borderId="0" applyNumberFormat="0" applyBorder="0" applyAlignment="0" applyProtection="0"/>
    <xf numFmtId="0" fontId="10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103" fillId="72" borderId="0" applyNumberFormat="0" applyBorder="0" applyAlignment="0" applyProtection="0"/>
    <xf numFmtId="0" fontId="10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103" fillId="76" borderId="0" applyNumberFormat="0" applyBorder="0" applyAlignment="0" applyProtection="0"/>
    <xf numFmtId="4" fontId="118" fillId="89" borderId="39" applyNumberFormat="0" applyProtection="0">
      <alignment horizontal="left" vertical="center" indent="1"/>
    </xf>
    <xf numFmtId="4" fontId="118" fillId="89" borderId="39" applyNumberFormat="0" applyProtection="0">
      <alignment horizontal="left" vertical="center" indent="1"/>
    </xf>
    <xf numFmtId="0" fontId="118" fillId="30" borderId="8" applyNumberFormat="0" applyProtection="0">
      <alignment horizontal="left" vertical="top" indent="1"/>
    </xf>
    <xf numFmtId="0" fontId="118" fillId="18" borderId="8" applyNumberFormat="0" applyProtection="0">
      <alignment horizontal="left" vertical="top" indent="1"/>
    </xf>
    <xf numFmtId="0" fontId="118" fillId="31" borderId="8" applyNumberFormat="0" applyProtection="0">
      <alignment horizontal="left" vertical="top" indent="1"/>
    </xf>
    <xf numFmtId="0" fontId="118" fillId="29" borderId="8" applyNumberFormat="0" applyProtection="0">
      <alignment horizontal="left" vertical="top" indent="1"/>
    </xf>
    <xf numFmtId="4" fontId="118" fillId="0" borderId="39" applyNumberFormat="0" applyProtection="0">
      <alignment horizontal="right" vertical="center"/>
    </xf>
    <xf numFmtId="0" fontId="5" fillId="0" borderId="0"/>
    <xf numFmtId="0" fontId="5" fillId="0" borderId="0"/>
    <xf numFmtId="0" fontId="118" fillId="90" borderId="0"/>
    <xf numFmtId="0" fontId="27" fillId="79" borderId="0" applyNumberFormat="0" applyBorder="0" applyAlignment="0" applyProtection="0"/>
    <xf numFmtId="0" fontId="26" fillId="91" borderId="0" applyNumberFormat="0" applyBorder="0" applyAlignment="0" applyProtection="0"/>
    <xf numFmtId="0" fontId="26" fillId="11" borderId="0" applyNumberFormat="0" applyBorder="0" applyAlignment="0" applyProtection="0"/>
    <xf numFmtId="0" fontId="27" fillId="92" borderId="0" applyNumberFormat="0" applyBorder="0" applyAlignment="0" applyProtection="0"/>
    <xf numFmtId="0" fontId="27" fillId="80" borderId="0" applyNumberFormat="0" applyBorder="0" applyAlignment="0" applyProtection="0"/>
    <xf numFmtId="0" fontId="26" fillId="93" borderId="0" applyNumberFormat="0" applyBorder="0" applyAlignment="0" applyProtection="0"/>
    <xf numFmtId="0" fontId="26" fillId="10" borderId="0" applyNumberFormat="0" applyBorder="0" applyAlignment="0" applyProtection="0"/>
    <xf numFmtId="0" fontId="27" fillId="7" borderId="0" applyNumberFormat="0" applyBorder="0" applyAlignment="0" applyProtection="0"/>
    <xf numFmtId="0" fontId="27" fillId="94" borderId="0" applyNumberFormat="0" applyBorder="0" applyAlignment="0" applyProtection="0"/>
    <xf numFmtId="0" fontId="26" fillId="95" borderId="0" applyNumberFormat="0" applyBorder="0" applyAlignment="0" applyProtection="0"/>
    <xf numFmtId="0" fontId="26" fillId="96" borderId="0" applyNumberFormat="0" applyBorder="0" applyAlignment="0" applyProtection="0"/>
    <xf numFmtId="0" fontId="27" fillId="97" borderId="0" applyNumberFormat="0" applyBorder="0" applyAlignment="0" applyProtection="0"/>
    <xf numFmtId="0" fontId="27" fillId="98" borderId="0" applyNumberFormat="0" applyBorder="0" applyAlignment="0" applyProtection="0"/>
    <xf numFmtId="0" fontId="26" fillId="93" borderId="0" applyNumberFormat="0" applyBorder="0" applyAlignment="0" applyProtection="0"/>
    <xf numFmtId="0" fontId="26" fillId="8" borderId="0" applyNumberFormat="0" applyBorder="0" applyAlignment="0" applyProtection="0"/>
    <xf numFmtId="0" fontId="27" fillId="10" borderId="0" applyNumberFormat="0" applyBorder="0" applyAlignment="0" applyProtection="0"/>
    <xf numFmtId="0" fontId="27" fillId="92" borderId="0" applyNumberFormat="0" applyBorder="0" applyAlignment="0" applyProtection="0"/>
    <xf numFmtId="0" fontId="26" fillId="9" borderId="0" applyNumberFormat="0" applyBorder="0" applyAlignment="0" applyProtection="0"/>
    <xf numFmtId="0" fontId="27" fillId="92" borderId="0" applyNumberFormat="0" applyBorder="0" applyAlignment="0" applyProtection="0"/>
    <xf numFmtId="0" fontId="27" fillId="99" borderId="0" applyNumberFormat="0" applyBorder="0" applyAlignment="0" applyProtection="0"/>
    <xf numFmtId="0" fontId="26" fillId="13" borderId="0" applyNumberFormat="0" applyBorder="0" applyAlignment="0" applyProtection="0"/>
    <xf numFmtId="0" fontId="27" fillId="100" borderId="0" applyNumberFormat="0" applyBorder="0" applyAlignment="0" applyProtection="0"/>
    <xf numFmtId="0" fontId="126" fillId="12" borderId="0" applyNumberFormat="0" applyBorder="0" applyAlignment="0" applyProtection="0"/>
    <xf numFmtId="0" fontId="127" fillId="101" borderId="39" applyNumberFormat="0" applyAlignment="0" applyProtection="0"/>
    <xf numFmtId="0" fontId="107" fillId="98" borderId="31" applyNumberFormat="0" applyAlignment="0" applyProtection="0"/>
    <xf numFmtId="0" fontId="28" fillId="102" borderId="0" applyNumberFormat="0" applyBorder="0" applyAlignment="0" applyProtection="0"/>
    <xf numFmtId="0" fontId="28" fillId="103" borderId="0" applyNumberFormat="0" applyBorder="0" applyAlignment="0" applyProtection="0"/>
    <xf numFmtId="0" fontId="26" fillId="96" borderId="0" applyNumberFormat="0" applyBorder="0" applyAlignment="0" applyProtection="0"/>
    <xf numFmtId="0" fontId="110" fillId="0" borderId="32" applyNumberFormat="0" applyFill="0" applyAlignment="0" applyProtection="0"/>
    <xf numFmtId="0" fontId="111" fillId="0" borderId="40" applyNumberFormat="0" applyFill="0" applyAlignment="0" applyProtection="0"/>
    <xf numFmtId="0" fontId="112" fillId="0" borderId="41" applyNumberFormat="0" applyFill="0" applyAlignment="0" applyProtection="0"/>
    <xf numFmtId="0" fontId="112" fillId="0" borderId="0" applyNumberFormat="0" applyFill="0" applyBorder="0" applyAlignment="0" applyProtection="0"/>
    <xf numFmtId="0" fontId="113" fillId="13" borderId="39" applyNumberFormat="0" applyAlignment="0" applyProtection="0"/>
    <xf numFmtId="0" fontId="109" fillId="0" borderId="42" applyNumberFormat="0" applyFill="0" applyAlignment="0" applyProtection="0"/>
    <xf numFmtId="0" fontId="109" fillId="13" borderId="0" applyNumberFormat="0" applyBorder="0" applyAlignment="0" applyProtection="0"/>
    <xf numFmtId="0" fontId="118" fillId="12" borderId="39" applyNumberFormat="0" applyFont="0" applyAlignment="0" applyProtection="0"/>
    <xf numFmtId="0" fontId="116" fillId="101" borderId="37" applyNumberFormat="0" applyAlignment="0" applyProtection="0"/>
    <xf numFmtId="4" fontId="118" fillId="17" borderId="39" applyNumberFormat="0" applyProtection="0">
      <alignment vertical="center"/>
    </xf>
    <xf numFmtId="4" fontId="129" fillId="104" borderId="39" applyNumberFormat="0" applyProtection="0">
      <alignment vertical="center"/>
    </xf>
    <xf numFmtId="4" fontId="118" fillId="104" borderId="39" applyNumberFormat="0" applyProtection="0">
      <alignment horizontal="left" vertical="center" indent="1"/>
    </xf>
    <xf numFmtId="0" fontId="123" fillId="17" borderId="8" applyNumberFormat="0" applyProtection="0">
      <alignment horizontal="left" vertical="top" indent="1"/>
    </xf>
    <xf numFmtId="4" fontId="118" fillId="19" borderId="39" applyNumberFormat="0" applyProtection="0">
      <alignment horizontal="right" vertical="center"/>
    </xf>
    <xf numFmtId="4" fontId="118" fillId="105" borderId="39" applyNumberFormat="0" applyProtection="0">
      <alignment horizontal="right" vertical="center"/>
    </xf>
    <xf numFmtId="4" fontId="118" fillId="21" borderId="43" applyNumberFormat="0" applyProtection="0">
      <alignment horizontal="right" vertical="center"/>
    </xf>
    <xf numFmtId="4" fontId="118" fillId="22" borderId="39" applyNumberFormat="0" applyProtection="0">
      <alignment horizontal="right" vertical="center"/>
    </xf>
    <xf numFmtId="4" fontId="118" fillId="23" borderId="39" applyNumberFormat="0" applyProtection="0">
      <alignment horizontal="right" vertical="center"/>
    </xf>
    <xf numFmtId="4" fontId="118" fillId="24" borderId="39" applyNumberFormat="0" applyProtection="0">
      <alignment horizontal="right" vertical="center"/>
    </xf>
    <xf numFmtId="4" fontId="118" fillId="25" borderId="39" applyNumberFormat="0" applyProtection="0">
      <alignment horizontal="right" vertical="center"/>
    </xf>
    <xf numFmtId="4" fontId="118" fillId="26" borderId="39" applyNumberFormat="0" applyProtection="0">
      <alignment horizontal="right" vertical="center"/>
    </xf>
    <xf numFmtId="4" fontId="118" fillId="27" borderId="39" applyNumberFormat="0" applyProtection="0">
      <alignment horizontal="right" vertical="center"/>
    </xf>
    <xf numFmtId="4" fontId="118" fillId="28" borderId="43" applyNumberFormat="0" applyProtection="0">
      <alignment horizontal="left" vertical="center" indent="1"/>
    </xf>
    <xf numFmtId="4" fontId="5" fillId="30" borderId="43" applyNumberFormat="0" applyProtection="0">
      <alignment horizontal="left" vertical="center" indent="1"/>
    </xf>
    <xf numFmtId="4" fontId="5" fillId="30" borderId="43" applyNumberFormat="0" applyProtection="0">
      <alignment horizontal="left" vertical="center" indent="1"/>
    </xf>
    <xf numFmtId="4" fontId="118" fillId="18" borderId="39" applyNumberFormat="0" applyProtection="0">
      <alignment horizontal="right" vertical="center"/>
    </xf>
    <xf numFmtId="4" fontId="118" fillId="29" borderId="43" applyNumberFormat="0" applyProtection="0">
      <alignment horizontal="left" vertical="center" indent="1"/>
    </xf>
    <xf numFmtId="4" fontId="118" fillId="18" borderId="43" applyNumberFormat="0" applyProtection="0">
      <alignment horizontal="left" vertical="center" indent="1"/>
    </xf>
    <xf numFmtId="0" fontId="118" fillId="77" borderId="39" applyNumberFormat="0" applyProtection="0">
      <alignment horizontal="left" vertical="center" indent="1"/>
    </xf>
    <xf numFmtId="0" fontId="118" fillId="106" borderId="39" applyNumberFormat="0" applyProtection="0">
      <alignment horizontal="left" vertical="center" indent="1"/>
    </xf>
    <xf numFmtId="0" fontId="118" fillId="31" borderId="39" applyNumberFormat="0" applyProtection="0">
      <alignment horizontal="left" vertical="center" indent="1"/>
    </xf>
    <xf numFmtId="0" fontId="118" fillId="29" borderId="39" applyNumberFormat="0" applyProtection="0">
      <alignment horizontal="left" vertical="center" indent="1"/>
    </xf>
    <xf numFmtId="0" fontId="118" fillId="32" borderId="44" applyNumberFormat="0">
      <protection locked="0"/>
    </xf>
    <xf numFmtId="0" fontId="121" fillId="30" borderId="45" applyBorder="0"/>
    <xf numFmtId="4" fontId="122" fillId="33" borderId="8" applyNumberFormat="0" applyProtection="0">
      <alignment vertical="center"/>
    </xf>
    <xf numFmtId="4" fontId="129" fillId="37" borderId="1" applyNumberFormat="0" applyProtection="0">
      <alignment vertical="center"/>
    </xf>
    <xf numFmtId="4" fontId="122" fillId="77" borderId="8" applyNumberFormat="0" applyProtection="0">
      <alignment horizontal="left" vertical="center" indent="1"/>
    </xf>
    <xf numFmtId="0" fontId="122" fillId="33" borderId="8" applyNumberFormat="0" applyProtection="0">
      <alignment horizontal="left" vertical="top" indent="1"/>
    </xf>
    <xf numFmtId="4" fontId="129" fillId="36" borderId="39" applyNumberFormat="0" applyProtection="0">
      <alignment horizontal="right" vertical="center"/>
    </xf>
    <xf numFmtId="0" fontId="122" fillId="18" borderId="8" applyNumberFormat="0" applyProtection="0">
      <alignment horizontal="left" vertical="top" indent="1"/>
    </xf>
    <xf numFmtId="4" fontId="124" fillId="34" borderId="43" applyNumberFormat="0" applyProtection="0">
      <alignment horizontal="left" vertical="center" indent="1"/>
    </xf>
    <xf numFmtId="0" fontId="118" fillId="107" borderId="1"/>
    <xf numFmtId="4" fontId="125" fillId="32" borderId="39" applyNumberFormat="0" applyProtection="0">
      <alignment horizontal="right" vertical="center"/>
    </xf>
    <xf numFmtId="0" fontId="28" fillId="0" borderId="38" applyNumberFormat="0" applyFill="0" applyAlignment="0" applyProtection="0"/>
    <xf numFmtId="0" fontId="128" fillId="0" borderId="0" applyNumberFormat="0" applyFill="0" applyBorder="0" applyAlignment="0" applyProtection="0"/>
    <xf numFmtId="0" fontId="27" fillId="79" borderId="0" applyNumberFormat="0" applyBorder="0" applyAlignment="0" applyProtection="0"/>
    <xf numFmtId="0" fontId="27" fillId="80" borderId="0" applyNumberFormat="0" applyBorder="0" applyAlignment="0" applyProtection="0"/>
    <xf numFmtId="0" fontId="27" fillId="94" borderId="0" applyNumberFormat="0" applyBorder="0" applyAlignment="0" applyProtection="0"/>
    <xf numFmtId="0" fontId="27" fillId="98" borderId="0" applyNumberFormat="0" applyBorder="0" applyAlignment="0" applyProtection="0"/>
    <xf numFmtId="0" fontId="27" fillId="92"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2" borderId="0" applyNumberFormat="0" applyBorder="0" applyAlignment="0" applyProtection="0"/>
    <xf numFmtId="0" fontId="27" fillId="98" borderId="0" applyNumberFormat="0" applyBorder="0" applyAlignment="0" applyProtection="0"/>
    <xf numFmtId="0" fontId="27" fillId="94" borderId="0" applyNumberFormat="0" applyBorder="0" applyAlignment="0" applyProtection="0"/>
    <xf numFmtId="0" fontId="27" fillId="80" borderId="0" applyNumberFormat="0" applyBorder="0" applyAlignment="0" applyProtection="0"/>
    <xf numFmtId="0" fontId="27" fillId="79" borderId="0" applyNumberFormat="0" applyBorder="0" applyAlignment="0" applyProtection="0"/>
    <xf numFmtId="9" fontId="5" fillId="0" borderId="0" applyFont="0" applyFill="0" applyBorder="0" applyAlignment="0" applyProtection="0"/>
    <xf numFmtId="0" fontId="118" fillId="90" borderId="0"/>
    <xf numFmtId="0" fontId="27" fillId="79" borderId="0" applyNumberFormat="0" applyBorder="0" applyAlignment="0" applyProtection="0"/>
    <xf numFmtId="0" fontId="27" fillId="80" borderId="0" applyNumberFormat="0" applyBorder="0" applyAlignment="0" applyProtection="0"/>
    <xf numFmtId="0" fontId="27" fillId="94" borderId="0" applyNumberFormat="0" applyBorder="0" applyAlignment="0" applyProtection="0"/>
    <xf numFmtId="0" fontId="27" fillId="98" borderId="0" applyNumberFormat="0" applyBorder="0" applyAlignment="0" applyProtection="0"/>
    <xf numFmtId="0" fontId="27" fillId="92" borderId="0" applyNumberFormat="0" applyBorder="0" applyAlignment="0" applyProtection="0"/>
    <xf numFmtId="0" fontId="27" fillId="99" borderId="0" applyNumberFormat="0" applyBorder="0" applyAlignment="0" applyProtection="0"/>
    <xf numFmtId="0" fontId="5" fillId="0" borderId="0"/>
    <xf numFmtId="0" fontId="3" fillId="0" borderId="0"/>
    <xf numFmtId="0" fontId="5" fillId="0" borderId="0"/>
    <xf numFmtId="9" fontId="5" fillId="0" borderId="0" applyFont="0" applyFill="0" applyBorder="0" applyAlignment="0" applyProtection="0"/>
    <xf numFmtId="9" fontId="3" fillId="0" borderId="0" applyFont="0" applyFill="0" applyBorder="0" applyAlignment="0" applyProtection="0"/>
    <xf numFmtId="0" fontId="5" fillId="0" borderId="0"/>
    <xf numFmtId="0" fontId="120" fillId="0" borderId="0" applyNumberFormat="0" applyFill="0" applyBorder="0" applyAlignment="0" applyProtection="0"/>
    <xf numFmtId="9" fontId="5" fillId="0" borderId="0" applyFont="0" applyFill="0" applyBorder="0" applyAlignment="0" applyProtection="0"/>
    <xf numFmtId="0" fontId="118" fillId="90" borderId="0"/>
    <xf numFmtId="0" fontId="5" fillId="0" borderId="0"/>
    <xf numFmtId="9" fontId="5" fillId="0" borderId="0" applyFont="0" applyFill="0" applyBorder="0" applyAlignment="0" applyProtection="0"/>
    <xf numFmtId="0" fontId="26" fillId="112" borderId="0" applyNumberFormat="0" applyBorder="0" applyAlignment="0" applyProtection="0"/>
    <xf numFmtId="0" fontId="34" fillId="18" borderId="0" applyNumberFormat="0" applyBorder="0" applyAlignment="0" applyProtection="0"/>
    <xf numFmtId="0" fontId="26" fillId="109" borderId="0" applyNumberFormat="0" applyBorder="0" applyAlignment="0" applyProtection="0"/>
    <xf numFmtId="0" fontId="133" fillId="0" borderId="0"/>
    <xf numFmtId="0" fontId="5" fillId="0" borderId="0"/>
    <xf numFmtId="9" fontId="5" fillId="0" borderId="0" applyFont="0" applyFill="0" applyBorder="0" applyAlignment="0" applyProtection="0"/>
    <xf numFmtId="0" fontId="34" fillId="30" borderId="0" applyNumberFormat="0" applyBorder="0" applyAlignment="0" applyProtection="0"/>
    <xf numFmtId="0" fontId="26" fillId="77" borderId="0" applyNumberFormat="0" applyBorder="0" applyAlignment="0" applyProtection="0"/>
    <xf numFmtId="0" fontId="34" fillId="77" borderId="0" applyNumberFormat="0" applyBorder="0" applyAlignment="0" applyProtection="0"/>
    <xf numFmtId="0" fontId="27" fillId="117" borderId="0" applyNumberFormat="0" applyBorder="0" applyAlignment="0" applyProtection="0"/>
    <xf numFmtId="0" fontId="26" fillId="6" borderId="0" applyNumberFormat="0" applyBorder="0" applyAlignment="0" applyProtection="0"/>
    <xf numFmtId="0" fontId="27" fillId="80" borderId="0" applyNumberFormat="0" applyBorder="0" applyAlignment="0" applyProtection="0"/>
    <xf numFmtId="0" fontId="26" fillId="4" borderId="0" applyNumberFormat="0" applyBorder="0" applyAlignment="0" applyProtection="0"/>
    <xf numFmtId="0" fontId="26" fillId="3" borderId="0" applyNumberFormat="0" applyBorder="0" applyAlignment="0" applyProtection="0"/>
    <xf numFmtId="0" fontId="104" fillId="30"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104" fillId="22" borderId="0" applyNumberFormat="0" applyBorder="0" applyAlignment="0" applyProtection="0"/>
    <xf numFmtId="0" fontId="27" fillId="116" borderId="0" applyNumberFormat="0" applyBorder="0" applyAlignment="0" applyProtection="0"/>
    <xf numFmtId="0" fontId="104" fillId="114" borderId="0" applyNumberFormat="0" applyBorder="0" applyAlignment="0" applyProtection="0"/>
    <xf numFmtId="0" fontId="104" fillId="77" borderId="0" applyNumberFormat="0" applyBorder="0" applyAlignment="0" applyProtection="0"/>
    <xf numFmtId="0" fontId="104" fillId="77" borderId="0" applyNumberFormat="0" applyBorder="0" applyAlignment="0" applyProtection="0"/>
    <xf numFmtId="0" fontId="104" fillId="20" borderId="0" applyNumberFormat="0" applyBorder="0" applyAlignment="0" applyProtection="0"/>
    <xf numFmtId="0" fontId="27" fillId="27" borderId="0" applyNumberFormat="0" applyBorder="0" applyAlignment="0" applyProtection="0"/>
    <xf numFmtId="0" fontId="104" fillId="25" borderId="0" applyNumberFormat="0" applyBorder="0" applyAlignment="0" applyProtection="0"/>
    <xf numFmtId="0" fontId="104" fillId="20" borderId="0" applyNumberFormat="0" applyBorder="0" applyAlignment="0" applyProtection="0"/>
    <xf numFmtId="0" fontId="27" fillId="115"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27" fillId="115" borderId="0" applyNumberFormat="0" applyBorder="0" applyAlignment="0" applyProtection="0"/>
    <xf numFmtId="0" fontId="34" fillId="78"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34" fillId="30" borderId="0" applyNumberFormat="0" applyBorder="0" applyAlignment="0" applyProtection="0"/>
    <xf numFmtId="0" fontId="34" fillId="77" borderId="0" applyNumberFormat="0" applyBorder="0" applyAlignment="0" applyProtection="0"/>
    <xf numFmtId="0" fontId="34" fillId="77" borderId="0" applyNumberFormat="0" applyBorder="0" applyAlignment="0" applyProtection="0"/>
    <xf numFmtId="0" fontId="26" fillId="111" borderId="0" applyNumberFormat="0" applyBorder="0" applyAlignment="0" applyProtection="0"/>
    <xf numFmtId="0" fontId="26" fillId="111" borderId="0" applyNumberFormat="0" applyBorder="0" applyAlignment="0" applyProtection="0"/>
    <xf numFmtId="0" fontId="34" fillId="113"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34"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26" fillId="111" borderId="0" applyNumberFormat="0" applyBorder="0" applyAlignment="0" applyProtection="0"/>
    <xf numFmtId="0" fontId="34" fillId="110"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26" fillId="109" borderId="0" applyNumberFormat="0" applyBorder="0" applyAlignment="0" applyProtection="0"/>
    <xf numFmtId="0" fontId="34" fillId="26"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26" fillId="108" borderId="0" applyNumberFormat="0" applyBorder="0" applyAlignment="0" applyProtection="0"/>
    <xf numFmtId="0" fontId="26" fillId="108" borderId="0" applyNumberFormat="0" applyBorder="0" applyAlignment="0" applyProtection="0"/>
    <xf numFmtId="0" fontId="34" fillId="2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33" fillId="0" borderId="0"/>
    <xf numFmtId="0" fontId="133" fillId="0" borderId="0"/>
    <xf numFmtId="0" fontId="5" fillId="0" borderId="0"/>
    <xf numFmtId="0" fontId="5" fillId="0" borderId="0"/>
    <xf numFmtId="0" fontId="5" fillId="0" borderId="0"/>
    <xf numFmtId="0" fontId="148" fillId="0" borderId="0"/>
    <xf numFmtId="0" fontId="5" fillId="0" borderId="0"/>
    <xf numFmtId="0" fontId="133" fillId="0" borderId="0"/>
    <xf numFmtId="0" fontId="133" fillId="0" borderId="0"/>
    <xf numFmtId="0" fontId="133" fillId="0" borderId="0"/>
    <xf numFmtId="0" fontId="5" fillId="0" borderId="0" applyFont="0" applyFill="0" applyBorder="0" applyAlignment="0" applyProtection="0"/>
    <xf numFmtId="0" fontId="5" fillId="0" borderId="0"/>
    <xf numFmtId="0" fontId="27" fillId="117" borderId="0" applyNumberFormat="0" applyBorder="0" applyAlignment="0" applyProtection="0"/>
    <xf numFmtId="0" fontId="27" fillId="79" borderId="0" applyNumberFormat="0" applyBorder="0" applyAlignment="0" applyProtection="0"/>
    <xf numFmtId="0" fontId="104" fillId="30" borderId="0" applyNumberFormat="0" applyBorder="0" applyAlignment="0" applyProtection="0"/>
    <xf numFmtId="0" fontId="27" fillId="116" borderId="0" applyNumberFormat="0" applyBorder="0" applyAlignment="0" applyProtection="0"/>
    <xf numFmtId="0" fontId="27" fillId="20" borderId="0" applyNumberFormat="0" applyBorder="0" applyAlignment="0" applyProtection="0"/>
    <xf numFmtId="0" fontId="104" fillId="114" borderId="0" applyNumberFormat="0" applyBorder="0" applyAlignment="0" applyProtection="0"/>
    <xf numFmtId="0" fontId="26" fillId="22" borderId="0" applyNumberFormat="0" applyBorder="0" applyAlignment="0" applyProtection="0"/>
    <xf numFmtId="0" fontId="27" fillId="20" borderId="0" applyNumberFormat="0" applyBorder="0" applyAlignment="0" applyProtection="0"/>
    <xf numFmtId="0" fontId="104" fillId="113" borderId="0" applyNumberFormat="0" applyBorder="0" applyAlignment="0" applyProtection="0"/>
    <xf numFmtId="0" fontId="27" fillId="89" borderId="0" applyNumberFormat="0" applyBorder="0" applyAlignment="0" applyProtection="0"/>
    <xf numFmtId="0" fontId="104" fillId="78" borderId="0" applyNumberFormat="0" applyBorder="0" applyAlignment="0" applyProtection="0"/>
    <xf numFmtId="0" fontId="27" fillId="5" borderId="0" applyNumberFormat="0" applyBorder="0" applyAlignment="0" applyProtection="0"/>
    <xf numFmtId="0" fontId="34" fillId="25" borderId="0" applyNumberFormat="0" applyBorder="0" applyAlignment="0" applyProtection="0"/>
    <xf numFmtId="0" fontId="26" fillId="112" borderId="0" applyNumberFormat="0" applyBorder="0" applyAlignment="0" applyProtection="0"/>
    <xf numFmtId="0" fontId="34" fillId="19" borderId="0" applyNumberFormat="0" applyBorder="0" applyAlignment="0" applyProtection="0"/>
    <xf numFmtId="0" fontId="104" fillId="78" borderId="0" applyNumberFormat="0" applyBorder="0" applyAlignment="0" applyProtection="0"/>
    <xf numFmtId="0" fontId="27" fillId="89" borderId="0" applyNumberFormat="0" applyBorder="0" applyAlignment="0" applyProtection="0"/>
    <xf numFmtId="0" fontId="27" fillId="27" borderId="0" applyNumberFormat="0" applyBorder="0" applyAlignment="0" applyProtection="0"/>
    <xf numFmtId="0" fontId="104" fillId="18" borderId="0" applyNumberFormat="0" applyBorder="0" applyAlignment="0" applyProtection="0"/>
    <xf numFmtId="0" fontId="26" fillId="22" borderId="0" applyNumberFormat="0" applyBorder="0" applyAlignment="0" applyProtection="0"/>
    <xf numFmtId="0" fontId="26" fillId="77"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111" borderId="0" applyNumberFormat="0" applyBorder="0" applyAlignment="0" applyProtection="0"/>
    <xf numFmtId="0" fontId="34" fillId="32" borderId="0" applyNumberFormat="0" applyBorder="0" applyAlignment="0" applyProtection="0"/>
    <xf numFmtId="0" fontId="34" fillId="30" borderId="0" applyNumberFormat="0" applyBorder="0" applyAlignment="0" applyProtection="0"/>
    <xf numFmtId="0" fontId="34" fillId="20" borderId="0" applyNumberFormat="0" applyBorder="0" applyAlignment="0" applyProtection="0"/>
    <xf numFmtId="0" fontId="34" fillId="29" borderId="0" applyNumberFormat="0" applyBorder="0" applyAlignment="0" applyProtection="0"/>
    <xf numFmtId="0" fontId="34" fillId="19" borderId="0" applyNumberFormat="0" applyBorder="0" applyAlignment="0" applyProtection="0"/>
    <xf numFmtId="0" fontId="34" fillId="78" borderId="0" applyNumberFormat="0" applyBorder="0" applyAlignment="0" applyProtection="0"/>
    <xf numFmtId="0" fontId="34" fillId="32" borderId="0" applyNumberFormat="0" applyBorder="0" applyAlignment="0" applyProtection="0"/>
    <xf numFmtId="0" fontId="26" fillId="7" borderId="0" applyNumberFormat="0" applyBorder="0" applyAlignment="0" applyProtection="0"/>
    <xf numFmtId="0" fontId="27" fillId="8"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94"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7" fillId="11"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98"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7" fillId="1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116" borderId="0" applyNumberFormat="0" applyBorder="0" applyAlignment="0" applyProtection="0"/>
    <xf numFmtId="0" fontId="27" fillId="116"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92" borderId="0" applyNumberFormat="0" applyBorder="0" applyAlignment="0" applyProtection="0"/>
    <xf numFmtId="0" fontId="26" fillId="3" borderId="0" applyNumberFormat="0" applyBorder="0" applyAlignment="0" applyProtection="0"/>
    <xf numFmtId="0" fontId="27" fillId="4"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9" borderId="0" applyNumberFormat="0" applyBorder="0" applyAlignment="0" applyProtection="0"/>
    <xf numFmtId="0" fontId="27" fillId="89"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99" borderId="0" applyNumberFormat="0" applyBorder="0" applyAlignment="0" applyProtection="0"/>
    <xf numFmtId="0" fontId="26" fillId="7" borderId="0" applyNumberFormat="0" applyBorder="0" applyAlignment="0" applyProtection="0"/>
    <xf numFmtId="0" fontId="27" fillId="1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134" fillId="19" borderId="0" applyNumberFormat="0" applyBorder="0" applyAlignment="0" applyProtection="0"/>
    <xf numFmtId="0" fontId="134" fillId="19" borderId="0" applyNumberFormat="0" applyBorder="0" applyAlignment="0" applyProtection="0"/>
    <xf numFmtId="0" fontId="105" fillId="7" borderId="0" applyNumberFormat="0" applyBorder="0" applyAlignment="0" applyProtection="0"/>
    <xf numFmtId="0" fontId="105" fillId="7" borderId="0" applyNumberFormat="0" applyBorder="0" applyAlignment="0" applyProtection="0"/>
    <xf numFmtId="0" fontId="135" fillId="77" borderId="30" applyNumberFormat="0" applyAlignment="0" applyProtection="0"/>
    <xf numFmtId="0" fontId="135" fillId="77" borderId="30" applyNumberFormat="0" applyAlignment="0" applyProtection="0"/>
    <xf numFmtId="0" fontId="106" fillId="84" borderId="30" applyNumberFormat="0" applyAlignment="0" applyProtection="0"/>
    <xf numFmtId="0" fontId="106" fillId="84" borderId="30" applyNumberFormat="0" applyAlignment="0" applyProtection="0"/>
    <xf numFmtId="0" fontId="107" fillId="118" borderId="31" applyNumberFormat="0" applyAlignment="0" applyProtection="0"/>
    <xf numFmtId="0" fontId="107" fillId="118" borderId="31" applyNumberFormat="0" applyAlignment="0" applyProtection="0"/>
    <xf numFmtId="0" fontId="107" fillId="8" borderId="31" applyNumberFormat="0" applyAlignment="0" applyProtection="0"/>
    <xf numFmtId="0" fontId="107" fillId="8" borderId="31" applyNumberFormat="0" applyAlignment="0" applyProtection="0"/>
    <xf numFmtId="37" fontId="80" fillId="0" borderId="7">
      <alignment horizontal="center"/>
    </xf>
    <xf numFmtId="37" fontId="80" fillId="0" borderId="0">
      <alignment horizontal="center" vertical="center" wrapText="1"/>
    </xf>
    <xf numFmtId="167" fontId="5" fillId="0" borderId="0" applyFont="0" applyFill="0" applyBorder="0" applyAlignment="0" applyProtection="0"/>
    <xf numFmtId="0" fontId="5" fillId="0" borderId="0" applyNumberFormat="0" applyFont="0" applyBorder="0" applyAlignment="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6" fontId="3" fillId="0" borderId="0" applyFont="0" applyFill="0" applyBorder="0" applyAlignment="0" applyProtection="0"/>
    <xf numFmtId="196" fontId="5" fillId="0" borderId="0" applyFill="0" applyBorder="0"/>
    <xf numFmtId="196" fontId="5" fillId="0" borderId="0" applyFill="0" applyBorder="0"/>
    <xf numFmtId="196" fontId="5" fillId="0" borderId="0" applyFill="0" applyBorder="0"/>
    <xf numFmtId="165" fontId="5" fillId="0" borderId="0" applyFont="0" applyFill="0" applyBorder="0" applyAlignment="0" applyProtection="0"/>
    <xf numFmtId="167" fontId="5" fillId="0" borderId="0" applyFont="0" applyFill="0" applyBorder="0" applyAlignment="0" applyProtection="0"/>
    <xf numFmtId="195" fontId="131" fillId="0" borderId="14"/>
    <xf numFmtId="0" fontId="28" fillId="14" borderId="0" applyNumberFormat="0" applyBorder="0" applyAlignment="0" applyProtection="0"/>
    <xf numFmtId="0" fontId="28" fillId="15" borderId="0" applyNumberFormat="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0" fontId="130"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9" fillId="109" borderId="0" applyNumberFormat="0" applyBorder="0" applyAlignment="0" applyProtection="0"/>
    <xf numFmtId="0" fontId="109" fillId="109" borderId="0" applyNumberFormat="0" applyBorder="0" applyAlignment="0" applyProtection="0"/>
    <xf numFmtId="0" fontId="109" fillId="85" borderId="0" applyNumberFormat="0" applyBorder="0" applyAlignment="0" applyProtection="0"/>
    <xf numFmtId="0" fontId="109" fillId="85" borderId="0" applyNumberFormat="0" applyBorder="0" applyAlignment="0" applyProtection="0"/>
    <xf numFmtId="0" fontId="5" fillId="77" borderId="0" applyNumberFormat="0" applyFont="0" applyBorder="0" applyAlignment="0" applyProtection="0"/>
    <xf numFmtId="0" fontId="137" fillId="0" borderId="46" applyNumberFormat="0" applyFill="0" applyAlignment="0" applyProtection="0"/>
    <xf numFmtId="0" fontId="137" fillId="0" borderId="46" applyNumberFormat="0" applyFill="0" applyAlignment="0" applyProtection="0"/>
    <xf numFmtId="0" fontId="138" fillId="0" borderId="33" applyNumberFormat="0" applyFill="0" applyAlignment="0" applyProtection="0"/>
    <xf numFmtId="0" fontId="138" fillId="0" borderId="33" applyNumberFormat="0" applyFill="0" applyAlignment="0" applyProtection="0"/>
    <xf numFmtId="0" fontId="111" fillId="0" borderId="33" applyNumberFormat="0" applyFill="0" applyAlignment="0" applyProtection="0"/>
    <xf numFmtId="0" fontId="111" fillId="0" borderId="33" applyNumberFormat="0" applyFill="0" applyAlignment="0" applyProtection="0"/>
    <xf numFmtId="0" fontId="139" fillId="0" borderId="47" applyNumberFormat="0" applyFill="0" applyAlignment="0" applyProtection="0"/>
    <xf numFmtId="0" fontId="139" fillId="0" borderId="47" applyNumberFormat="0" applyFill="0" applyAlignment="0" applyProtection="0"/>
    <xf numFmtId="0" fontId="112" fillId="0" borderId="34" applyNumberFormat="0" applyFill="0" applyAlignment="0" applyProtection="0"/>
    <xf numFmtId="0" fontId="112" fillId="0" borderId="34" applyNumberFormat="0" applyFill="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1" fillId="77" borderId="30" applyNumberFormat="0" applyAlignment="0" applyProtection="0"/>
    <xf numFmtId="0" fontId="141" fillId="77" borderId="30" applyNumberFormat="0" applyAlignment="0" applyProtection="0"/>
    <xf numFmtId="0" fontId="113" fillId="13" borderId="30" applyNumberFormat="0" applyAlignment="0" applyProtection="0"/>
    <xf numFmtId="0" fontId="113" fillId="13" borderId="30" applyNumberFormat="0" applyAlignment="0" applyProtection="0"/>
    <xf numFmtId="0" fontId="142" fillId="0" borderId="48" applyNumberFormat="0" applyFill="0" applyAlignment="0" applyProtection="0"/>
    <xf numFmtId="0" fontId="142" fillId="0" borderId="48" applyNumberFormat="0" applyFill="0" applyAlignment="0" applyProtection="0"/>
    <xf numFmtId="0" fontId="114" fillId="0" borderId="35" applyNumberFormat="0" applyFill="0" applyAlignment="0" applyProtection="0"/>
    <xf numFmtId="0" fontId="114" fillId="0" borderId="35" applyNumberFormat="0" applyFill="0" applyAlignment="0" applyProtection="0"/>
    <xf numFmtId="37" fontId="119" fillId="0" borderId="0"/>
    <xf numFmtId="0" fontId="115" fillId="17" borderId="0" applyNumberFormat="0" applyBorder="0" applyAlignment="0" applyProtection="0"/>
    <xf numFmtId="0" fontId="115" fillId="17" borderId="0" applyNumberFormat="0" applyBorder="0" applyAlignment="0" applyProtection="0"/>
    <xf numFmtId="0" fontId="115" fillId="13" borderId="0" applyNumberFormat="0" applyBorder="0" applyAlignment="0" applyProtection="0"/>
    <xf numFmtId="0" fontId="115" fillId="13" borderId="0" applyNumberFormat="0" applyBorder="0" applyAlignment="0" applyProtection="0"/>
    <xf numFmtId="0" fontId="5" fillId="0" borderId="0"/>
    <xf numFmtId="0" fontId="5" fillId="0" borderId="0"/>
    <xf numFmtId="0" fontId="5" fillId="0" borderId="0"/>
    <xf numFmtId="0" fontId="3" fillId="0" borderId="0"/>
    <xf numFmtId="0" fontId="26"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132" fillId="0" borderId="0" applyFill="0" applyBorder="0">
      <protection locked="0"/>
    </xf>
    <xf numFmtId="0" fontId="5" fillId="33" borderId="36" applyNumberFormat="0" applyFont="0" applyAlignment="0" applyProtection="0"/>
    <xf numFmtId="0" fontId="5" fillId="33" borderId="36" applyNumberFormat="0" applyFont="0" applyAlignment="0" applyProtection="0"/>
    <xf numFmtId="0" fontId="118" fillId="12" borderId="39" applyNumberFormat="0" applyFont="0" applyAlignment="0" applyProtection="0"/>
    <xf numFmtId="0" fontId="5" fillId="12" borderId="36" applyNumberFormat="0" applyFont="0" applyAlignment="0" applyProtection="0"/>
    <xf numFmtId="0" fontId="5" fillId="12" borderId="36" applyNumberFormat="0" applyFont="0" applyAlignment="0" applyProtection="0"/>
    <xf numFmtId="0" fontId="116" fillId="77" borderId="37" applyNumberFormat="0" applyAlignment="0" applyProtection="0"/>
    <xf numFmtId="0" fontId="116" fillId="77" borderId="37" applyNumberFormat="0" applyAlignment="0" applyProtection="0"/>
    <xf numFmtId="0" fontId="116" fillId="84" borderId="37" applyNumberFormat="0" applyAlignment="0" applyProtection="0"/>
    <xf numFmtId="0" fontId="116" fillId="84" borderId="37"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49" fillId="0" borderId="0" applyNumberFormat="0" applyFont="0" applyFill="0" applyBorder="0" applyAlignment="0" applyProtection="0">
      <alignment horizontal="left"/>
    </xf>
    <xf numFmtId="0" fontId="149" fillId="0" borderId="0" applyNumberFormat="0" applyFont="0" applyFill="0" applyBorder="0" applyAlignment="0" applyProtection="0">
      <alignment horizontal="left"/>
    </xf>
    <xf numFmtId="0" fontId="149" fillId="0" borderId="0" applyNumberFormat="0" applyFont="0" applyFill="0" applyBorder="0" applyAlignment="0" applyProtection="0">
      <alignment horizontal="left"/>
    </xf>
    <xf numFmtId="4" fontId="32" fillId="17" borderId="8" applyNumberFormat="0" applyProtection="0">
      <alignment vertical="center"/>
    </xf>
    <xf numFmtId="4" fontId="35" fillId="104" borderId="8" applyNumberFormat="0" applyProtection="0">
      <alignment vertical="center"/>
    </xf>
    <xf numFmtId="4" fontId="35" fillId="104" borderId="8" applyNumberFormat="0" applyProtection="0">
      <alignment vertical="center"/>
    </xf>
    <xf numFmtId="4" fontId="32" fillId="17" borderId="8" applyNumberFormat="0" applyProtection="0">
      <alignment vertical="center"/>
    </xf>
    <xf numFmtId="4" fontId="32" fillId="17" borderId="8" applyNumberFormat="0" applyProtection="0">
      <alignment vertical="center"/>
    </xf>
    <xf numFmtId="4" fontId="118" fillId="17" borderId="39" applyNumberFormat="0" applyProtection="0">
      <alignment vertical="center"/>
    </xf>
    <xf numFmtId="4" fontId="33" fillId="17" borderId="8" applyNumberFormat="0" applyProtection="0">
      <alignment vertical="center"/>
    </xf>
    <xf numFmtId="4" fontId="144" fillId="104" borderId="8" applyNumberFormat="0" applyProtection="0">
      <alignment vertical="center"/>
    </xf>
    <xf numFmtId="4" fontId="144" fillId="104" borderId="8" applyNumberFormat="0" applyProtection="0">
      <alignment vertical="center"/>
    </xf>
    <xf numFmtId="4" fontId="33" fillId="17" borderId="8" applyNumberFormat="0" applyProtection="0">
      <alignment vertical="center"/>
    </xf>
    <xf numFmtId="4" fontId="32" fillId="17" borderId="8" applyNumberFormat="0" applyProtection="0">
      <alignment horizontal="left" vertical="center" indent="1"/>
    </xf>
    <xf numFmtId="4" fontId="145" fillId="104" borderId="8" applyNumberFormat="0" applyProtection="0">
      <alignment horizontal="left" vertical="center" indent="1"/>
    </xf>
    <xf numFmtId="4" fontId="145" fillId="104" borderId="8" applyNumberFormat="0" applyProtection="0">
      <alignment horizontal="left" vertical="center" indent="1"/>
    </xf>
    <xf numFmtId="4" fontId="32" fillId="17" borderId="8" applyNumberFormat="0" applyProtection="0">
      <alignment horizontal="left" vertical="center" indent="1"/>
    </xf>
    <xf numFmtId="4" fontId="32" fillId="17" borderId="8" applyNumberFormat="0" applyProtection="0">
      <alignment horizontal="left" vertical="center" indent="1"/>
    </xf>
    <xf numFmtId="4" fontId="118" fillId="104" borderId="39" applyNumberFormat="0" applyProtection="0">
      <alignment horizontal="left" vertical="center" indent="1"/>
    </xf>
    <xf numFmtId="0" fontId="32" fillId="17" borderId="8" applyNumberFormat="0" applyProtection="0">
      <alignment horizontal="left" vertical="top" indent="1"/>
    </xf>
    <xf numFmtId="4" fontId="32" fillId="18" borderId="0" applyNumberFormat="0" applyProtection="0">
      <alignment horizontal="left" vertical="center" indent="1"/>
    </xf>
    <xf numFmtId="4" fontId="145" fillId="119" borderId="0" applyNumberFormat="0" applyProtection="0">
      <alignment horizontal="left" vertical="center" indent="1"/>
    </xf>
    <xf numFmtId="4" fontId="145" fillId="119" borderId="0" applyNumberFormat="0" applyProtection="0">
      <alignment horizontal="left" vertical="center" indent="1"/>
    </xf>
    <xf numFmtId="4" fontId="32" fillId="18" borderId="0" applyNumberFormat="0" applyProtection="0">
      <alignment horizontal="left" vertical="center" indent="1"/>
    </xf>
    <xf numFmtId="4" fontId="32" fillId="18" borderId="0" applyNumberFormat="0" applyProtection="0">
      <alignment horizontal="left" vertical="center" indent="1"/>
    </xf>
    <xf numFmtId="4" fontId="118" fillId="89" borderId="39" applyNumberFormat="0" applyProtection="0">
      <alignment horizontal="left" vertical="center" indent="1"/>
    </xf>
    <xf numFmtId="4" fontId="34" fillId="19" borderId="8" applyNumberFormat="0" applyProtection="0">
      <alignment horizontal="right" vertical="center"/>
    </xf>
    <xf numFmtId="4" fontId="145" fillId="120" borderId="8" applyNumberFormat="0" applyProtection="0">
      <alignment horizontal="right" vertical="center"/>
    </xf>
    <xf numFmtId="4" fontId="145" fillId="120" borderId="8" applyNumberFormat="0" applyProtection="0">
      <alignment horizontal="right" vertical="center"/>
    </xf>
    <xf numFmtId="4" fontId="34" fillId="19" borderId="8" applyNumberFormat="0" applyProtection="0">
      <alignment horizontal="right" vertical="center"/>
    </xf>
    <xf numFmtId="4" fontId="34" fillId="19" borderId="8" applyNumberFormat="0" applyProtection="0">
      <alignment horizontal="right" vertical="center"/>
    </xf>
    <xf numFmtId="4" fontId="118" fillId="19" borderId="39" applyNumberFormat="0" applyProtection="0">
      <alignment horizontal="right" vertical="center"/>
    </xf>
    <xf numFmtId="4" fontId="34" fillId="20" borderId="8" applyNumberFormat="0" applyProtection="0">
      <alignment horizontal="right" vertical="center"/>
    </xf>
    <xf numFmtId="4" fontId="145" fillId="88" borderId="8" applyNumberFormat="0" applyProtection="0">
      <alignment horizontal="right" vertical="center"/>
    </xf>
    <xf numFmtId="4" fontId="145" fillId="88" borderId="8" applyNumberFormat="0" applyProtection="0">
      <alignment horizontal="right" vertical="center"/>
    </xf>
    <xf numFmtId="4" fontId="34" fillId="20" borderId="8" applyNumberFormat="0" applyProtection="0">
      <alignment horizontal="right" vertical="center"/>
    </xf>
    <xf numFmtId="4" fontId="34" fillId="20" borderId="8" applyNumberFormat="0" applyProtection="0">
      <alignment horizontal="right" vertical="center"/>
    </xf>
    <xf numFmtId="4" fontId="118" fillId="105" borderId="39" applyNumberFormat="0" applyProtection="0">
      <alignment horizontal="right" vertical="center"/>
    </xf>
    <xf numFmtId="4" fontId="34" fillId="21" borderId="8" applyNumberFormat="0" applyProtection="0">
      <alignment horizontal="right" vertical="center"/>
    </xf>
    <xf numFmtId="4" fontId="145" fillId="121" borderId="8" applyNumberFormat="0" applyProtection="0">
      <alignment horizontal="right" vertical="center"/>
    </xf>
    <xf numFmtId="4" fontId="145" fillId="121" borderId="8" applyNumberFormat="0" applyProtection="0">
      <alignment horizontal="right" vertical="center"/>
    </xf>
    <xf numFmtId="4" fontId="34" fillId="21" borderId="8" applyNumberFormat="0" applyProtection="0">
      <alignment horizontal="right" vertical="center"/>
    </xf>
    <xf numFmtId="4" fontId="34" fillId="21" borderId="8" applyNumberFormat="0" applyProtection="0">
      <alignment horizontal="right" vertical="center"/>
    </xf>
    <xf numFmtId="4" fontId="118" fillId="21" borderId="43" applyNumberFormat="0" applyProtection="0">
      <alignment horizontal="right" vertical="center"/>
    </xf>
    <xf numFmtId="4" fontId="34" fillId="22" borderId="8" applyNumberFormat="0" applyProtection="0">
      <alignment horizontal="right" vertical="center"/>
    </xf>
    <xf numFmtId="4" fontId="145" fillId="35" borderId="8" applyNumberFormat="0" applyProtection="0">
      <alignment horizontal="right" vertical="center"/>
    </xf>
    <xf numFmtId="4" fontId="145" fillId="35" borderId="8" applyNumberFormat="0" applyProtection="0">
      <alignment horizontal="right" vertical="center"/>
    </xf>
    <xf numFmtId="4" fontId="34" fillId="22" borderId="8" applyNumberFormat="0" applyProtection="0">
      <alignment horizontal="right" vertical="center"/>
    </xf>
    <xf numFmtId="4" fontId="34" fillId="22" borderId="8" applyNumberFormat="0" applyProtection="0">
      <alignment horizontal="right" vertical="center"/>
    </xf>
    <xf numFmtId="4" fontId="118" fillId="22" borderId="39" applyNumberFormat="0" applyProtection="0">
      <alignment horizontal="right" vertical="center"/>
    </xf>
    <xf numFmtId="4" fontId="34" fillId="23" borderId="8" applyNumberFormat="0" applyProtection="0">
      <alignment horizontal="right" vertical="center"/>
    </xf>
    <xf numFmtId="4" fontId="145" fillId="122" borderId="8" applyNumberFormat="0" applyProtection="0">
      <alignment horizontal="right" vertical="center"/>
    </xf>
    <xf numFmtId="4" fontId="145" fillId="122" borderId="8" applyNumberFormat="0" applyProtection="0">
      <alignment horizontal="right" vertical="center"/>
    </xf>
    <xf numFmtId="4" fontId="34" fillId="23" borderId="8" applyNumberFormat="0" applyProtection="0">
      <alignment horizontal="right" vertical="center"/>
    </xf>
    <xf numFmtId="4" fontId="34" fillId="23" borderId="8" applyNumberFormat="0" applyProtection="0">
      <alignment horizontal="right" vertical="center"/>
    </xf>
    <xf numFmtId="4" fontId="118" fillId="23" borderId="39" applyNumberFormat="0" applyProtection="0">
      <alignment horizontal="right" vertical="center"/>
    </xf>
    <xf numFmtId="4" fontId="34" fillId="24" borderId="8" applyNumberFormat="0" applyProtection="0">
      <alignment horizontal="right" vertical="center"/>
    </xf>
    <xf numFmtId="4" fontId="145" fillId="38" borderId="8" applyNumberFormat="0" applyProtection="0">
      <alignment horizontal="right" vertical="center"/>
    </xf>
    <xf numFmtId="4" fontId="145" fillId="38" borderId="8" applyNumberFormat="0" applyProtection="0">
      <alignment horizontal="right" vertical="center"/>
    </xf>
    <xf numFmtId="4" fontId="34" fillId="24" borderId="8" applyNumberFormat="0" applyProtection="0">
      <alignment horizontal="right" vertical="center"/>
    </xf>
    <xf numFmtId="4" fontId="34" fillId="24" borderId="8" applyNumberFormat="0" applyProtection="0">
      <alignment horizontal="right" vertical="center"/>
    </xf>
    <xf numFmtId="4" fontId="118" fillId="24" borderId="39" applyNumberFormat="0" applyProtection="0">
      <alignment horizontal="right" vertical="center"/>
    </xf>
    <xf numFmtId="4" fontId="34" fillId="25" borderId="8" applyNumberFormat="0" applyProtection="0">
      <alignment horizontal="right" vertical="center"/>
    </xf>
    <xf numFmtId="4" fontId="145" fillId="123" borderId="8" applyNumberFormat="0" applyProtection="0">
      <alignment horizontal="right" vertical="center"/>
    </xf>
    <xf numFmtId="4" fontId="145" fillId="123" borderId="8" applyNumberFormat="0" applyProtection="0">
      <alignment horizontal="right" vertical="center"/>
    </xf>
    <xf numFmtId="4" fontId="34" fillId="25" borderId="8" applyNumberFormat="0" applyProtection="0">
      <alignment horizontal="right" vertical="center"/>
    </xf>
    <xf numFmtId="4" fontId="34" fillId="25" borderId="8" applyNumberFormat="0" applyProtection="0">
      <alignment horizontal="right" vertical="center"/>
    </xf>
    <xf numFmtId="4" fontId="118" fillId="25" borderId="39" applyNumberFormat="0" applyProtection="0">
      <alignment horizontal="right" vertical="center"/>
    </xf>
    <xf numFmtId="4" fontId="34" fillId="26" borderId="8" applyNumberFormat="0" applyProtection="0">
      <alignment horizontal="right" vertical="center"/>
    </xf>
    <xf numFmtId="4" fontId="145" fillId="124" borderId="8" applyNumberFormat="0" applyProtection="0">
      <alignment horizontal="right" vertical="center"/>
    </xf>
    <xf numFmtId="4" fontId="145" fillId="124" borderId="8" applyNumberFormat="0" applyProtection="0">
      <alignment horizontal="right" vertical="center"/>
    </xf>
    <xf numFmtId="4" fontId="34" fillId="26" borderId="8" applyNumberFormat="0" applyProtection="0">
      <alignment horizontal="right" vertical="center"/>
    </xf>
    <xf numFmtId="4" fontId="34" fillId="26" borderId="8" applyNumberFormat="0" applyProtection="0">
      <alignment horizontal="right" vertical="center"/>
    </xf>
    <xf numFmtId="4" fontId="118" fillId="26" borderId="39" applyNumberFormat="0" applyProtection="0">
      <alignment horizontal="right" vertical="center"/>
    </xf>
    <xf numFmtId="4" fontId="34" fillId="27" borderId="8" applyNumberFormat="0" applyProtection="0">
      <alignment horizontal="right" vertical="center"/>
    </xf>
    <xf numFmtId="4" fontId="145" fillId="125" borderId="8" applyNumberFormat="0" applyProtection="0">
      <alignment horizontal="right" vertical="center"/>
    </xf>
    <xf numFmtId="4" fontId="145" fillId="125" borderId="8" applyNumberFormat="0" applyProtection="0">
      <alignment horizontal="right" vertical="center"/>
    </xf>
    <xf numFmtId="4" fontId="34" fillId="27" borderId="8" applyNumberFormat="0" applyProtection="0">
      <alignment horizontal="right" vertical="center"/>
    </xf>
    <xf numFmtId="4" fontId="34" fillId="27" borderId="8" applyNumberFormat="0" applyProtection="0">
      <alignment horizontal="right" vertical="center"/>
    </xf>
    <xf numFmtId="4" fontId="118" fillId="27" borderId="39" applyNumberFormat="0" applyProtection="0">
      <alignment horizontal="right" vertical="center"/>
    </xf>
    <xf numFmtId="4" fontId="32" fillId="28" borderId="9" applyNumberFormat="0" applyProtection="0">
      <alignment horizontal="left" vertical="center" indent="1"/>
    </xf>
    <xf numFmtId="4" fontId="35" fillId="126" borderId="9" applyNumberFormat="0" applyProtection="0">
      <alignment horizontal="left" vertical="center" indent="1"/>
    </xf>
    <xf numFmtId="4" fontId="35" fillId="126" borderId="9" applyNumberFormat="0" applyProtection="0">
      <alignment horizontal="left" vertical="center" indent="1"/>
    </xf>
    <xf numFmtId="4" fontId="32" fillId="28" borderId="9" applyNumberFormat="0" applyProtection="0">
      <alignment horizontal="left" vertical="center" indent="1"/>
    </xf>
    <xf numFmtId="4" fontId="32" fillId="28" borderId="9" applyNumberFormat="0" applyProtection="0">
      <alignment horizontal="left" vertical="center" indent="1"/>
    </xf>
    <xf numFmtId="4" fontId="118" fillId="28" borderId="43" applyNumberFormat="0" applyProtection="0">
      <alignment horizontal="left" vertical="center" indent="1"/>
    </xf>
    <xf numFmtId="4" fontId="34" fillId="29" borderId="0" applyNumberFormat="0" applyProtection="0">
      <alignment horizontal="left" vertical="center" indent="1"/>
    </xf>
    <xf numFmtId="4" fontId="35" fillId="86" borderId="0" applyNumberFormat="0" applyProtection="0">
      <alignment horizontal="left" vertical="center" indent="1"/>
    </xf>
    <xf numFmtId="4" fontId="35" fillId="86" borderId="0" applyNumberFormat="0" applyProtection="0">
      <alignment horizontal="left" vertical="center" indent="1"/>
    </xf>
    <xf numFmtId="4" fontId="34" fillId="29" borderId="0" applyNumberFormat="0" applyProtection="0">
      <alignment horizontal="left" vertical="center" indent="1"/>
    </xf>
    <xf numFmtId="4" fontId="35" fillId="30" borderId="0" applyNumberFormat="0" applyProtection="0">
      <alignment horizontal="left" vertical="center" indent="1"/>
    </xf>
    <xf numFmtId="4" fontId="35" fillId="119" borderId="0" applyNumberFormat="0" applyProtection="0">
      <alignment horizontal="left" vertical="center" indent="1"/>
    </xf>
    <xf numFmtId="4" fontId="35" fillId="119" borderId="0" applyNumberFormat="0" applyProtection="0">
      <alignment horizontal="left" vertical="center" indent="1"/>
    </xf>
    <xf numFmtId="4" fontId="35" fillId="30" borderId="0" applyNumberFormat="0" applyProtection="0">
      <alignment horizontal="left" vertical="center" indent="1"/>
    </xf>
    <xf numFmtId="4" fontId="34" fillId="18" borderId="8" applyNumberFormat="0" applyProtection="0">
      <alignment horizontal="right" vertical="center"/>
    </xf>
    <xf numFmtId="4" fontId="145" fillId="86" borderId="8" applyNumberFormat="0" applyProtection="0">
      <alignment horizontal="right" vertical="center"/>
    </xf>
    <xf numFmtId="4" fontId="145" fillId="86" borderId="8" applyNumberFormat="0" applyProtection="0">
      <alignment horizontal="right" vertical="center"/>
    </xf>
    <xf numFmtId="4" fontId="34" fillId="18" borderId="8" applyNumberFormat="0" applyProtection="0">
      <alignment horizontal="right" vertical="center"/>
    </xf>
    <xf numFmtId="4" fontId="34" fillId="18" borderId="8" applyNumberFormat="0" applyProtection="0">
      <alignment horizontal="right" vertical="center"/>
    </xf>
    <xf numFmtId="4" fontId="118" fillId="18" borderId="39" applyNumberFormat="0" applyProtection="0">
      <alignment horizontal="right" vertical="center"/>
    </xf>
    <xf numFmtId="4" fontId="34" fillId="86" borderId="0" applyNumberFormat="0" applyProtection="0">
      <alignment horizontal="left" vertical="center" indent="1"/>
    </xf>
    <xf numFmtId="4" fontId="34" fillId="86" borderId="0" applyNumberFormat="0" applyProtection="0">
      <alignment horizontal="left" vertical="center" indent="1"/>
    </xf>
    <xf numFmtId="4" fontId="34" fillId="29" borderId="0" applyNumberFormat="0" applyProtection="0">
      <alignment horizontal="left" vertical="center" indent="1"/>
    </xf>
    <xf numFmtId="4" fontId="34" fillId="29" borderId="0" applyNumberFormat="0" applyProtection="0">
      <alignment horizontal="left" vertical="center" indent="1"/>
    </xf>
    <xf numFmtId="4" fontId="34" fillId="29" borderId="0" applyNumberFormat="0" applyProtection="0">
      <alignment horizontal="left" vertical="center" indent="1"/>
    </xf>
    <xf numFmtId="4" fontId="118" fillId="29" borderId="43" applyNumberFormat="0" applyProtection="0">
      <alignment horizontal="left" vertical="center" indent="1"/>
    </xf>
    <xf numFmtId="4" fontId="34" fillId="119" borderId="0" applyNumberFormat="0" applyProtection="0">
      <alignment horizontal="left" vertical="center" indent="1"/>
    </xf>
    <xf numFmtId="4" fontId="34" fillId="119" borderId="0" applyNumberFormat="0" applyProtection="0">
      <alignment horizontal="left" vertical="center" indent="1"/>
    </xf>
    <xf numFmtId="4" fontId="34" fillId="18" borderId="0" applyNumberFormat="0" applyProtection="0">
      <alignment horizontal="left" vertical="center" indent="1"/>
    </xf>
    <xf numFmtId="4" fontId="34" fillId="18" borderId="0" applyNumberFormat="0" applyProtection="0">
      <alignment horizontal="left" vertical="center" indent="1"/>
    </xf>
    <xf numFmtId="4" fontId="34" fillId="18" borderId="0" applyNumberFormat="0" applyProtection="0">
      <alignment horizontal="left" vertical="center" indent="1"/>
    </xf>
    <xf numFmtId="4" fontId="118" fillId="18" borderId="43" applyNumberFormat="0" applyProtection="0">
      <alignment horizontal="left" vertical="center" indent="1"/>
    </xf>
    <xf numFmtId="0" fontId="5" fillId="30" borderId="8" applyNumberFormat="0" applyProtection="0">
      <alignment horizontal="left" vertical="center" indent="1"/>
    </xf>
    <xf numFmtId="0" fontId="5" fillId="30" borderId="8" applyNumberFormat="0" applyProtection="0">
      <alignment horizontal="left" vertical="center" indent="1"/>
    </xf>
    <xf numFmtId="0" fontId="5" fillId="30" borderId="8" applyNumberFormat="0" applyProtection="0">
      <alignment horizontal="left" vertical="center" indent="1"/>
    </xf>
    <xf numFmtId="0" fontId="5" fillId="30" borderId="8" applyNumberFormat="0" applyProtection="0">
      <alignment horizontal="left" vertical="center" indent="1"/>
    </xf>
    <xf numFmtId="0" fontId="118" fillId="77" borderId="39" applyNumberFormat="0" applyProtection="0">
      <alignment horizontal="left" vertical="center" indent="1"/>
    </xf>
    <xf numFmtId="0" fontId="5" fillId="30" borderId="8" applyNumberFormat="0" applyProtection="0">
      <alignment horizontal="left" vertical="top" indent="1"/>
    </xf>
    <xf numFmtId="0" fontId="118" fillId="30" borderId="8" applyNumberFormat="0" applyProtection="0">
      <alignment horizontal="left" vertical="top" indent="1"/>
    </xf>
    <xf numFmtId="0" fontId="5" fillId="30" borderId="8" applyNumberFormat="0" applyProtection="0">
      <alignment horizontal="left" vertical="top" indent="1"/>
    </xf>
    <xf numFmtId="0" fontId="5" fillId="30" borderId="8" applyNumberFormat="0" applyProtection="0">
      <alignment horizontal="left" vertical="top" indent="1"/>
    </xf>
    <xf numFmtId="0" fontId="5" fillId="18" borderId="8" applyNumberFormat="0" applyProtection="0">
      <alignment horizontal="left" vertical="center" indent="1"/>
    </xf>
    <xf numFmtId="0" fontId="5" fillId="18" borderId="8" applyNumberFormat="0" applyProtection="0">
      <alignment horizontal="left" vertical="center" indent="1"/>
    </xf>
    <xf numFmtId="0" fontId="5" fillId="18" borderId="8" applyNumberFormat="0" applyProtection="0">
      <alignment horizontal="left" vertical="center" indent="1"/>
    </xf>
    <xf numFmtId="0" fontId="5" fillId="18" borderId="8" applyNumberFormat="0" applyProtection="0">
      <alignment horizontal="left" vertical="center" indent="1"/>
    </xf>
    <xf numFmtId="0" fontId="118" fillId="106" borderId="39" applyNumberFormat="0" applyProtection="0">
      <alignment horizontal="left" vertical="center" indent="1"/>
    </xf>
    <xf numFmtId="0" fontId="5" fillId="18" borderId="8" applyNumberFormat="0" applyProtection="0">
      <alignment horizontal="left" vertical="top" indent="1"/>
    </xf>
    <xf numFmtId="0" fontId="118" fillId="18" borderId="8" applyNumberFormat="0" applyProtection="0">
      <alignment horizontal="left" vertical="top" indent="1"/>
    </xf>
    <xf numFmtId="0" fontId="5" fillId="18" borderId="8" applyNumberFormat="0" applyProtection="0">
      <alignment horizontal="left" vertical="top" indent="1"/>
    </xf>
    <xf numFmtId="0" fontId="5" fillId="18" borderId="8" applyNumberFormat="0" applyProtection="0">
      <alignment horizontal="left" vertical="top" indent="1"/>
    </xf>
    <xf numFmtId="0" fontId="5" fillId="31" borderId="8" applyNumberFormat="0" applyProtection="0">
      <alignment horizontal="left" vertical="center" indent="1"/>
    </xf>
    <xf numFmtId="0" fontId="5" fillId="31" borderId="8" applyNumberFormat="0" applyProtection="0">
      <alignment horizontal="left" vertical="center" indent="1"/>
    </xf>
    <xf numFmtId="0" fontId="5" fillId="31" borderId="8" applyNumberFormat="0" applyProtection="0">
      <alignment horizontal="left" vertical="center" indent="1"/>
    </xf>
    <xf numFmtId="0" fontId="5" fillId="31" borderId="8" applyNumberFormat="0" applyProtection="0">
      <alignment horizontal="left" vertical="center" indent="1"/>
    </xf>
    <xf numFmtId="0" fontId="118" fillId="31" borderId="39" applyNumberFormat="0" applyProtection="0">
      <alignment horizontal="left" vertical="center" indent="1"/>
    </xf>
    <xf numFmtId="0" fontId="5" fillId="31" borderId="8" applyNumberFormat="0" applyProtection="0">
      <alignment horizontal="left" vertical="top" indent="1"/>
    </xf>
    <xf numFmtId="0" fontId="118" fillId="31" borderId="8" applyNumberFormat="0" applyProtection="0">
      <alignment horizontal="left" vertical="top" indent="1"/>
    </xf>
    <xf numFmtId="0" fontId="5" fillId="31" borderId="8" applyNumberFormat="0" applyProtection="0">
      <alignment horizontal="left" vertical="top" indent="1"/>
    </xf>
    <xf numFmtId="0" fontId="5" fillId="31" borderId="8" applyNumberFormat="0" applyProtection="0">
      <alignment horizontal="left" vertical="top" indent="1"/>
    </xf>
    <xf numFmtId="0" fontId="5" fillId="29" borderId="8" applyNumberFormat="0" applyProtection="0">
      <alignment horizontal="left" vertical="center" indent="1"/>
    </xf>
    <xf numFmtId="0" fontId="5" fillId="29" borderId="8" applyNumberFormat="0" applyProtection="0">
      <alignment horizontal="left" vertical="center" indent="1"/>
    </xf>
    <xf numFmtId="0" fontId="5" fillId="29" borderId="8" applyNumberFormat="0" applyProtection="0">
      <alignment horizontal="left" vertical="center" indent="1"/>
    </xf>
    <xf numFmtId="0" fontId="5" fillId="29" borderId="8" applyNumberFormat="0" applyProtection="0">
      <alignment horizontal="left" vertical="center" indent="1"/>
    </xf>
    <xf numFmtId="0" fontId="118" fillId="29" borderId="39" applyNumberFormat="0" applyProtection="0">
      <alignment horizontal="left" vertical="center" indent="1"/>
    </xf>
    <xf numFmtId="0" fontId="5" fillId="29" borderId="8" applyNumberFormat="0" applyProtection="0">
      <alignment horizontal="left" vertical="top" indent="1"/>
    </xf>
    <xf numFmtId="0" fontId="118" fillId="29" borderId="8" applyNumberFormat="0" applyProtection="0">
      <alignment horizontal="left" vertical="top" indent="1"/>
    </xf>
    <xf numFmtId="0" fontId="5" fillId="29" borderId="8" applyNumberFormat="0" applyProtection="0">
      <alignment horizontal="left" vertical="top" indent="1"/>
    </xf>
    <xf numFmtId="0" fontId="5" fillId="29" borderId="8" applyNumberFormat="0" applyProtection="0">
      <alignment horizontal="left" vertical="top" indent="1"/>
    </xf>
    <xf numFmtId="0" fontId="5" fillId="32" borderId="1" applyNumberFormat="0">
      <protection locked="0"/>
    </xf>
    <xf numFmtId="0" fontId="118" fillId="32" borderId="44" applyNumberFormat="0">
      <protection locked="0"/>
    </xf>
    <xf numFmtId="0" fontId="5" fillId="32" borderId="1" applyNumberFormat="0">
      <protection locked="0"/>
    </xf>
    <xf numFmtId="0" fontId="5" fillId="32" borderId="1" applyNumberFormat="0">
      <protection locked="0"/>
    </xf>
    <xf numFmtId="4" fontId="34" fillId="33" borderId="8" applyNumberFormat="0" applyProtection="0">
      <alignment vertical="center"/>
    </xf>
    <xf numFmtId="4" fontId="145" fillId="127" borderId="8" applyNumberFormat="0" applyProtection="0">
      <alignment vertical="center"/>
    </xf>
    <xf numFmtId="4" fontId="145" fillId="127" borderId="8" applyNumberFormat="0" applyProtection="0">
      <alignment vertical="center"/>
    </xf>
    <xf numFmtId="4" fontId="34" fillId="33" borderId="8" applyNumberFormat="0" applyProtection="0">
      <alignment vertical="center"/>
    </xf>
    <xf numFmtId="4" fontId="36" fillId="33" borderId="8" applyNumberFormat="0" applyProtection="0">
      <alignment vertical="center"/>
    </xf>
    <xf numFmtId="4" fontId="146" fillId="127" borderId="8" applyNumberFormat="0" applyProtection="0">
      <alignment vertical="center"/>
    </xf>
    <xf numFmtId="4" fontId="146" fillId="127" borderId="8" applyNumberFormat="0" applyProtection="0">
      <alignment vertical="center"/>
    </xf>
    <xf numFmtId="4" fontId="36" fillId="33" borderId="8" applyNumberFormat="0" applyProtection="0">
      <alignment vertical="center"/>
    </xf>
    <xf numFmtId="4" fontId="34" fillId="33" borderId="8" applyNumberFormat="0" applyProtection="0">
      <alignment horizontal="left" vertical="center" indent="1"/>
    </xf>
    <xf numFmtId="4" fontId="35" fillId="86" borderId="49" applyNumberFormat="0" applyProtection="0">
      <alignment horizontal="left" vertical="center" indent="1"/>
    </xf>
    <xf numFmtId="4" fontId="35" fillId="86" borderId="49" applyNumberFormat="0" applyProtection="0">
      <alignment horizontal="left" vertical="center" indent="1"/>
    </xf>
    <xf numFmtId="4" fontId="34" fillId="33" borderId="8" applyNumberFormat="0" applyProtection="0">
      <alignment horizontal="left" vertical="center" indent="1"/>
    </xf>
    <xf numFmtId="0" fontId="34" fillId="33" borderId="8" applyNumberFormat="0" applyProtection="0">
      <alignment horizontal="left" vertical="top" indent="1"/>
    </xf>
    <xf numFmtId="4" fontId="34" fillId="29" borderId="8" applyNumberFormat="0" applyProtection="0">
      <alignment horizontal="right" vertical="center"/>
    </xf>
    <xf numFmtId="4" fontId="145" fillId="127" borderId="8" applyNumberFormat="0" applyProtection="0">
      <alignment horizontal="right" vertical="center"/>
    </xf>
    <xf numFmtId="4" fontId="145" fillId="127" borderId="8" applyNumberFormat="0" applyProtection="0">
      <alignment horizontal="right" vertical="center"/>
    </xf>
    <xf numFmtId="4" fontId="34" fillId="29" borderId="8" applyNumberFormat="0" applyProtection="0">
      <alignment horizontal="right" vertical="center"/>
    </xf>
    <xf numFmtId="4" fontId="34" fillId="29" borderId="8" applyNumberFormat="0" applyProtection="0">
      <alignment horizontal="right" vertical="center"/>
    </xf>
    <xf numFmtId="4" fontId="118" fillId="0" borderId="39" applyNumberFormat="0" applyProtection="0">
      <alignment horizontal="right" vertical="center"/>
    </xf>
    <xf numFmtId="4" fontId="36" fillId="29" borderId="8" applyNumberFormat="0" applyProtection="0">
      <alignment horizontal="right" vertical="center"/>
    </xf>
    <xf numFmtId="4" fontId="146" fillId="127" borderId="8" applyNumberFormat="0" applyProtection="0">
      <alignment horizontal="right" vertical="center"/>
    </xf>
    <xf numFmtId="4" fontId="146" fillId="127" borderId="8" applyNumberFormat="0" applyProtection="0">
      <alignment horizontal="right" vertical="center"/>
    </xf>
    <xf numFmtId="4" fontId="36" fillId="29" borderId="8" applyNumberFormat="0" applyProtection="0">
      <alignment horizontal="right" vertical="center"/>
    </xf>
    <xf numFmtId="4" fontId="118" fillId="89" borderId="39" applyNumberFormat="0" applyProtection="0">
      <alignment horizontal="left" vertical="center" indent="1"/>
    </xf>
    <xf numFmtId="4" fontId="118" fillId="89" borderId="39" applyNumberFormat="0" applyProtection="0">
      <alignment horizontal="left" vertical="center" indent="1"/>
    </xf>
    <xf numFmtId="4" fontId="35" fillId="86" borderId="8" applyNumberFormat="0" applyProtection="0">
      <alignment horizontal="left" vertical="center" indent="1"/>
    </xf>
    <xf numFmtId="4" fontId="118" fillId="89" borderId="39" applyNumberFormat="0" applyProtection="0">
      <alignment horizontal="left" vertical="center" indent="1"/>
    </xf>
    <xf numFmtId="4" fontId="118" fillId="89" borderId="39" applyNumberFormat="0" applyProtection="0">
      <alignment horizontal="left" vertical="center" indent="1"/>
    </xf>
    <xf numFmtId="4" fontId="34" fillId="18" borderId="8" applyNumberFormat="0" applyProtection="0">
      <alignment horizontal="left" vertical="center" indent="1"/>
    </xf>
    <xf numFmtId="4" fontId="35" fillId="86" borderId="8" applyNumberFormat="0" applyProtection="0">
      <alignment horizontal="left" vertical="center" indent="1"/>
    </xf>
    <xf numFmtId="4" fontId="34" fillId="18" borderId="8" applyNumberFormat="0" applyProtection="0">
      <alignment horizontal="left" vertical="center" indent="1"/>
    </xf>
    <xf numFmtId="0" fontId="34" fillId="18" borderId="8" applyNumberFormat="0" applyProtection="0">
      <alignment horizontal="left" vertical="top" indent="1"/>
    </xf>
    <xf numFmtId="4" fontId="37" fillId="34" borderId="0" applyNumberFormat="0" applyProtection="0">
      <alignment horizontal="left" vertical="center" indent="1"/>
    </xf>
    <xf numFmtId="4" fontId="37" fillId="87" borderId="49" applyNumberFormat="0" applyProtection="0">
      <alignment horizontal="left" vertical="center" indent="1"/>
    </xf>
    <xf numFmtId="4" fontId="37" fillId="87" borderId="49" applyNumberFormat="0" applyProtection="0">
      <alignment horizontal="left" vertical="center" indent="1"/>
    </xf>
    <xf numFmtId="4" fontId="37" fillId="34" borderId="0" applyNumberFormat="0" applyProtection="0">
      <alignment horizontal="left" vertical="center" indent="1"/>
    </xf>
    <xf numFmtId="0" fontId="118" fillId="107" borderId="1"/>
    <xf numFmtId="0" fontId="118" fillId="107" borderId="1"/>
    <xf numFmtId="4" fontId="38" fillId="29" borderId="8" applyNumberFormat="0" applyProtection="0">
      <alignment horizontal="right" vertical="center"/>
    </xf>
    <xf numFmtId="4" fontId="147" fillId="127" borderId="8" applyNumberFormat="0" applyProtection="0">
      <alignment horizontal="right" vertical="center"/>
    </xf>
    <xf numFmtId="4" fontId="147" fillId="127" borderId="8" applyNumberFormat="0" applyProtection="0">
      <alignment horizontal="right" vertical="center"/>
    </xf>
    <xf numFmtId="4" fontId="38" fillId="29" borderId="8" applyNumberFormat="0" applyProtection="0">
      <alignment horizontal="right" vertical="center"/>
    </xf>
    <xf numFmtId="0" fontId="5" fillId="128"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37" fontId="80" fillId="0" borderId="14" applyNumberFormat="0"/>
    <xf numFmtId="0" fontId="150" fillId="0" borderId="50" applyNumberFormat="0" applyAlignment="0" applyProtection="0"/>
    <xf numFmtId="0" fontId="39"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195" fontId="80" fillId="0" borderId="12" applyFill="0"/>
    <xf numFmtId="0" fontId="28" fillId="0" borderId="51" applyNumberFormat="0" applyFill="0" applyAlignment="0" applyProtection="0"/>
    <xf numFmtId="0" fontId="28" fillId="0" borderId="51" applyNumberFormat="0" applyFill="0" applyAlignment="0" applyProtection="0"/>
    <xf numFmtId="37" fontId="80" fillId="0" borderId="10" applyNumberFormat="0" applyFill="0"/>
    <xf numFmtId="164" fontId="5" fillId="0" borderId="0" applyFont="0" applyFill="0" applyBorder="0" applyAlignment="0" applyProtection="0"/>
    <xf numFmtId="166" fontId="5" fillId="0" borderId="0" applyFon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5" fillId="33" borderId="0" applyNumberFormat="0" applyFont="0" applyBorder="0" applyAlignment="0" applyProtection="0"/>
    <xf numFmtId="0" fontId="89" fillId="0" borderId="0" applyNumberFormat="0" applyFill="0" applyBorder="0" applyAlignment="0" applyProtection="0"/>
    <xf numFmtId="0" fontId="90" fillId="0" borderId="21" applyNumberFormat="0" applyFill="0" applyAlignment="0" applyProtection="0"/>
    <xf numFmtId="0" fontId="91" fillId="0" borderId="22" applyNumberFormat="0" applyFill="0" applyAlignment="0" applyProtection="0"/>
    <xf numFmtId="0" fontId="92" fillId="0" borderId="23" applyNumberFormat="0" applyFill="0" applyAlignment="0" applyProtection="0"/>
    <xf numFmtId="0" fontId="92" fillId="0" borderId="0" applyNumberFormat="0" applyFill="0" applyBorder="0" applyAlignment="0" applyProtection="0"/>
    <xf numFmtId="0" fontId="93" fillId="46" borderId="0" applyNumberFormat="0" applyBorder="0" applyAlignment="0" applyProtection="0"/>
    <xf numFmtId="0" fontId="94" fillId="47" borderId="0" applyNumberFormat="0" applyBorder="0" applyAlignment="0" applyProtection="0"/>
    <xf numFmtId="0" fontId="95" fillId="48" borderId="0" applyNumberFormat="0" applyBorder="0" applyAlignment="0" applyProtection="0"/>
    <xf numFmtId="0" fontId="96" fillId="49" borderId="24" applyNumberFormat="0" applyAlignment="0" applyProtection="0"/>
    <xf numFmtId="0" fontId="97" fillId="50" borderId="25" applyNumberFormat="0" applyAlignment="0" applyProtection="0"/>
    <xf numFmtId="0" fontId="98" fillId="50" borderId="24" applyNumberFormat="0" applyAlignment="0" applyProtection="0"/>
    <xf numFmtId="0" fontId="99" fillId="0" borderId="26" applyNumberFormat="0" applyFill="0" applyAlignment="0" applyProtection="0"/>
    <xf numFmtId="0" fontId="100" fillId="51" borderId="27" applyNumberFormat="0" applyAlignment="0" applyProtection="0"/>
    <xf numFmtId="0" fontId="101" fillId="0" borderId="0" applyNumberFormat="0" applyFill="0" applyBorder="0" applyAlignment="0" applyProtection="0"/>
    <xf numFmtId="0" fontId="3" fillId="52" borderId="28" applyNumberFormat="0" applyFont="0" applyAlignment="0" applyProtection="0"/>
    <xf numFmtId="0" fontId="102" fillId="0" borderId="0" applyNumberFormat="0" applyFill="0" applyBorder="0" applyAlignment="0" applyProtection="0"/>
    <xf numFmtId="0" fontId="9" fillId="0" borderId="29" applyNumberFormat="0" applyFill="0" applyAlignment="0" applyProtection="0"/>
    <xf numFmtId="0" fontId="103" fillId="53"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103" fillId="56" borderId="0" applyNumberFormat="0" applyBorder="0" applyAlignment="0" applyProtection="0"/>
    <xf numFmtId="0" fontId="10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103" fillId="60" borderId="0" applyNumberFormat="0" applyBorder="0" applyAlignment="0" applyProtection="0"/>
    <xf numFmtId="0" fontId="10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103" fillId="64" borderId="0" applyNumberFormat="0" applyBorder="0" applyAlignment="0" applyProtection="0"/>
    <xf numFmtId="0" fontId="10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103" fillId="68" borderId="0" applyNumberFormat="0" applyBorder="0" applyAlignment="0" applyProtection="0"/>
    <xf numFmtId="0" fontId="10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103" fillId="72" borderId="0" applyNumberFormat="0" applyBorder="0" applyAlignment="0" applyProtection="0"/>
    <xf numFmtId="0" fontId="10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103" fillId="76" borderId="0" applyNumberFormat="0" applyBorder="0" applyAlignment="0" applyProtection="0"/>
    <xf numFmtId="0" fontId="118" fillId="90" borderId="0"/>
    <xf numFmtId="4" fontId="118" fillId="17" borderId="39" applyNumberFormat="0" applyProtection="0">
      <alignment vertical="center"/>
    </xf>
    <xf numFmtId="4" fontId="118" fillId="104" borderId="39" applyNumberFormat="0" applyProtection="0">
      <alignment horizontal="left" vertical="center" indent="1"/>
    </xf>
    <xf numFmtId="4" fontId="118" fillId="89" borderId="39" applyNumberFormat="0" applyProtection="0">
      <alignment horizontal="left" vertical="center" indent="1"/>
    </xf>
    <xf numFmtId="4" fontId="118" fillId="19" borderId="39" applyNumberFormat="0" applyProtection="0">
      <alignment horizontal="right" vertical="center"/>
    </xf>
    <xf numFmtId="4" fontId="118" fillId="105" borderId="39" applyNumberFormat="0" applyProtection="0">
      <alignment horizontal="right" vertical="center"/>
    </xf>
    <xf numFmtId="4" fontId="118" fillId="21" borderId="43" applyNumberFormat="0" applyProtection="0">
      <alignment horizontal="right" vertical="center"/>
    </xf>
    <xf numFmtId="4" fontId="118" fillId="22" borderId="39" applyNumberFormat="0" applyProtection="0">
      <alignment horizontal="right" vertical="center"/>
    </xf>
    <xf numFmtId="4" fontId="118" fillId="23" borderId="39" applyNumberFormat="0" applyProtection="0">
      <alignment horizontal="right" vertical="center"/>
    </xf>
    <xf numFmtId="4" fontId="118" fillId="24" borderId="39" applyNumberFormat="0" applyProtection="0">
      <alignment horizontal="right" vertical="center"/>
    </xf>
    <xf numFmtId="4" fontId="118" fillId="25" borderId="39" applyNumberFormat="0" applyProtection="0">
      <alignment horizontal="right" vertical="center"/>
    </xf>
    <xf numFmtId="4" fontId="118" fillId="26" borderId="39" applyNumberFormat="0" applyProtection="0">
      <alignment horizontal="right" vertical="center"/>
    </xf>
    <xf numFmtId="4" fontId="118" fillId="27" borderId="39" applyNumberFormat="0" applyProtection="0">
      <alignment horizontal="right" vertical="center"/>
    </xf>
    <xf numFmtId="4" fontId="118" fillId="28" borderId="43" applyNumberFormat="0" applyProtection="0">
      <alignment horizontal="left" vertical="center" indent="1"/>
    </xf>
    <xf numFmtId="4" fontId="118" fillId="18" borderId="39" applyNumberFormat="0" applyProtection="0">
      <alignment horizontal="right" vertical="center"/>
    </xf>
    <xf numFmtId="4" fontId="118" fillId="29" borderId="43" applyNumberFormat="0" applyProtection="0">
      <alignment horizontal="left" vertical="center" indent="1"/>
    </xf>
    <xf numFmtId="4" fontId="118" fillId="18" borderId="43" applyNumberFormat="0" applyProtection="0">
      <alignment horizontal="left" vertical="center" indent="1"/>
    </xf>
    <xf numFmtId="0" fontId="118" fillId="77" borderId="39" applyNumberFormat="0" applyProtection="0">
      <alignment horizontal="left" vertical="center" indent="1"/>
    </xf>
    <xf numFmtId="0" fontId="118" fillId="106" borderId="39" applyNumberFormat="0" applyProtection="0">
      <alignment horizontal="left" vertical="center" indent="1"/>
    </xf>
    <xf numFmtId="0" fontId="118" fillId="31" borderId="39" applyNumberFormat="0" applyProtection="0">
      <alignment horizontal="left" vertical="center" indent="1"/>
    </xf>
    <xf numFmtId="0" fontId="118" fillId="29" borderId="39" applyNumberFormat="0" applyProtection="0">
      <alignment horizontal="left" vertical="center" indent="1"/>
    </xf>
    <xf numFmtId="4" fontId="118" fillId="0" borderId="39" applyNumberFormat="0" applyProtection="0">
      <alignment horizontal="right" vertical="center"/>
    </xf>
    <xf numFmtId="0" fontId="118" fillId="107" borderId="1"/>
    <xf numFmtId="0" fontId="118" fillId="9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 fontId="34" fillId="18" borderId="8" applyNumberFormat="0" applyProtection="0">
      <alignment horizontal="left" vertical="center" indent="1"/>
    </xf>
    <xf numFmtId="0" fontId="5" fillId="0" borderId="0"/>
    <xf numFmtId="0" fontId="5" fillId="0" borderId="0"/>
    <xf numFmtId="0" fontId="5" fillId="0" borderId="0"/>
    <xf numFmtId="0" fontId="3" fillId="52" borderId="28" applyNumberFormat="0" applyFont="0" applyAlignment="0" applyProtection="0"/>
    <xf numFmtId="0" fontId="103" fillId="53"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10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10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10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10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10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103" fillId="53" borderId="0" applyNumberFormat="0" applyBorder="0" applyAlignment="0" applyProtection="0"/>
    <xf numFmtId="0" fontId="103" fillId="57" borderId="0" applyNumberFormat="0" applyBorder="0" applyAlignment="0" applyProtection="0"/>
    <xf numFmtId="0" fontId="103" fillId="61" borderId="0" applyNumberFormat="0" applyBorder="0" applyAlignment="0" applyProtection="0"/>
    <xf numFmtId="0" fontId="103" fillId="65" borderId="0" applyNumberFormat="0" applyBorder="0" applyAlignment="0" applyProtection="0"/>
    <xf numFmtId="0" fontId="103" fillId="69" borderId="0" applyNumberFormat="0" applyBorder="0" applyAlignment="0" applyProtection="0"/>
    <xf numFmtId="0" fontId="103" fillId="7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17" borderId="8" applyNumberFormat="0" applyProtection="0">
      <alignment horizontal="left" vertical="top" indent="1"/>
    </xf>
    <xf numFmtId="4" fontId="118" fillId="89" borderId="39" applyNumberFormat="0" applyProtection="0">
      <alignment horizontal="left" vertical="center" indent="1"/>
    </xf>
    <xf numFmtId="4" fontId="38" fillId="29" borderId="8" applyNumberFormat="0" applyProtection="0">
      <alignment horizontal="right" vertical="center"/>
    </xf>
    <xf numFmtId="0" fontId="3" fillId="0" borderId="0"/>
    <xf numFmtId="4" fontId="5" fillId="30" borderId="43" applyNumberFormat="0" applyProtection="0">
      <alignment horizontal="left" vertical="center" indent="1"/>
    </xf>
    <xf numFmtId="4" fontId="5" fillId="30" borderId="43" applyNumberFormat="0" applyProtection="0">
      <alignment horizontal="left" vertical="center" indent="1"/>
    </xf>
    <xf numFmtId="0" fontId="103" fillId="53" borderId="0" applyNumberFormat="0" applyBorder="0" applyAlignment="0" applyProtection="0"/>
    <xf numFmtId="0" fontId="103" fillId="57" borderId="0" applyNumberFormat="0" applyBorder="0" applyAlignment="0" applyProtection="0"/>
    <xf numFmtId="0" fontId="103" fillId="61" borderId="0" applyNumberFormat="0" applyBorder="0" applyAlignment="0" applyProtection="0"/>
    <xf numFmtId="0" fontId="103" fillId="65" borderId="0" applyNumberFormat="0" applyBorder="0" applyAlignment="0" applyProtection="0"/>
    <xf numFmtId="0" fontId="103" fillId="69" borderId="0" applyNumberFormat="0" applyBorder="0" applyAlignment="0" applyProtection="0"/>
    <xf numFmtId="0" fontId="103" fillId="69" borderId="0" applyNumberFormat="0" applyBorder="0" applyAlignment="0" applyProtection="0"/>
    <xf numFmtId="0" fontId="103" fillId="73" borderId="0" applyNumberFormat="0" applyBorder="0" applyAlignment="0" applyProtection="0"/>
    <xf numFmtId="0" fontId="103" fillId="61" borderId="0" applyNumberFormat="0" applyBorder="0" applyAlignment="0" applyProtection="0"/>
    <xf numFmtId="0" fontId="103" fillId="65" borderId="0" applyNumberFormat="0" applyBorder="0" applyAlignment="0" applyProtection="0"/>
    <xf numFmtId="0" fontId="103" fillId="73" borderId="0" applyNumberFormat="0" applyBorder="0" applyAlignment="0" applyProtection="0"/>
    <xf numFmtId="0" fontId="103" fillId="53" borderId="0" applyNumberFormat="0" applyBorder="0" applyAlignment="0" applyProtection="0"/>
    <xf numFmtId="0" fontId="103" fillId="69" borderId="0" applyNumberFormat="0" applyBorder="0" applyAlignment="0" applyProtection="0"/>
    <xf numFmtId="0" fontId="103" fillId="57" borderId="0" applyNumberFormat="0" applyBorder="0" applyAlignment="0" applyProtection="0"/>
    <xf numFmtId="0" fontId="103" fillId="69" borderId="0" applyNumberFormat="0" applyBorder="0" applyAlignment="0" applyProtection="0"/>
    <xf numFmtId="0" fontId="103" fillId="65" borderId="0" applyNumberFormat="0" applyBorder="0" applyAlignment="0" applyProtection="0"/>
    <xf numFmtId="0" fontId="103" fillId="57" borderId="0" applyNumberFormat="0" applyBorder="0" applyAlignment="0" applyProtection="0"/>
    <xf numFmtId="0" fontId="103" fillId="53" borderId="0" applyNumberFormat="0" applyBorder="0" applyAlignment="0" applyProtection="0"/>
    <xf numFmtId="0" fontId="103" fillId="73" borderId="0" applyNumberFormat="0" applyBorder="0" applyAlignment="0" applyProtection="0"/>
    <xf numFmtId="0" fontId="103" fillId="61" borderId="0" applyNumberFormat="0" applyBorder="0" applyAlignment="0" applyProtection="0"/>
    <xf numFmtId="0" fontId="103" fillId="61" borderId="0" applyNumberFormat="0" applyBorder="0" applyAlignment="0" applyProtection="0"/>
    <xf numFmtId="0" fontId="103" fillId="65" borderId="0" applyNumberFormat="0" applyBorder="0" applyAlignment="0" applyProtection="0"/>
    <xf numFmtId="0" fontId="103" fillId="53" borderId="0" applyNumberFormat="0" applyBorder="0" applyAlignment="0" applyProtection="0"/>
    <xf numFmtId="0" fontId="103" fillId="73" borderId="0" applyNumberFormat="0" applyBorder="0" applyAlignment="0" applyProtection="0"/>
    <xf numFmtId="0" fontId="103" fillId="73" borderId="0" applyNumberFormat="0" applyBorder="0" applyAlignment="0" applyProtection="0"/>
    <xf numFmtId="0" fontId="103" fillId="61" borderId="0" applyNumberFormat="0" applyBorder="0" applyAlignment="0" applyProtection="0"/>
    <xf numFmtId="0" fontId="103" fillId="73" borderId="0" applyNumberFormat="0" applyBorder="0" applyAlignment="0" applyProtection="0"/>
    <xf numFmtId="0" fontId="103" fillId="53" borderId="0" applyNumberFormat="0" applyBorder="0" applyAlignment="0" applyProtection="0"/>
    <xf numFmtId="0" fontId="103" fillId="65" borderId="0" applyNumberFormat="0" applyBorder="0" applyAlignment="0" applyProtection="0"/>
    <xf numFmtId="0" fontId="103" fillId="69" borderId="0" applyNumberFormat="0" applyBorder="0" applyAlignment="0" applyProtection="0"/>
    <xf numFmtId="0" fontId="103" fillId="53" borderId="0" applyNumberFormat="0" applyBorder="0" applyAlignment="0" applyProtection="0"/>
    <xf numFmtId="0" fontId="103" fillId="61" borderId="0" applyNumberFormat="0" applyBorder="0" applyAlignment="0" applyProtection="0"/>
    <xf numFmtId="0" fontId="103" fillId="73" borderId="0" applyNumberFormat="0" applyBorder="0" applyAlignment="0" applyProtection="0"/>
    <xf numFmtId="0" fontId="103" fillId="65" borderId="0" applyNumberFormat="0" applyBorder="0" applyAlignment="0" applyProtection="0"/>
    <xf numFmtId="0" fontId="103" fillId="61" borderId="0" applyNumberFormat="0" applyBorder="0" applyAlignment="0" applyProtection="0"/>
    <xf numFmtId="0" fontId="103" fillId="57" borderId="0" applyNumberFormat="0" applyBorder="0" applyAlignment="0" applyProtection="0"/>
    <xf numFmtId="0" fontId="103" fillId="53" borderId="0" applyNumberFormat="0" applyBorder="0" applyAlignment="0" applyProtection="0"/>
    <xf numFmtId="0" fontId="103" fillId="69"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65" borderId="0" applyNumberFormat="0" applyBorder="0" applyAlignment="0" applyProtection="0"/>
    <xf numFmtId="0" fontId="103" fillId="57" borderId="0" applyNumberFormat="0" applyBorder="0" applyAlignment="0" applyProtection="0"/>
    <xf numFmtId="0" fontId="103" fillId="69" borderId="0" applyNumberFormat="0" applyBorder="0" applyAlignment="0" applyProtection="0"/>
    <xf numFmtId="0" fontId="27" fillId="80" borderId="0" applyNumberFormat="0" applyBorder="0" applyAlignment="0" applyProtection="0"/>
    <xf numFmtId="0" fontId="27" fillId="82" borderId="0" applyNumberFormat="0" applyBorder="0" applyAlignment="0" applyProtection="0"/>
    <xf numFmtId="0" fontId="27" fillId="79" borderId="0" applyNumberFormat="0" applyBorder="0" applyAlignment="0" applyProtection="0"/>
    <xf numFmtId="0" fontId="27" fillId="8"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1" borderId="0" applyNumberFormat="0" applyBorder="0" applyAlignment="0" applyProtection="0"/>
    <xf numFmtId="0" fontId="27" fillId="8" borderId="0" applyNumberFormat="0" applyBorder="0" applyAlignment="0" applyProtection="0"/>
    <xf numFmtId="0" fontId="27" fillId="80" borderId="0" applyNumberFormat="0" applyBorder="0" applyAlignment="0" applyProtection="0"/>
    <xf numFmtId="0" fontId="27" fillId="79" borderId="0" applyNumberFormat="0" applyBorder="0" applyAlignment="0" applyProtection="0"/>
    <xf numFmtId="0" fontId="27" fillId="82" borderId="0" applyNumberFormat="0" applyBorder="0" applyAlignment="0" applyProtection="0"/>
    <xf numFmtId="0" fontId="27" fillId="81" borderId="0" applyNumberFormat="0" applyBorder="0" applyAlignment="0" applyProtection="0"/>
    <xf numFmtId="4" fontId="32" fillId="17" borderId="52" applyNumberFormat="0" applyProtection="0">
      <alignment vertical="center"/>
    </xf>
    <xf numFmtId="4" fontId="33" fillId="17" borderId="52" applyNumberFormat="0" applyProtection="0">
      <alignment vertical="center"/>
    </xf>
    <xf numFmtId="4" fontId="32" fillId="17" borderId="52" applyNumberFormat="0" applyProtection="0">
      <alignment horizontal="left" vertical="center" indent="1"/>
    </xf>
    <xf numFmtId="0" fontId="32" fillId="17" borderId="52" applyNumberFormat="0" applyProtection="0">
      <alignment horizontal="left" vertical="top" indent="1"/>
    </xf>
    <xf numFmtId="4" fontId="34" fillId="19" borderId="52" applyNumberFormat="0" applyProtection="0">
      <alignment horizontal="right" vertical="center"/>
    </xf>
    <xf numFmtId="4" fontId="34" fillId="20" borderId="52" applyNumberFormat="0" applyProtection="0">
      <alignment horizontal="right" vertical="center"/>
    </xf>
    <xf numFmtId="4" fontId="34" fillId="21" borderId="52" applyNumberFormat="0" applyProtection="0">
      <alignment horizontal="right" vertical="center"/>
    </xf>
    <xf numFmtId="4" fontId="34" fillId="22" borderId="52" applyNumberFormat="0" applyProtection="0">
      <alignment horizontal="right" vertical="center"/>
    </xf>
    <xf numFmtId="4" fontId="34" fillId="23" borderId="52" applyNumberFormat="0" applyProtection="0">
      <alignment horizontal="right" vertical="center"/>
    </xf>
    <xf numFmtId="4" fontId="34" fillId="24" borderId="52" applyNumberFormat="0" applyProtection="0">
      <alignment horizontal="right" vertical="center"/>
    </xf>
    <xf numFmtId="4" fontId="34" fillId="25" borderId="52" applyNumberFormat="0" applyProtection="0">
      <alignment horizontal="right" vertical="center"/>
    </xf>
    <xf numFmtId="4" fontId="34" fillId="26" borderId="52" applyNumberFormat="0" applyProtection="0">
      <alignment horizontal="right" vertical="center"/>
    </xf>
    <xf numFmtId="4" fontId="34" fillId="27" borderId="52" applyNumberFormat="0" applyProtection="0">
      <alignment horizontal="right" vertical="center"/>
    </xf>
    <xf numFmtId="4" fontId="34" fillId="18" borderId="52" applyNumberFormat="0" applyProtection="0">
      <alignment horizontal="right" vertical="center"/>
    </xf>
    <xf numFmtId="0" fontId="5" fillId="30" borderId="52" applyNumberFormat="0" applyProtection="0">
      <alignment horizontal="left" vertical="center" indent="1"/>
    </xf>
    <xf numFmtId="0" fontId="5" fillId="30" borderId="52" applyNumberFormat="0" applyProtection="0">
      <alignment horizontal="left" vertical="top" indent="1"/>
    </xf>
    <xf numFmtId="0" fontId="5" fillId="18" borderId="52" applyNumberFormat="0" applyProtection="0">
      <alignment horizontal="left" vertical="center" indent="1"/>
    </xf>
    <xf numFmtId="0" fontId="5" fillId="18" borderId="52" applyNumberFormat="0" applyProtection="0">
      <alignment horizontal="left" vertical="top" indent="1"/>
    </xf>
    <xf numFmtId="0" fontId="5" fillId="31" borderId="52" applyNumberFormat="0" applyProtection="0">
      <alignment horizontal="left" vertical="center" indent="1"/>
    </xf>
    <xf numFmtId="0" fontId="5" fillId="31" borderId="52" applyNumberFormat="0" applyProtection="0">
      <alignment horizontal="left" vertical="top" indent="1"/>
    </xf>
    <xf numFmtId="0" fontId="5" fillId="29" borderId="52" applyNumberFormat="0" applyProtection="0">
      <alignment horizontal="left" vertical="center" indent="1"/>
    </xf>
    <xf numFmtId="0" fontId="5" fillId="29" borderId="52" applyNumberFormat="0" applyProtection="0">
      <alignment horizontal="left" vertical="top" indent="1"/>
    </xf>
    <xf numFmtId="4" fontId="34" fillId="33" borderId="52" applyNumberFormat="0" applyProtection="0">
      <alignment vertical="center"/>
    </xf>
    <xf numFmtId="4" fontId="36" fillId="33" borderId="52" applyNumberFormat="0" applyProtection="0">
      <alignment vertical="center"/>
    </xf>
    <xf numFmtId="4" fontId="34" fillId="33" borderId="52" applyNumberFormat="0" applyProtection="0">
      <alignment horizontal="left" vertical="center" indent="1"/>
    </xf>
    <xf numFmtId="0" fontId="34" fillId="33" borderId="52" applyNumberFormat="0" applyProtection="0">
      <alignment horizontal="left" vertical="top" indent="1"/>
    </xf>
    <xf numFmtId="4" fontId="34" fillId="29" borderId="52" applyNumberFormat="0" applyProtection="0">
      <alignment horizontal="right" vertical="center"/>
    </xf>
    <xf numFmtId="4" fontId="36" fillId="29" borderId="52" applyNumberFormat="0" applyProtection="0">
      <alignment horizontal="right" vertical="center"/>
    </xf>
    <xf numFmtId="4" fontId="34" fillId="18" borderId="52" applyNumberFormat="0" applyProtection="0">
      <alignment horizontal="left" vertical="center" indent="1"/>
    </xf>
    <xf numFmtId="0" fontId="34" fillId="18" borderId="52" applyNumberFormat="0" applyProtection="0">
      <alignment horizontal="left" vertical="top" indent="1"/>
    </xf>
    <xf numFmtId="4" fontId="38" fillId="29" borderId="52" applyNumberFormat="0" applyProtection="0">
      <alignment horizontal="right" vertical="center"/>
    </xf>
    <xf numFmtId="0" fontId="6" fillId="0" borderId="0"/>
    <xf numFmtId="0" fontId="6" fillId="0" borderId="0"/>
    <xf numFmtId="0" fontId="106" fillId="84" borderId="53" applyNumberFormat="0" applyAlignment="0" applyProtection="0"/>
    <xf numFmtId="0" fontId="113" fillId="13" borderId="53" applyNumberFormat="0" applyAlignment="0" applyProtection="0"/>
    <xf numFmtId="0" fontId="5" fillId="12" borderId="54" applyNumberFormat="0" applyFont="0" applyAlignment="0" applyProtection="0"/>
    <xf numFmtId="0" fontId="28" fillId="0" borderId="55" applyNumberFormat="0" applyFill="0" applyAlignment="0" applyProtection="0"/>
    <xf numFmtId="4" fontId="118" fillId="89" borderId="56" applyNumberFormat="0" applyProtection="0">
      <alignment horizontal="left" vertical="center" indent="1"/>
    </xf>
    <xf numFmtId="4" fontId="118" fillId="89" borderId="56" applyNumberFormat="0" applyProtection="0">
      <alignment horizontal="left" vertical="center" indent="1"/>
    </xf>
    <xf numFmtId="0" fontId="118" fillId="30" borderId="52" applyNumberFormat="0" applyProtection="0">
      <alignment horizontal="left" vertical="top" indent="1"/>
    </xf>
    <xf numFmtId="0" fontId="118" fillId="18" borderId="52" applyNumberFormat="0" applyProtection="0">
      <alignment horizontal="left" vertical="top" indent="1"/>
    </xf>
    <xf numFmtId="0" fontId="118" fillId="31" borderId="52" applyNumberFormat="0" applyProtection="0">
      <alignment horizontal="left" vertical="top" indent="1"/>
    </xf>
    <xf numFmtId="0" fontId="118" fillId="29" borderId="52" applyNumberFormat="0" applyProtection="0">
      <alignment horizontal="left" vertical="top" indent="1"/>
    </xf>
    <xf numFmtId="4" fontId="118" fillId="0" borderId="56" applyNumberFormat="0" applyProtection="0">
      <alignment horizontal="right" vertical="center"/>
    </xf>
    <xf numFmtId="0" fontId="127" fillId="101" borderId="56" applyNumberFormat="0" applyAlignment="0" applyProtection="0"/>
    <xf numFmtId="0" fontId="113" fillId="13" borderId="56" applyNumberFormat="0" applyAlignment="0" applyProtection="0"/>
    <xf numFmtId="0" fontId="118" fillId="12" borderId="56" applyNumberFormat="0" applyFont="0" applyAlignment="0" applyProtection="0"/>
    <xf numFmtId="4" fontId="118" fillId="17" borderId="56" applyNumberFormat="0" applyProtection="0">
      <alignment vertical="center"/>
    </xf>
    <xf numFmtId="4" fontId="129" fillId="104" borderId="56" applyNumberFormat="0" applyProtection="0">
      <alignment vertical="center"/>
    </xf>
    <xf numFmtId="4" fontId="118" fillId="104" borderId="56" applyNumberFormat="0" applyProtection="0">
      <alignment horizontal="left" vertical="center" indent="1"/>
    </xf>
    <xf numFmtId="0" fontId="123" fillId="17" borderId="52" applyNumberFormat="0" applyProtection="0">
      <alignment horizontal="left" vertical="top" indent="1"/>
    </xf>
    <xf numFmtId="4" fontId="118" fillId="19" borderId="56" applyNumberFormat="0" applyProtection="0">
      <alignment horizontal="right" vertical="center"/>
    </xf>
    <xf numFmtId="4" fontId="118" fillId="105" borderId="56" applyNumberFormat="0" applyProtection="0">
      <alignment horizontal="right" vertical="center"/>
    </xf>
    <xf numFmtId="4" fontId="118" fillId="21" borderId="57" applyNumberFormat="0" applyProtection="0">
      <alignment horizontal="right" vertical="center"/>
    </xf>
    <xf numFmtId="4" fontId="118" fillId="22" borderId="56" applyNumberFormat="0" applyProtection="0">
      <alignment horizontal="right" vertical="center"/>
    </xf>
    <xf numFmtId="4" fontId="118" fillId="23" borderId="56" applyNumberFormat="0" applyProtection="0">
      <alignment horizontal="right" vertical="center"/>
    </xf>
    <xf numFmtId="4" fontId="118" fillId="24" borderId="56" applyNumberFormat="0" applyProtection="0">
      <alignment horizontal="right" vertical="center"/>
    </xf>
    <xf numFmtId="4" fontId="118" fillId="25" borderId="56" applyNumberFormat="0" applyProtection="0">
      <alignment horizontal="right" vertical="center"/>
    </xf>
    <xf numFmtId="4" fontId="118" fillId="26" borderId="56" applyNumberFormat="0" applyProtection="0">
      <alignment horizontal="right" vertical="center"/>
    </xf>
    <xf numFmtId="4" fontId="118" fillId="27" borderId="56" applyNumberFormat="0" applyProtection="0">
      <alignment horizontal="right" vertical="center"/>
    </xf>
    <xf numFmtId="4" fontId="118" fillId="28" borderId="57" applyNumberFormat="0" applyProtection="0">
      <alignment horizontal="left" vertical="center" indent="1"/>
    </xf>
    <xf numFmtId="4" fontId="5" fillId="30" borderId="57" applyNumberFormat="0" applyProtection="0">
      <alignment horizontal="left" vertical="center" indent="1"/>
    </xf>
    <xf numFmtId="4" fontId="5" fillId="30" borderId="57" applyNumberFormat="0" applyProtection="0">
      <alignment horizontal="left" vertical="center" indent="1"/>
    </xf>
    <xf numFmtId="4" fontId="118" fillId="18" borderId="56" applyNumberFormat="0" applyProtection="0">
      <alignment horizontal="right" vertical="center"/>
    </xf>
    <xf numFmtId="4" fontId="118" fillId="29" borderId="57" applyNumberFormat="0" applyProtection="0">
      <alignment horizontal="left" vertical="center" indent="1"/>
    </xf>
    <xf numFmtId="4" fontId="118" fillId="18" borderId="57" applyNumberFormat="0" applyProtection="0">
      <alignment horizontal="left" vertical="center" indent="1"/>
    </xf>
    <xf numFmtId="0" fontId="118" fillId="77" borderId="56" applyNumberFormat="0" applyProtection="0">
      <alignment horizontal="left" vertical="center" indent="1"/>
    </xf>
    <xf numFmtId="0" fontId="118" fillId="106" borderId="56" applyNumberFormat="0" applyProtection="0">
      <alignment horizontal="left" vertical="center" indent="1"/>
    </xf>
    <xf numFmtId="0" fontId="118" fillId="31" borderId="56" applyNumberFormat="0" applyProtection="0">
      <alignment horizontal="left" vertical="center" indent="1"/>
    </xf>
    <xf numFmtId="0" fontId="118" fillId="29" borderId="56" applyNumberFormat="0" applyProtection="0">
      <alignment horizontal="left" vertical="center" indent="1"/>
    </xf>
    <xf numFmtId="0" fontId="121" fillId="30" borderId="58" applyBorder="0"/>
    <xf numFmtId="4" fontId="122" fillId="33" borderId="52" applyNumberFormat="0" applyProtection="0">
      <alignment vertical="center"/>
    </xf>
    <xf numFmtId="4" fontId="122" fillId="77" borderId="52" applyNumberFormat="0" applyProtection="0">
      <alignment horizontal="left" vertical="center" indent="1"/>
    </xf>
    <xf numFmtId="0" fontId="122" fillId="33" borderId="52" applyNumberFormat="0" applyProtection="0">
      <alignment horizontal="left" vertical="top" indent="1"/>
    </xf>
    <xf numFmtId="4" fontId="129" fillId="36" borderId="56" applyNumberFormat="0" applyProtection="0">
      <alignment horizontal="right" vertical="center"/>
    </xf>
    <xf numFmtId="0" fontId="122" fillId="18" borderId="52" applyNumberFormat="0" applyProtection="0">
      <alignment horizontal="left" vertical="top" indent="1"/>
    </xf>
    <xf numFmtId="4" fontId="124" fillId="34" borderId="57" applyNumberFormat="0" applyProtection="0">
      <alignment horizontal="left" vertical="center" indent="1"/>
    </xf>
    <xf numFmtId="4" fontId="125" fillId="32" borderId="56" applyNumberFormat="0" applyProtection="0">
      <alignment horizontal="right" vertical="center"/>
    </xf>
    <xf numFmtId="0" fontId="28" fillId="0" borderId="55" applyNumberFormat="0" applyFill="0" applyAlignment="0" applyProtection="0"/>
    <xf numFmtId="0" fontId="135" fillId="77" borderId="53" applyNumberFormat="0" applyAlignment="0" applyProtection="0"/>
    <xf numFmtId="0" fontId="135" fillId="77" borderId="53" applyNumberFormat="0" applyAlignment="0" applyProtection="0"/>
    <xf numFmtId="0" fontId="106" fillId="84" borderId="53" applyNumberFormat="0" applyAlignment="0" applyProtection="0"/>
    <xf numFmtId="0" fontId="106" fillId="84" borderId="53" applyNumberFormat="0" applyAlignment="0" applyProtection="0"/>
    <xf numFmtId="0" fontId="141" fillId="77" borderId="53" applyNumberFormat="0" applyAlignment="0" applyProtection="0"/>
    <xf numFmtId="0" fontId="141" fillId="77" borderId="53" applyNumberFormat="0" applyAlignment="0" applyProtection="0"/>
    <xf numFmtId="0" fontId="113" fillId="13" borderId="53" applyNumberFormat="0" applyAlignment="0" applyProtection="0"/>
    <xf numFmtId="0" fontId="113" fillId="13" borderId="53" applyNumberFormat="0" applyAlignment="0" applyProtection="0"/>
    <xf numFmtId="0" fontId="5" fillId="33" borderId="54" applyNumberFormat="0" applyFont="0" applyAlignment="0" applyProtection="0"/>
    <xf numFmtId="0" fontId="5" fillId="33" borderId="54" applyNumberFormat="0" applyFont="0" applyAlignment="0" applyProtection="0"/>
    <xf numFmtId="0" fontId="118" fillId="12" borderId="56" applyNumberFormat="0" applyFont="0" applyAlignment="0" applyProtection="0"/>
    <xf numFmtId="0" fontId="5" fillId="12" borderId="54" applyNumberFormat="0" applyFont="0" applyAlignment="0" applyProtection="0"/>
    <xf numFmtId="0" fontId="5" fillId="12" borderId="54" applyNumberFormat="0" applyFont="0" applyAlignment="0" applyProtection="0"/>
    <xf numFmtId="4" fontId="32" fillId="17" borderId="52" applyNumberFormat="0" applyProtection="0">
      <alignment vertical="center"/>
    </xf>
    <xf numFmtId="4" fontId="35" fillId="104" borderId="52" applyNumberFormat="0" applyProtection="0">
      <alignment vertical="center"/>
    </xf>
    <xf numFmtId="4" fontId="35" fillId="104" borderId="52" applyNumberFormat="0" applyProtection="0">
      <alignment vertical="center"/>
    </xf>
    <xf numFmtId="4" fontId="32" fillId="17" borderId="52" applyNumberFormat="0" applyProtection="0">
      <alignment vertical="center"/>
    </xf>
    <xf numFmtId="4" fontId="32" fillId="17" borderId="52" applyNumberFormat="0" applyProtection="0">
      <alignment vertical="center"/>
    </xf>
    <xf numFmtId="4" fontId="33" fillId="17" borderId="52" applyNumberFormat="0" applyProtection="0">
      <alignment vertical="center"/>
    </xf>
    <xf numFmtId="4" fontId="144" fillId="104" borderId="52" applyNumberFormat="0" applyProtection="0">
      <alignment vertical="center"/>
    </xf>
    <xf numFmtId="4" fontId="144" fillId="104" borderId="52" applyNumberFormat="0" applyProtection="0">
      <alignment vertical="center"/>
    </xf>
    <xf numFmtId="4" fontId="33" fillId="17" borderId="52" applyNumberFormat="0" applyProtection="0">
      <alignment vertical="center"/>
    </xf>
    <xf numFmtId="4" fontId="32" fillId="17" borderId="52" applyNumberFormat="0" applyProtection="0">
      <alignment horizontal="left" vertical="center" indent="1"/>
    </xf>
    <xf numFmtId="4" fontId="145" fillId="104" borderId="52" applyNumberFormat="0" applyProtection="0">
      <alignment horizontal="left" vertical="center" indent="1"/>
    </xf>
    <xf numFmtId="4" fontId="145" fillId="104" borderId="52" applyNumberFormat="0" applyProtection="0">
      <alignment horizontal="left" vertical="center" indent="1"/>
    </xf>
    <xf numFmtId="4" fontId="32" fillId="17" borderId="52" applyNumberFormat="0" applyProtection="0">
      <alignment horizontal="left" vertical="center" indent="1"/>
    </xf>
    <xf numFmtId="4" fontId="32" fillId="17" borderId="52" applyNumberFormat="0" applyProtection="0">
      <alignment horizontal="left" vertical="center" indent="1"/>
    </xf>
    <xf numFmtId="0" fontId="32" fillId="17" borderId="52" applyNumberFormat="0" applyProtection="0">
      <alignment horizontal="left" vertical="top" indent="1"/>
    </xf>
    <xf numFmtId="4" fontId="34" fillId="19" borderId="52" applyNumberFormat="0" applyProtection="0">
      <alignment horizontal="right" vertical="center"/>
    </xf>
    <xf numFmtId="4" fontId="145" fillId="120" borderId="52" applyNumberFormat="0" applyProtection="0">
      <alignment horizontal="right" vertical="center"/>
    </xf>
    <xf numFmtId="4" fontId="145" fillId="120" borderId="52" applyNumberFormat="0" applyProtection="0">
      <alignment horizontal="right" vertical="center"/>
    </xf>
    <xf numFmtId="4" fontId="34" fillId="19" borderId="52" applyNumberFormat="0" applyProtection="0">
      <alignment horizontal="right" vertical="center"/>
    </xf>
    <xf numFmtId="4" fontId="34" fillId="19" borderId="52" applyNumberFormat="0" applyProtection="0">
      <alignment horizontal="right" vertical="center"/>
    </xf>
    <xf numFmtId="4" fontId="34" fillId="20" borderId="52" applyNumberFormat="0" applyProtection="0">
      <alignment horizontal="right" vertical="center"/>
    </xf>
    <xf numFmtId="4" fontId="145" fillId="88" borderId="52" applyNumberFormat="0" applyProtection="0">
      <alignment horizontal="right" vertical="center"/>
    </xf>
    <xf numFmtId="4" fontId="145" fillId="88" borderId="52" applyNumberFormat="0" applyProtection="0">
      <alignment horizontal="right" vertical="center"/>
    </xf>
    <xf numFmtId="4" fontId="34" fillId="20" borderId="52" applyNumberFormat="0" applyProtection="0">
      <alignment horizontal="right" vertical="center"/>
    </xf>
    <xf numFmtId="4" fontId="34" fillId="20" borderId="52" applyNumberFormat="0" applyProtection="0">
      <alignment horizontal="right" vertical="center"/>
    </xf>
    <xf numFmtId="4" fontId="34" fillId="21" borderId="52" applyNumberFormat="0" applyProtection="0">
      <alignment horizontal="right" vertical="center"/>
    </xf>
    <xf numFmtId="4" fontId="145" fillId="121" borderId="52" applyNumberFormat="0" applyProtection="0">
      <alignment horizontal="right" vertical="center"/>
    </xf>
    <xf numFmtId="4" fontId="145" fillId="121" borderId="52" applyNumberFormat="0" applyProtection="0">
      <alignment horizontal="right" vertical="center"/>
    </xf>
    <xf numFmtId="4" fontId="34" fillId="21" borderId="52" applyNumberFormat="0" applyProtection="0">
      <alignment horizontal="right" vertical="center"/>
    </xf>
    <xf numFmtId="4" fontId="34" fillId="21" borderId="52" applyNumberFormat="0" applyProtection="0">
      <alignment horizontal="right" vertical="center"/>
    </xf>
    <xf numFmtId="4" fontId="34" fillId="22" borderId="52" applyNumberFormat="0" applyProtection="0">
      <alignment horizontal="right" vertical="center"/>
    </xf>
    <xf numFmtId="4" fontId="145" fillId="35" borderId="52" applyNumberFormat="0" applyProtection="0">
      <alignment horizontal="right" vertical="center"/>
    </xf>
    <xf numFmtId="4" fontId="145" fillId="35" borderId="52" applyNumberFormat="0" applyProtection="0">
      <alignment horizontal="right" vertical="center"/>
    </xf>
    <xf numFmtId="4" fontId="34" fillId="22" borderId="52" applyNumberFormat="0" applyProtection="0">
      <alignment horizontal="right" vertical="center"/>
    </xf>
    <xf numFmtId="4" fontId="34" fillId="22" borderId="52" applyNumberFormat="0" applyProtection="0">
      <alignment horizontal="right" vertical="center"/>
    </xf>
    <xf numFmtId="4" fontId="34" fillId="23" borderId="52" applyNumberFormat="0" applyProtection="0">
      <alignment horizontal="right" vertical="center"/>
    </xf>
    <xf numFmtId="4" fontId="145" fillId="122" borderId="52" applyNumberFormat="0" applyProtection="0">
      <alignment horizontal="right" vertical="center"/>
    </xf>
    <xf numFmtId="4" fontId="145" fillId="122" borderId="52" applyNumberFormat="0" applyProtection="0">
      <alignment horizontal="right" vertical="center"/>
    </xf>
    <xf numFmtId="4" fontId="34" fillId="23" borderId="52" applyNumberFormat="0" applyProtection="0">
      <alignment horizontal="right" vertical="center"/>
    </xf>
    <xf numFmtId="4" fontId="34" fillId="23" borderId="52" applyNumberFormat="0" applyProtection="0">
      <alignment horizontal="right" vertical="center"/>
    </xf>
    <xf numFmtId="4" fontId="34" fillId="24" borderId="52" applyNumberFormat="0" applyProtection="0">
      <alignment horizontal="right" vertical="center"/>
    </xf>
    <xf numFmtId="4" fontId="145" fillId="38" borderId="52" applyNumberFormat="0" applyProtection="0">
      <alignment horizontal="right" vertical="center"/>
    </xf>
    <xf numFmtId="4" fontId="145" fillId="38" borderId="52" applyNumberFormat="0" applyProtection="0">
      <alignment horizontal="right" vertical="center"/>
    </xf>
    <xf numFmtId="4" fontId="34" fillId="24" borderId="52" applyNumberFormat="0" applyProtection="0">
      <alignment horizontal="right" vertical="center"/>
    </xf>
    <xf numFmtId="4" fontId="34" fillId="24" borderId="52" applyNumberFormat="0" applyProtection="0">
      <alignment horizontal="right" vertical="center"/>
    </xf>
    <xf numFmtId="4" fontId="34" fillId="25" borderId="52" applyNumberFormat="0" applyProtection="0">
      <alignment horizontal="right" vertical="center"/>
    </xf>
    <xf numFmtId="4" fontId="145" fillId="123" borderId="52" applyNumberFormat="0" applyProtection="0">
      <alignment horizontal="right" vertical="center"/>
    </xf>
    <xf numFmtId="4" fontId="145" fillId="123" borderId="52" applyNumberFormat="0" applyProtection="0">
      <alignment horizontal="right" vertical="center"/>
    </xf>
    <xf numFmtId="4" fontId="34" fillId="25" borderId="52" applyNumberFormat="0" applyProtection="0">
      <alignment horizontal="right" vertical="center"/>
    </xf>
    <xf numFmtId="4" fontId="34" fillId="25" borderId="52" applyNumberFormat="0" applyProtection="0">
      <alignment horizontal="right" vertical="center"/>
    </xf>
    <xf numFmtId="4" fontId="34" fillId="26" borderId="52" applyNumberFormat="0" applyProtection="0">
      <alignment horizontal="right" vertical="center"/>
    </xf>
    <xf numFmtId="4" fontId="145" fillId="124" borderId="52" applyNumberFormat="0" applyProtection="0">
      <alignment horizontal="right" vertical="center"/>
    </xf>
    <xf numFmtId="4" fontId="145" fillId="124" borderId="52" applyNumberFormat="0" applyProtection="0">
      <alignment horizontal="right" vertical="center"/>
    </xf>
    <xf numFmtId="4" fontId="34" fillId="26" borderId="52" applyNumberFormat="0" applyProtection="0">
      <alignment horizontal="right" vertical="center"/>
    </xf>
    <xf numFmtId="4" fontId="34" fillId="26" borderId="52" applyNumberFormat="0" applyProtection="0">
      <alignment horizontal="right" vertical="center"/>
    </xf>
    <xf numFmtId="4" fontId="34" fillId="27" borderId="52" applyNumberFormat="0" applyProtection="0">
      <alignment horizontal="right" vertical="center"/>
    </xf>
    <xf numFmtId="4" fontId="145" fillId="125" borderId="52" applyNumberFormat="0" applyProtection="0">
      <alignment horizontal="right" vertical="center"/>
    </xf>
    <xf numFmtId="4" fontId="145" fillId="125" borderId="52" applyNumberFormat="0" applyProtection="0">
      <alignment horizontal="right" vertical="center"/>
    </xf>
    <xf numFmtId="4" fontId="34" fillId="27" borderId="52" applyNumberFormat="0" applyProtection="0">
      <alignment horizontal="right" vertical="center"/>
    </xf>
    <xf numFmtId="4" fontId="34" fillId="27" borderId="52" applyNumberFormat="0" applyProtection="0">
      <alignment horizontal="right" vertical="center"/>
    </xf>
    <xf numFmtId="4" fontId="34" fillId="18" borderId="52" applyNumberFormat="0" applyProtection="0">
      <alignment horizontal="right" vertical="center"/>
    </xf>
    <xf numFmtId="4" fontId="145" fillId="86" borderId="52" applyNumberFormat="0" applyProtection="0">
      <alignment horizontal="right" vertical="center"/>
    </xf>
    <xf numFmtId="4" fontId="145" fillId="86" borderId="52" applyNumberFormat="0" applyProtection="0">
      <alignment horizontal="right" vertical="center"/>
    </xf>
    <xf numFmtId="4" fontId="34" fillId="18" borderId="52" applyNumberFormat="0" applyProtection="0">
      <alignment horizontal="right" vertical="center"/>
    </xf>
    <xf numFmtId="4" fontId="34" fillId="18" borderId="52" applyNumberFormat="0" applyProtection="0">
      <alignment horizontal="right" vertical="center"/>
    </xf>
    <xf numFmtId="0" fontId="5" fillId="30" borderId="52" applyNumberFormat="0" applyProtection="0">
      <alignment horizontal="left" vertical="center" indent="1"/>
    </xf>
    <xf numFmtId="0" fontId="5" fillId="30" borderId="52" applyNumberFormat="0" applyProtection="0">
      <alignment horizontal="left" vertical="center" indent="1"/>
    </xf>
    <xf numFmtId="0" fontId="5" fillId="30" borderId="52" applyNumberFormat="0" applyProtection="0">
      <alignment horizontal="left" vertical="center" indent="1"/>
    </xf>
    <xf numFmtId="0" fontId="5" fillId="30" borderId="52" applyNumberFormat="0" applyProtection="0">
      <alignment horizontal="left" vertical="center" indent="1"/>
    </xf>
    <xf numFmtId="0" fontId="5" fillId="30" borderId="52" applyNumberFormat="0" applyProtection="0">
      <alignment horizontal="left" vertical="top" indent="1"/>
    </xf>
    <xf numFmtId="0" fontId="118" fillId="30" borderId="52" applyNumberFormat="0" applyProtection="0">
      <alignment horizontal="left" vertical="top" indent="1"/>
    </xf>
    <xf numFmtId="0" fontId="5" fillId="30" borderId="52" applyNumberFormat="0" applyProtection="0">
      <alignment horizontal="left" vertical="top" indent="1"/>
    </xf>
    <xf numFmtId="0" fontId="5" fillId="30" borderId="52" applyNumberFormat="0" applyProtection="0">
      <alignment horizontal="left" vertical="top" indent="1"/>
    </xf>
    <xf numFmtId="0" fontId="5" fillId="18" borderId="52" applyNumberFormat="0" applyProtection="0">
      <alignment horizontal="left" vertical="center" indent="1"/>
    </xf>
    <xf numFmtId="0" fontId="5" fillId="18" borderId="52" applyNumberFormat="0" applyProtection="0">
      <alignment horizontal="left" vertical="center" indent="1"/>
    </xf>
    <xf numFmtId="0" fontId="5" fillId="18" borderId="52" applyNumberFormat="0" applyProtection="0">
      <alignment horizontal="left" vertical="center" indent="1"/>
    </xf>
    <xf numFmtId="0" fontId="5" fillId="18" borderId="52" applyNumberFormat="0" applyProtection="0">
      <alignment horizontal="left" vertical="center" indent="1"/>
    </xf>
    <xf numFmtId="0" fontId="5" fillId="18" borderId="52" applyNumberFormat="0" applyProtection="0">
      <alignment horizontal="left" vertical="top" indent="1"/>
    </xf>
    <xf numFmtId="0" fontId="118" fillId="18" borderId="52" applyNumberFormat="0" applyProtection="0">
      <alignment horizontal="left" vertical="top" indent="1"/>
    </xf>
    <xf numFmtId="0" fontId="5" fillId="18" borderId="52" applyNumberFormat="0" applyProtection="0">
      <alignment horizontal="left" vertical="top" indent="1"/>
    </xf>
    <xf numFmtId="0" fontId="5" fillId="18" borderId="52" applyNumberFormat="0" applyProtection="0">
      <alignment horizontal="left" vertical="top" indent="1"/>
    </xf>
    <xf numFmtId="0" fontId="5" fillId="31" borderId="52" applyNumberFormat="0" applyProtection="0">
      <alignment horizontal="left" vertical="center" indent="1"/>
    </xf>
    <xf numFmtId="0" fontId="5" fillId="31" borderId="52" applyNumberFormat="0" applyProtection="0">
      <alignment horizontal="left" vertical="center" indent="1"/>
    </xf>
    <xf numFmtId="0" fontId="5" fillId="31" borderId="52" applyNumberFormat="0" applyProtection="0">
      <alignment horizontal="left" vertical="center" indent="1"/>
    </xf>
    <xf numFmtId="0" fontId="5" fillId="31" borderId="52" applyNumberFormat="0" applyProtection="0">
      <alignment horizontal="left" vertical="center" indent="1"/>
    </xf>
    <xf numFmtId="0" fontId="5" fillId="31" borderId="52" applyNumberFormat="0" applyProtection="0">
      <alignment horizontal="left" vertical="top" indent="1"/>
    </xf>
    <xf numFmtId="0" fontId="118" fillId="31" borderId="52" applyNumberFormat="0" applyProtection="0">
      <alignment horizontal="left" vertical="top" indent="1"/>
    </xf>
    <xf numFmtId="0" fontId="5" fillId="31" borderId="52" applyNumberFormat="0" applyProtection="0">
      <alignment horizontal="left" vertical="top" indent="1"/>
    </xf>
    <xf numFmtId="0" fontId="5" fillId="31" borderId="52" applyNumberFormat="0" applyProtection="0">
      <alignment horizontal="left" vertical="top" indent="1"/>
    </xf>
    <xf numFmtId="0" fontId="5" fillId="29" borderId="52" applyNumberFormat="0" applyProtection="0">
      <alignment horizontal="left" vertical="center" indent="1"/>
    </xf>
    <xf numFmtId="0" fontId="5" fillId="29" borderId="52" applyNumberFormat="0" applyProtection="0">
      <alignment horizontal="left" vertical="center" indent="1"/>
    </xf>
    <xf numFmtId="0" fontId="5" fillId="29" borderId="52" applyNumberFormat="0" applyProtection="0">
      <alignment horizontal="left" vertical="center" indent="1"/>
    </xf>
    <xf numFmtId="0" fontId="5" fillId="29" borderId="52" applyNumberFormat="0" applyProtection="0">
      <alignment horizontal="left" vertical="center" indent="1"/>
    </xf>
    <xf numFmtId="0" fontId="5" fillId="29" borderId="52" applyNumberFormat="0" applyProtection="0">
      <alignment horizontal="left" vertical="top" indent="1"/>
    </xf>
    <xf numFmtId="0" fontId="118" fillId="29" borderId="52" applyNumberFormat="0" applyProtection="0">
      <alignment horizontal="left" vertical="top" indent="1"/>
    </xf>
    <xf numFmtId="0" fontId="5" fillId="29" borderId="52" applyNumberFormat="0" applyProtection="0">
      <alignment horizontal="left" vertical="top" indent="1"/>
    </xf>
    <xf numFmtId="0" fontId="5" fillId="29" borderId="52" applyNumberFormat="0" applyProtection="0">
      <alignment horizontal="left" vertical="top" indent="1"/>
    </xf>
    <xf numFmtId="4" fontId="34" fillId="33" borderId="52" applyNumberFormat="0" applyProtection="0">
      <alignment vertical="center"/>
    </xf>
    <xf numFmtId="4" fontId="145" fillId="127" borderId="52" applyNumberFormat="0" applyProtection="0">
      <alignment vertical="center"/>
    </xf>
    <xf numFmtId="4" fontId="145" fillId="127" borderId="52" applyNumberFormat="0" applyProtection="0">
      <alignment vertical="center"/>
    </xf>
    <xf numFmtId="4" fontId="34" fillId="33" borderId="52" applyNumberFormat="0" applyProtection="0">
      <alignment vertical="center"/>
    </xf>
    <xf numFmtId="4" fontId="36" fillId="33" borderId="52" applyNumberFormat="0" applyProtection="0">
      <alignment vertical="center"/>
    </xf>
    <xf numFmtId="4" fontId="146" fillId="127" borderId="52" applyNumberFormat="0" applyProtection="0">
      <alignment vertical="center"/>
    </xf>
    <xf numFmtId="4" fontId="146" fillId="127" borderId="52" applyNumberFormat="0" applyProtection="0">
      <alignment vertical="center"/>
    </xf>
    <xf numFmtId="4" fontId="36" fillId="33" borderId="52" applyNumberFormat="0" applyProtection="0">
      <alignment vertical="center"/>
    </xf>
    <xf numFmtId="4" fontId="34" fillId="33" borderId="52" applyNumberFormat="0" applyProtection="0">
      <alignment horizontal="left" vertical="center" indent="1"/>
    </xf>
    <xf numFmtId="4" fontId="35" fillId="86" borderId="59" applyNumberFormat="0" applyProtection="0">
      <alignment horizontal="left" vertical="center" indent="1"/>
    </xf>
    <xf numFmtId="4" fontId="35" fillId="86" borderId="59" applyNumberFormat="0" applyProtection="0">
      <alignment horizontal="left" vertical="center" indent="1"/>
    </xf>
    <xf numFmtId="4" fontId="34" fillId="33" borderId="52" applyNumberFormat="0" applyProtection="0">
      <alignment horizontal="left" vertical="center" indent="1"/>
    </xf>
    <xf numFmtId="0" fontId="34" fillId="33" borderId="52" applyNumberFormat="0" applyProtection="0">
      <alignment horizontal="left" vertical="top" indent="1"/>
    </xf>
    <xf numFmtId="4" fontId="34" fillId="29" borderId="52" applyNumberFormat="0" applyProtection="0">
      <alignment horizontal="right" vertical="center"/>
    </xf>
    <xf numFmtId="4" fontId="145" fillId="127" borderId="52" applyNumberFormat="0" applyProtection="0">
      <alignment horizontal="right" vertical="center"/>
    </xf>
    <xf numFmtId="4" fontId="145" fillId="127" borderId="52" applyNumberFormat="0" applyProtection="0">
      <alignment horizontal="right" vertical="center"/>
    </xf>
    <xf numFmtId="4" fontId="34" fillId="29" borderId="52" applyNumberFormat="0" applyProtection="0">
      <alignment horizontal="right" vertical="center"/>
    </xf>
    <xf numFmtId="4" fontId="34" fillId="29" borderId="52" applyNumberFormat="0" applyProtection="0">
      <alignment horizontal="right" vertical="center"/>
    </xf>
    <xf numFmtId="4" fontId="36" fillId="29" borderId="52" applyNumberFormat="0" applyProtection="0">
      <alignment horizontal="right" vertical="center"/>
    </xf>
    <xf numFmtId="4" fontId="146" fillId="127" borderId="52" applyNumberFormat="0" applyProtection="0">
      <alignment horizontal="right" vertical="center"/>
    </xf>
    <xf numFmtId="4" fontId="146" fillId="127" borderId="52" applyNumberFormat="0" applyProtection="0">
      <alignment horizontal="right" vertical="center"/>
    </xf>
    <xf numFmtId="4" fontId="36" fillId="29" borderId="52" applyNumberFormat="0" applyProtection="0">
      <alignment horizontal="right" vertical="center"/>
    </xf>
    <xf numFmtId="4" fontId="118" fillId="89" borderId="56" applyNumberFormat="0" applyProtection="0">
      <alignment horizontal="left" vertical="center" indent="1"/>
    </xf>
    <xf numFmtId="4" fontId="118" fillId="89" borderId="56" applyNumberFormat="0" applyProtection="0">
      <alignment horizontal="left" vertical="center" indent="1"/>
    </xf>
    <xf numFmtId="4" fontId="35" fillId="86" borderId="52" applyNumberFormat="0" applyProtection="0">
      <alignment horizontal="left" vertical="center" indent="1"/>
    </xf>
    <xf numFmtId="4" fontId="118" fillId="89" borderId="56" applyNumberFormat="0" applyProtection="0">
      <alignment horizontal="left" vertical="center" indent="1"/>
    </xf>
    <xf numFmtId="4" fontId="118" fillId="89" borderId="56" applyNumberFormat="0" applyProtection="0">
      <alignment horizontal="left" vertical="center" indent="1"/>
    </xf>
    <xf numFmtId="4" fontId="34" fillId="18" borderId="52" applyNumberFormat="0" applyProtection="0">
      <alignment horizontal="left" vertical="center" indent="1"/>
    </xf>
    <xf numFmtId="4" fontId="35" fillId="86" borderId="52" applyNumberFormat="0" applyProtection="0">
      <alignment horizontal="left" vertical="center" indent="1"/>
    </xf>
    <xf numFmtId="0" fontId="34" fillId="18" borderId="52" applyNumberFormat="0" applyProtection="0">
      <alignment horizontal="left" vertical="top" indent="1"/>
    </xf>
    <xf numFmtId="4" fontId="37" fillId="87" borderId="59" applyNumberFormat="0" applyProtection="0">
      <alignment horizontal="left" vertical="center" indent="1"/>
    </xf>
    <xf numFmtId="4" fontId="37" fillId="87" borderId="59" applyNumberFormat="0" applyProtection="0">
      <alignment horizontal="left" vertical="center" indent="1"/>
    </xf>
    <xf numFmtId="4" fontId="38" fillId="29" borderId="52" applyNumberFormat="0" applyProtection="0">
      <alignment horizontal="right" vertical="center"/>
    </xf>
    <xf numFmtId="4" fontId="147" fillId="127" borderId="52" applyNumberFormat="0" applyProtection="0">
      <alignment horizontal="right" vertical="center"/>
    </xf>
    <xf numFmtId="4" fontId="147" fillId="127" borderId="52" applyNumberFormat="0" applyProtection="0">
      <alignment horizontal="right" vertical="center"/>
    </xf>
    <xf numFmtId="4" fontId="38" fillId="29" borderId="52" applyNumberFormat="0" applyProtection="0">
      <alignment horizontal="right" vertical="center"/>
    </xf>
    <xf numFmtId="0" fontId="28" fillId="0" borderId="60" applyNumberFormat="0" applyFill="0" applyAlignment="0" applyProtection="0"/>
    <xf numFmtId="0" fontId="28" fillId="0" borderId="60" applyNumberFormat="0" applyFill="0" applyAlignment="0" applyProtection="0"/>
    <xf numFmtId="4" fontId="118" fillId="17" borderId="56" applyNumberFormat="0" applyProtection="0">
      <alignment vertical="center"/>
    </xf>
    <xf numFmtId="4" fontId="118" fillId="104" borderId="56" applyNumberFormat="0" applyProtection="0">
      <alignment horizontal="left" vertical="center" indent="1"/>
    </xf>
    <xf numFmtId="4" fontId="118" fillId="89" borderId="56" applyNumberFormat="0" applyProtection="0">
      <alignment horizontal="left" vertical="center" indent="1"/>
    </xf>
    <xf numFmtId="4" fontId="118" fillId="19" borderId="56" applyNumberFormat="0" applyProtection="0">
      <alignment horizontal="right" vertical="center"/>
    </xf>
    <xf numFmtId="4" fontId="118" fillId="105" borderId="56" applyNumberFormat="0" applyProtection="0">
      <alignment horizontal="right" vertical="center"/>
    </xf>
    <xf numFmtId="4" fontId="118" fillId="21" borderId="57" applyNumberFormat="0" applyProtection="0">
      <alignment horizontal="right" vertical="center"/>
    </xf>
    <xf numFmtId="4" fontId="118" fillId="22" borderId="56" applyNumberFormat="0" applyProtection="0">
      <alignment horizontal="right" vertical="center"/>
    </xf>
    <xf numFmtId="4" fontId="118" fillId="23" borderId="56" applyNumberFormat="0" applyProtection="0">
      <alignment horizontal="right" vertical="center"/>
    </xf>
    <xf numFmtId="4" fontId="118" fillId="24" borderId="56" applyNumberFormat="0" applyProtection="0">
      <alignment horizontal="right" vertical="center"/>
    </xf>
    <xf numFmtId="4" fontId="118" fillId="25" borderId="56" applyNumberFormat="0" applyProtection="0">
      <alignment horizontal="right" vertical="center"/>
    </xf>
    <xf numFmtId="4" fontId="118" fillId="26" borderId="56" applyNumberFormat="0" applyProtection="0">
      <alignment horizontal="right" vertical="center"/>
    </xf>
    <xf numFmtId="4" fontId="118" fillId="27" borderId="56" applyNumberFormat="0" applyProtection="0">
      <alignment horizontal="right" vertical="center"/>
    </xf>
    <xf numFmtId="4" fontId="118" fillId="28" borderId="57" applyNumberFormat="0" applyProtection="0">
      <alignment horizontal="left" vertical="center" indent="1"/>
    </xf>
    <xf numFmtId="4" fontId="118" fillId="18" borderId="56" applyNumberFormat="0" applyProtection="0">
      <alignment horizontal="right" vertical="center"/>
    </xf>
    <xf numFmtId="4" fontId="118" fillId="29" borderId="57" applyNumberFormat="0" applyProtection="0">
      <alignment horizontal="left" vertical="center" indent="1"/>
    </xf>
    <xf numFmtId="4" fontId="118" fillId="18" borderId="57" applyNumberFormat="0" applyProtection="0">
      <alignment horizontal="left" vertical="center" indent="1"/>
    </xf>
    <xf numFmtId="0" fontId="118" fillId="77" borderId="56" applyNumberFormat="0" applyProtection="0">
      <alignment horizontal="left" vertical="center" indent="1"/>
    </xf>
    <xf numFmtId="0" fontId="118" fillId="106" borderId="56" applyNumberFormat="0" applyProtection="0">
      <alignment horizontal="left" vertical="center" indent="1"/>
    </xf>
    <xf numFmtId="0" fontId="118" fillId="31" borderId="56" applyNumberFormat="0" applyProtection="0">
      <alignment horizontal="left" vertical="center" indent="1"/>
    </xf>
    <xf numFmtId="0" fontId="118" fillId="29" borderId="56" applyNumberFormat="0" applyProtection="0">
      <alignment horizontal="left" vertical="center" indent="1"/>
    </xf>
    <xf numFmtId="4" fontId="118" fillId="0" borderId="56" applyNumberFormat="0" applyProtection="0">
      <alignment horizontal="right" vertical="center"/>
    </xf>
    <xf numFmtId="4" fontId="34" fillId="18" borderId="52" applyNumberFormat="0" applyProtection="0">
      <alignment horizontal="left" vertical="center" indent="1"/>
    </xf>
    <xf numFmtId="0" fontId="32" fillId="17" borderId="52" applyNumberFormat="0" applyProtection="0">
      <alignment horizontal="left" vertical="top" indent="1"/>
    </xf>
    <xf numFmtId="4" fontId="118" fillId="89" borderId="56" applyNumberFormat="0" applyProtection="0">
      <alignment horizontal="left" vertical="center" indent="1"/>
    </xf>
    <xf numFmtId="4" fontId="38" fillId="29" borderId="52" applyNumberFormat="0" applyProtection="0">
      <alignment horizontal="right" vertical="center"/>
    </xf>
    <xf numFmtId="4" fontId="5" fillId="30" borderId="57" applyNumberFormat="0" applyProtection="0">
      <alignment horizontal="left" vertical="center" indent="1"/>
    </xf>
    <xf numFmtId="4" fontId="5" fillId="30" borderId="57" applyNumberFormat="0" applyProtection="0">
      <alignment horizontal="left" vertical="center" indent="1"/>
    </xf>
    <xf numFmtId="0" fontId="2" fillId="0" borderId="0"/>
    <xf numFmtId="167" fontId="2" fillId="0" borderId="0" applyFont="0" applyFill="0" applyBorder="0" applyAlignment="0" applyProtection="0"/>
    <xf numFmtId="201" fontId="1" fillId="0" borderId="0" applyFont="0" applyFill="0" applyBorder="0" applyAlignment="0" applyProtection="0"/>
    <xf numFmtId="167" fontId="56" fillId="0" borderId="0" applyFont="0" applyFill="0" applyBorder="0" applyAlignment="0" applyProtection="0"/>
  </cellStyleXfs>
  <cellXfs count="651">
    <xf numFmtId="0" fontId="0" fillId="0" borderId="0" xfId="0"/>
    <xf numFmtId="0" fontId="14" fillId="0" borderId="0" xfId="0" applyFont="1"/>
    <xf numFmtId="0" fontId="10" fillId="0" borderId="0" xfId="0" applyFont="1"/>
    <xf numFmtId="0" fontId="22" fillId="0" borderId="0" xfId="0" applyFont="1"/>
    <xf numFmtId="0" fontId="12" fillId="0" borderId="0" xfId="31" applyFont="1" applyBorder="1" applyProtection="1"/>
    <xf numFmtId="0" fontId="12" fillId="0" borderId="0" xfId="31" applyFont="1" applyBorder="1" applyAlignment="1" applyProtection="1">
      <alignment horizontal="center"/>
    </xf>
    <xf numFmtId="172" fontId="12" fillId="0" borderId="0" xfId="31" applyNumberFormat="1" applyFont="1" applyFill="1" applyBorder="1" applyAlignment="1" applyProtection="1">
      <alignment horizontal="right"/>
    </xf>
    <xf numFmtId="0" fontId="11" fillId="0" borderId="0" xfId="31" applyFont="1" applyBorder="1" applyProtection="1"/>
    <xf numFmtId="0" fontId="12" fillId="0" borderId="0" xfId="31" applyFont="1" applyBorder="1" applyProtection="1">
      <protection locked="0"/>
    </xf>
    <xf numFmtId="0" fontId="12" fillId="0" borderId="0" xfId="31" applyFont="1" applyFill="1" applyBorder="1" applyProtection="1"/>
    <xf numFmtId="0" fontId="12" fillId="0" borderId="0" xfId="31" applyFont="1" applyFill="1" applyBorder="1" applyAlignment="1" applyProtection="1">
      <alignment horizontal="center"/>
    </xf>
    <xf numFmtId="0" fontId="43" fillId="36" borderId="0" xfId="0" applyFont="1" applyFill="1" applyProtection="1"/>
    <xf numFmtId="0" fontId="31" fillId="36" borderId="0" xfId="0" applyFont="1" applyFill="1" applyProtection="1"/>
    <xf numFmtId="0" fontId="44" fillId="36" borderId="0" xfId="0" applyFont="1" applyFill="1" applyProtection="1"/>
    <xf numFmtId="0" fontId="31" fillId="36" borderId="0" xfId="0" applyFont="1" applyFill="1" applyAlignment="1" applyProtection="1">
      <alignment horizontal="center"/>
    </xf>
    <xf numFmtId="0" fontId="45" fillId="36" borderId="0" xfId="0" applyFont="1" applyFill="1" applyProtection="1"/>
    <xf numFmtId="0" fontId="31" fillId="0" borderId="0" xfId="0" applyFont="1" applyProtection="1"/>
    <xf numFmtId="0" fontId="31" fillId="36" borderId="0" xfId="0" applyFont="1" applyFill="1" applyBorder="1" applyProtection="1"/>
    <xf numFmtId="0" fontId="46" fillId="36" borderId="0" xfId="0" applyFont="1" applyFill="1" applyBorder="1" applyProtection="1"/>
    <xf numFmtId="0" fontId="46" fillId="36" borderId="0" xfId="0" applyFont="1" applyFill="1" applyBorder="1" applyAlignment="1" applyProtection="1">
      <alignment horizontal="center"/>
    </xf>
    <xf numFmtId="17" fontId="46" fillId="36" borderId="0" xfId="0" quotePrefix="1" applyNumberFormat="1" applyFont="1" applyFill="1" applyBorder="1" applyProtection="1"/>
    <xf numFmtId="0" fontId="31" fillId="36" borderId="0" xfId="0" applyFont="1" applyFill="1" applyBorder="1" applyAlignment="1" applyProtection="1">
      <alignment vertical="center" wrapText="1"/>
    </xf>
    <xf numFmtId="0" fontId="31" fillId="36" borderId="0" xfId="0" applyFont="1" applyFill="1" applyBorder="1" applyAlignment="1" applyProtection="1">
      <alignment horizontal="center"/>
    </xf>
    <xf numFmtId="0" fontId="31" fillId="36" borderId="0" xfId="0" applyFont="1" applyFill="1" applyAlignment="1" applyProtection="1">
      <alignment wrapText="1"/>
    </xf>
    <xf numFmtId="173" fontId="31" fillId="35" borderId="1" xfId="73" applyNumberFormat="1" applyFont="1" applyFill="1" applyBorder="1" applyAlignment="1" applyProtection="1">
      <alignment horizontal="center" vertical="center"/>
    </xf>
    <xf numFmtId="173" fontId="31" fillId="37" borderId="1" xfId="74" applyNumberFormat="1" applyFont="1" applyFill="1" applyBorder="1" applyAlignment="1" applyProtection="1">
      <alignment horizontal="center" vertical="center"/>
    </xf>
    <xf numFmtId="173" fontId="31" fillId="38" borderId="1" xfId="0" applyNumberFormat="1" applyFont="1" applyFill="1" applyBorder="1" applyAlignment="1" applyProtection="1">
      <alignment horizontal="center"/>
    </xf>
    <xf numFmtId="0" fontId="31" fillId="0" borderId="0" xfId="0" applyFont="1" applyAlignment="1" applyProtection="1">
      <alignment horizontal="center"/>
    </xf>
    <xf numFmtId="0" fontId="43" fillId="36" borderId="0" xfId="0" applyFont="1" applyFill="1"/>
    <xf numFmtId="0" fontId="31" fillId="36" borderId="0" xfId="0" applyFont="1" applyFill="1"/>
    <xf numFmtId="0" fontId="44" fillId="36" borderId="0" xfId="0" applyFont="1" applyFill="1"/>
    <xf numFmtId="0" fontId="31" fillId="36" borderId="0" xfId="0" applyFont="1" applyFill="1" applyAlignment="1">
      <alignment horizontal="center"/>
    </xf>
    <xf numFmtId="0" fontId="0" fillId="36" borderId="0" xfId="0" applyFont="1" applyFill="1"/>
    <xf numFmtId="0" fontId="0" fillId="36" borderId="0" xfId="0" applyFont="1" applyFill="1" applyAlignment="1">
      <alignment horizontal="center"/>
    </xf>
    <xf numFmtId="0" fontId="0" fillId="0" borderId="0" xfId="0" applyFont="1"/>
    <xf numFmtId="0" fontId="0" fillId="0" borderId="0" xfId="0" applyFont="1" applyAlignment="1">
      <alignment horizontal="center"/>
    </xf>
    <xf numFmtId="0" fontId="43" fillId="36" borderId="0" xfId="0" applyFont="1" applyFill="1" applyAlignment="1">
      <alignment horizontal="center"/>
    </xf>
    <xf numFmtId="173" fontId="31" fillId="36" borderId="0" xfId="0" applyNumberFormat="1" applyFont="1" applyFill="1" applyBorder="1" applyAlignment="1" applyProtection="1">
      <alignment horizontal="center"/>
    </xf>
    <xf numFmtId="0" fontId="43" fillId="36" borderId="0" xfId="0" applyFont="1" applyFill="1" applyAlignment="1">
      <alignment vertical="top"/>
    </xf>
    <xf numFmtId="0" fontId="31" fillId="36" borderId="0" xfId="0" applyFont="1" applyFill="1" applyAlignment="1" applyProtection="1">
      <alignment vertical="top"/>
    </xf>
    <xf numFmtId="0" fontId="31" fillId="36" borderId="0" xfId="0" applyFont="1" applyFill="1" applyAlignment="1" applyProtection="1">
      <alignment horizontal="center" vertical="top"/>
    </xf>
    <xf numFmtId="0" fontId="45" fillId="36" borderId="0" xfId="0" applyFont="1" applyFill="1" applyAlignment="1" applyProtection="1">
      <alignment vertical="top"/>
    </xf>
    <xf numFmtId="0" fontId="22" fillId="36" borderId="0" xfId="0" applyFont="1" applyFill="1" applyAlignment="1" applyProtection="1">
      <alignment horizontal="center" vertical="top"/>
    </xf>
    <xf numFmtId="0" fontId="48" fillId="36" borderId="0" xfId="0" applyFont="1" applyFill="1" applyAlignment="1" applyProtection="1">
      <alignment vertical="top"/>
    </xf>
    <xf numFmtId="0" fontId="0" fillId="36" borderId="0" xfId="0" applyFont="1" applyFill="1" applyAlignment="1" applyProtection="1">
      <alignment vertical="top"/>
    </xf>
    <xf numFmtId="0" fontId="31" fillId="36" borderId="0" xfId="0" applyFont="1" applyFill="1" applyAlignment="1" applyProtection="1">
      <alignment vertical="top" wrapText="1"/>
    </xf>
    <xf numFmtId="0" fontId="31" fillId="39" borderId="0" xfId="0" applyFont="1" applyFill="1" applyAlignment="1" applyProtection="1">
      <alignment vertical="top" wrapText="1"/>
    </xf>
    <xf numFmtId="0" fontId="31" fillId="0" borderId="0" xfId="0" applyFont="1" applyAlignment="1" applyProtection="1">
      <alignment vertical="top" wrapText="1"/>
    </xf>
    <xf numFmtId="0" fontId="7" fillId="36" borderId="0" xfId="0" applyFont="1" applyFill="1" applyAlignment="1" applyProtection="1">
      <alignment vertical="top"/>
    </xf>
    <xf numFmtId="0" fontId="7" fillId="36" borderId="0" xfId="0" applyFont="1" applyFill="1" applyAlignment="1" applyProtection="1">
      <alignment horizontal="center" vertical="top"/>
    </xf>
    <xf numFmtId="0" fontId="0" fillId="36" borderId="0" xfId="0" applyFont="1" applyFill="1" applyAlignment="1" applyProtection="1">
      <alignment horizontal="center" vertical="top"/>
    </xf>
    <xf numFmtId="0" fontId="50" fillId="36" borderId="0" xfId="0" applyFont="1" applyFill="1" applyAlignment="1" applyProtection="1">
      <alignment vertical="top"/>
    </xf>
    <xf numFmtId="0" fontId="31" fillId="36" borderId="0" xfId="0" applyFont="1" applyFill="1" applyAlignment="1" applyProtection="1">
      <alignment vertical="center" wrapText="1"/>
    </xf>
    <xf numFmtId="0" fontId="22" fillId="36" borderId="0" xfId="0" applyFont="1" applyFill="1" applyBorder="1" applyAlignment="1" applyProtection="1">
      <alignment horizontal="center" vertical="center" wrapText="1"/>
    </xf>
    <xf numFmtId="0" fontId="48" fillId="36" borderId="0" xfId="0" applyFont="1" applyFill="1" applyAlignment="1" applyProtection="1">
      <alignment vertical="center" wrapText="1"/>
    </xf>
    <xf numFmtId="0" fontId="22" fillId="36" borderId="0" xfId="0" applyFont="1" applyFill="1" applyAlignment="1" applyProtection="1">
      <alignment vertical="center" wrapText="1"/>
    </xf>
    <xf numFmtId="174" fontId="31" fillId="37" borderId="1" xfId="74" applyNumberFormat="1" applyFont="1" applyFill="1" applyBorder="1" applyAlignment="1" applyProtection="1">
      <alignment horizontal="center" vertical="center"/>
      <protection locked="0"/>
    </xf>
    <xf numFmtId="0" fontId="31" fillId="0" borderId="0" xfId="0" applyFont="1" applyAlignment="1" applyProtection="1">
      <alignment vertical="center" wrapText="1"/>
    </xf>
    <xf numFmtId="0" fontId="31" fillId="0" borderId="0" xfId="0" applyFont="1" applyAlignment="1" applyProtection="1">
      <alignment horizontal="center" vertical="center" wrapText="1"/>
    </xf>
    <xf numFmtId="0" fontId="52" fillId="36" borderId="0" xfId="0" applyFont="1" applyFill="1"/>
    <xf numFmtId="0" fontId="31" fillId="0" borderId="0" xfId="0" applyFont="1"/>
    <xf numFmtId="0" fontId="54" fillId="0" borderId="0" xfId="0" applyFont="1"/>
    <xf numFmtId="0" fontId="4" fillId="36" borderId="0" xfId="0" applyFont="1" applyFill="1" applyAlignment="1" applyProtection="1">
      <alignment vertical="top"/>
    </xf>
    <xf numFmtId="0" fontId="55" fillId="36" borderId="0" xfId="0" applyFont="1" applyFill="1" applyAlignment="1" applyProtection="1">
      <alignment vertical="top"/>
    </xf>
    <xf numFmtId="0" fontId="10" fillId="36" borderId="0" xfId="0" applyFont="1" applyFill="1" applyAlignment="1" applyProtection="1">
      <alignment vertical="top"/>
    </xf>
    <xf numFmtId="0" fontId="0" fillId="36" borderId="0" xfId="0" applyFill="1" applyAlignment="1" applyProtection="1">
      <alignment vertical="top"/>
    </xf>
    <xf numFmtId="173" fontId="57" fillId="40" borderId="1" xfId="0" applyNumberFormat="1" applyFont="1" applyFill="1" applyBorder="1" applyAlignment="1" applyProtection="1">
      <alignment horizontal="center"/>
    </xf>
    <xf numFmtId="176" fontId="31" fillId="41" borderId="1" xfId="76" applyNumberFormat="1" applyFont="1" applyFill="1" applyBorder="1" applyAlignment="1" applyProtection="1">
      <alignment horizontal="center" vertical="center"/>
    </xf>
    <xf numFmtId="0" fontId="10" fillId="36" borderId="0" xfId="0" applyFont="1" applyFill="1" applyAlignment="1" applyProtection="1">
      <alignment vertical="center" wrapText="1"/>
    </xf>
    <xf numFmtId="174" fontId="31" fillId="0" borderId="0" xfId="74" applyNumberFormat="1" applyFont="1" applyFill="1" applyBorder="1" applyAlignment="1" applyProtection="1">
      <alignment horizontal="center" vertical="center"/>
      <protection locked="0"/>
    </xf>
    <xf numFmtId="174" fontId="10" fillId="0" borderId="0" xfId="74" applyNumberFormat="1" applyFont="1" applyFill="1" applyBorder="1" applyAlignment="1" applyProtection="1">
      <alignment horizontal="center" vertical="center"/>
      <protection locked="0"/>
    </xf>
    <xf numFmtId="173" fontId="31" fillId="35" borderId="1" xfId="73" applyNumberFormat="1" applyFont="1" applyFill="1" applyBorder="1" applyAlignment="1" applyProtection="1">
      <alignment horizontal="right" vertical="center"/>
    </xf>
    <xf numFmtId="180" fontId="31" fillId="37" borderId="1" xfId="74" applyNumberFormat="1" applyFont="1" applyFill="1" applyBorder="1" applyAlignment="1" applyProtection="1">
      <alignment horizontal="center" vertical="center"/>
      <protection locked="0"/>
    </xf>
    <xf numFmtId="173" fontId="22" fillId="35" borderId="1" xfId="73" applyNumberFormat="1" applyFont="1" applyFill="1" applyBorder="1" applyAlignment="1" applyProtection="1">
      <alignment horizontal="center" vertical="center"/>
    </xf>
    <xf numFmtId="182" fontId="22" fillId="35" borderId="1" xfId="73" applyNumberFormat="1" applyFont="1" applyFill="1" applyBorder="1" applyAlignment="1" applyProtection="1">
      <alignment horizontal="center" vertical="center"/>
    </xf>
    <xf numFmtId="174" fontId="68" fillId="37" borderId="1" xfId="74" applyNumberFormat="1" applyFont="1" applyFill="1" applyBorder="1" applyAlignment="1" applyProtection="1">
      <alignment horizontal="center" vertical="center"/>
      <protection locked="0"/>
    </xf>
    <xf numFmtId="0" fontId="68" fillId="36" borderId="0" xfId="0" applyFont="1" applyFill="1" applyAlignment="1" applyProtection="1">
      <alignment vertical="center" wrapText="1"/>
    </xf>
    <xf numFmtId="0" fontId="68" fillId="0" borderId="0" xfId="0" applyFont="1"/>
    <xf numFmtId="176" fontId="31" fillId="43" borderId="0" xfId="76" applyNumberFormat="1" applyFont="1" applyFill="1" applyBorder="1" applyAlignment="1" applyProtection="1">
      <alignment horizontal="center" vertical="top"/>
    </xf>
    <xf numFmtId="0" fontId="10" fillId="43" borderId="0" xfId="0" applyFont="1" applyFill="1" applyAlignment="1" applyProtection="1">
      <alignment vertical="top"/>
    </xf>
    <xf numFmtId="0" fontId="31" fillId="36" borderId="0" xfId="0" applyFont="1" applyFill="1" applyAlignment="1" applyProtection="1">
      <alignment vertical="center" wrapText="1"/>
    </xf>
    <xf numFmtId="0" fontId="68" fillId="43" borderId="0" xfId="0" applyFont="1" applyFill="1" applyAlignment="1" applyProtection="1">
      <alignment vertical="top"/>
    </xf>
    <xf numFmtId="0" fontId="68" fillId="43" borderId="0" xfId="0" applyFont="1" applyFill="1" applyAlignment="1" applyProtection="1">
      <alignment vertical="center" wrapText="1"/>
    </xf>
    <xf numFmtId="0" fontId="68" fillId="43" borderId="0" xfId="0" applyFont="1" applyFill="1" applyAlignment="1" applyProtection="1">
      <alignment horizontal="center" vertical="center" wrapText="1"/>
    </xf>
    <xf numFmtId="0" fontId="10" fillId="43" borderId="0" xfId="0" applyFont="1" applyFill="1" applyAlignment="1" applyProtection="1">
      <alignment vertical="center" wrapText="1"/>
    </xf>
    <xf numFmtId="0" fontId="0" fillId="43" borderId="0" xfId="0" applyFont="1" applyFill="1" applyAlignment="1" applyProtection="1">
      <alignment vertical="top"/>
    </xf>
    <xf numFmtId="174" fontId="31" fillId="43" borderId="0" xfId="74" applyNumberFormat="1" applyFont="1" applyFill="1" applyBorder="1" applyAlignment="1" applyProtection="1">
      <alignment horizontal="center" vertical="center"/>
      <protection locked="0"/>
    </xf>
    <xf numFmtId="183" fontId="31" fillId="37" borderId="1" xfId="74" applyNumberFormat="1" applyFont="1" applyFill="1" applyBorder="1" applyAlignment="1" applyProtection="1">
      <alignment horizontal="center" vertical="center"/>
      <protection locked="0"/>
    </xf>
    <xf numFmtId="0" fontId="0" fillId="43" borderId="0" xfId="0" applyFill="1"/>
    <xf numFmtId="0" fontId="69" fillId="0" borderId="0" xfId="0" applyFont="1"/>
    <xf numFmtId="0" fontId="22" fillId="36" borderId="0" xfId="0" applyFont="1" applyFill="1" applyAlignment="1" applyProtection="1">
      <alignment vertical="top"/>
    </xf>
    <xf numFmtId="0" fontId="31" fillId="43" borderId="0" xfId="0" applyFont="1" applyFill="1" applyAlignment="1" applyProtection="1">
      <alignment horizontal="center" vertical="center" wrapText="1"/>
    </xf>
    <xf numFmtId="0" fontId="0" fillId="43" borderId="0" xfId="0" applyFill="1" applyAlignment="1" applyProtection="1">
      <alignment vertical="top"/>
    </xf>
    <xf numFmtId="174" fontId="31" fillId="44" borderId="1" xfId="74" applyNumberFormat="1" applyFont="1" applyFill="1" applyBorder="1" applyAlignment="1" applyProtection="1">
      <alignment horizontal="center" vertical="center"/>
      <protection locked="0"/>
    </xf>
    <xf numFmtId="10" fontId="31" fillId="44" borderId="1" xfId="76" applyNumberFormat="1" applyFont="1" applyFill="1" applyBorder="1" applyAlignment="1" applyProtection="1">
      <alignment horizontal="center" vertical="center"/>
      <protection locked="0"/>
    </xf>
    <xf numFmtId="175" fontId="31" fillId="44" borderId="1" xfId="0" applyNumberFormat="1" applyFont="1" applyFill="1" applyBorder="1" applyAlignment="1" applyProtection="1">
      <alignment horizontal="center" vertical="top"/>
    </xf>
    <xf numFmtId="178" fontId="31" fillId="44" borderId="1" xfId="0" applyNumberFormat="1" applyFont="1" applyFill="1" applyBorder="1" applyAlignment="1" applyProtection="1">
      <alignment horizontal="center" vertical="top"/>
    </xf>
    <xf numFmtId="176" fontId="31" fillId="44" borderId="1" xfId="76" applyNumberFormat="1" applyFont="1" applyFill="1" applyBorder="1" applyAlignment="1" applyProtection="1">
      <alignment horizontal="center" vertical="top"/>
    </xf>
    <xf numFmtId="10" fontId="31" fillId="44" borderId="1" xfId="76" applyNumberFormat="1" applyFont="1" applyFill="1" applyBorder="1" applyAlignment="1" applyProtection="1">
      <alignment horizontal="center" vertical="top"/>
    </xf>
    <xf numFmtId="180" fontId="31" fillId="44" borderId="1" xfId="74" applyNumberFormat="1" applyFont="1" applyFill="1" applyBorder="1" applyAlignment="1" applyProtection="1">
      <alignment horizontal="center" vertical="center"/>
      <protection locked="0"/>
    </xf>
    <xf numFmtId="173" fontId="31" fillId="44" borderId="1" xfId="0" applyNumberFormat="1" applyFont="1" applyFill="1" applyBorder="1" applyAlignment="1" applyProtection="1">
      <alignment horizontal="center"/>
    </xf>
    <xf numFmtId="0" fontId="14" fillId="0" borderId="0" xfId="0" applyFont="1" applyAlignment="1">
      <alignment horizontal="center"/>
    </xf>
    <xf numFmtId="0" fontId="73" fillId="0" borderId="0" xfId="0" applyFont="1" applyAlignment="1">
      <alignment horizontal="left"/>
    </xf>
    <xf numFmtId="0" fontId="69" fillId="0" borderId="0" xfId="0" applyFont="1" applyAlignment="1">
      <alignment horizontal="center"/>
    </xf>
    <xf numFmtId="0" fontId="31" fillId="36" borderId="0" xfId="0" applyFont="1" applyFill="1" applyAlignment="1" applyProtection="1">
      <alignment vertical="center" wrapText="1"/>
    </xf>
    <xf numFmtId="14" fontId="31" fillId="38" borderId="1" xfId="0" applyNumberFormat="1" applyFont="1" applyFill="1" applyBorder="1" applyAlignment="1" applyProtection="1">
      <alignment horizontal="center"/>
    </xf>
    <xf numFmtId="183" fontId="31" fillId="44" borderId="1" xfId="0" applyNumberFormat="1" applyFont="1" applyFill="1" applyBorder="1" applyAlignment="1" applyProtection="1">
      <alignment horizontal="center" vertical="top"/>
    </xf>
    <xf numFmtId="0" fontId="14" fillId="44" borderId="1" xfId="0" applyFont="1" applyFill="1" applyBorder="1"/>
    <xf numFmtId="176" fontId="14" fillId="44" borderId="1" xfId="32" applyNumberFormat="1" applyFont="1" applyFill="1" applyBorder="1"/>
    <xf numFmtId="185" fontId="31" fillId="44" borderId="1" xfId="0" applyNumberFormat="1" applyFont="1" applyFill="1" applyBorder="1" applyAlignment="1" applyProtection="1">
      <alignment horizontal="center" vertical="top"/>
    </xf>
    <xf numFmtId="172" fontId="31" fillId="44" borderId="1" xfId="76" applyNumberFormat="1" applyFont="1" applyFill="1" applyBorder="1" applyAlignment="1" applyProtection="1">
      <alignment horizontal="center" vertical="top"/>
    </xf>
    <xf numFmtId="167" fontId="31" fillId="44" borderId="1" xfId="0" applyNumberFormat="1" applyFont="1" applyFill="1" applyBorder="1"/>
    <xf numFmtId="167" fontId="31" fillId="43" borderId="0" xfId="0" applyNumberFormat="1" applyFont="1" applyFill="1" applyBorder="1"/>
    <xf numFmtId="0" fontId="65" fillId="0" borderId="0" xfId="0" applyFont="1"/>
    <xf numFmtId="0" fontId="14" fillId="0" borderId="0" xfId="0" applyFont="1" applyAlignment="1">
      <alignment horizontal="left"/>
    </xf>
    <xf numFmtId="0" fontId="74" fillId="0" borderId="0" xfId="0" applyFont="1" applyAlignment="1">
      <alignment horizontal="center"/>
    </xf>
    <xf numFmtId="0" fontId="31" fillId="43" borderId="0" xfId="0" applyFont="1" applyFill="1" applyAlignment="1" applyProtection="1">
      <alignment vertical="top"/>
    </xf>
    <xf numFmtId="0" fontId="11" fillId="0" borderId="0" xfId="31" applyFont="1" applyBorder="1" applyAlignment="1" applyProtection="1">
      <alignment horizontal="right"/>
    </xf>
    <xf numFmtId="0" fontId="43" fillId="36" borderId="0" xfId="0" applyFont="1" applyFill="1" applyAlignment="1" applyProtection="1">
      <alignment vertical="center"/>
      <protection locked="0"/>
    </xf>
    <xf numFmtId="0" fontId="51" fillId="36" borderId="0" xfId="0" applyFont="1" applyFill="1" applyBorder="1" applyAlignment="1" applyProtection="1">
      <alignment horizontal="left" vertical="center"/>
      <protection locked="0"/>
    </xf>
    <xf numFmtId="0" fontId="31" fillId="36" borderId="0" xfId="0" applyFont="1" applyFill="1" applyAlignment="1" applyProtection="1">
      <alignment horizontal="center" vertical="center" wrapText="1"/>
      <protection locked="0"/>
    </xf>
    <xf numFmtId="0" fontId="31" fillId="36" borderId="0" xfId="0" applyFont="1" applyFill="1" applyAlignment="1" applyProtection="1">
      <alignment vertical="center" wrapText="1"/>
      <protection locked="0"/>
    </xf>
    <xf numFmtId="0" fontId="22" fillId="36" borderId="0" xfId="0" applyFont="1" applyFill="1" applyAlignment="1" applyProtection="1">
      <alignment vertical="center" wrapText="1"/>
      <protection locked="0"/>
    </xf>
    <xf numFmtId="0" fontId="7" fillId="36" borderId="0" xfId="0" applyFont="1" applyFill="1" applyAlignment="1" applyProtection="1">
      <alignment vertical="center" wrapText="1"/>
      <protection locked="0"/>
    </xf>
    <xf numFmtId="0" fontId="22" fillId="36" borderId="0" xfId="0" applyFont="1" applyFill="1" applyAlignment="1" applyProtection="1">
      <alignment horizontal="center" vertical="center" wrapText="1"/>
      <protection locked="0"/>
    </xf>
    <xf numFmtId="0" fontId="7" fillId="36" borderId="0" xfId="0" applyFont="1" applyFill="1" applyAlignment="1" applyProtection="1">
      <alignment horizontal="center" vertical="center" wrapText="1"/>
      <protection locked="0"/>
    </xf>
    <xf numFmtId="0" fontId="31" fillId="0" borderId="0" xfId="0" applyFont="1" applyAlignment="1" applyProtection="1">
      <alignment vertical="center" wrapText="1"/>
      <protection locked="0"/>
    </xf>
    <xf numFmtId="0" fontId="46" fillId="36" borderId="0" xfId="0" applyFont="1" applyFill="1" applyAlignment="1" applyProtection="1">
      <alignment vertical="center" wrapText="1"/>
      <protection locked="0"/>
    </xf>
    <xf numFmtId="0" fontId="48" fillId="36" borderId="0" xfId="0" applyFont="1" applyFill="1" applyAlignment="1" applyProtection="1">
      <alignment vertical="center" wrapText="1"/>
      <protection locked="0"/>
    </xf>
    <xf numFmtId="0" fontId="22" fillId="36" borderId="0" xfId="0" applyFont="1" applyFill="1" applyBorder="1" applyAlignment="1" applyProtection="1">
      <alignment horizontal="center" vertical="center" wrapText="1"/>
      <protection locked="0"/>
    </xf>
    <xf numFmtId="0" fontId="10" fillId="36" borderId="0" xfId="0" applyFont="1" applyFill="1" applyAlignment="1" applyProtection="1">
      <alignment vertical="center" wrapText="1"/>
      <protection locked="0"/>
    </xf>
    <xf numFmtId="0" fontId="7" fillId="36" borderId="0" xfId="0" applyFont="1" applyFill="1" applyBorder="1" applyAlignment="1" applyProtection="1">
      <alignment vertical="center" wrapText="1"/>
      <protection locked="0"/>
    </xf>
    <xf numFmtId="0" fontId="46" fillId="36" borderId="0" xfId="0" applyFont="1" applyFill="1" applyAlignment="1" applyProtection="1">
      <alignment horizontal="center" vertical="center" wrapText="1"/>
      <protection locked="0"/>
    </xf>
    <xf numFmtId="0" fontId="46" fillId="36" borderId="0" xfId="0" applyFont="1" applyFill="1" applyBorder="1" applyAlignment="1" applyProtection="1">
      <alignment horizontal="center" vertical="center" wrapText="1"/>
      <protection locked="0"/>
    </xf>
    <xf numFmtId="0" fontId="43" fillId="36" borderId="0" xfId="0" applyFont="1" applyFill="1" applyBorder="1" applyAlignment="1" applyProtection="1">
      <alignment horizontal="center" vertical="center"/>
      <protection locked="0"/>
    </xf>
    <xf numFmtId="0" fontId="31" fillId="36" borderId="0" xfId="0" applyFont="1" applyFill="1" applyBorder="1" applyAlignment="1" applyProtection="1">
      <alignment vertical="center" wrapText="1"/>
      <protection locked="0"/>
    </xf>
    <xf numFmtId="0" fontId="4" fillId="0" borderId="0" xfId="0" applyFont="1" applyProtection="1">
      <protection locked="0"/>
    </xf>
    <xf numFmtId="0" fontId="0" fillId="0" borderId="0" xfId="0" applyProtection="1">
      <protection locked="0"/>
    </xf>
    <xf numFmtId="0" fontId="9" fillId="0" borderId="1" xfId="0" applyFont="1" applyBorder="1" applyAlignment="1" applyProtection="1">
      <alignment horizontal="center"/>
      <protection locked="0"/>
    </xf>
    <xf numFmtId="0" fontId="31" fillId="0" borderId="0" xfId="0" applyFont="1" applyProtection="1">
      <protection locked="0"/>
    </xf>
    <xf numFmtId="0" fontId="31" fillId="0" borderId="0" xfId="0" applyFont="1" applyAlignment="1" applyProtection="1">
      <alignment horizontal="center" vertical="center" wrapText="1"/>
      <protection locked="0"/>
    </xf>
    <xf numFmtId="0" fontId="68" fillId="0" borderId="0" xfId="0" applyFont="1" applyProtection="1">
      <protection locked="0"/>
    </xf>
    <xf numFmtId="0" fontId="14" fillId="0" borderId="0" xfId="0" applyFont="1" applyProtection="1">
      <protection locked="0"/>
    </xf>
    <xf numFmtId="0" fontId="54" fillId="0" borderId="0" xfId="0" applyFont="1" applyProtection="1">
      <protection locked="0"/>
    </xf>
    <xf numFmtId="0" fontId="68" fillId="36" borderId="0" xfId="0" applyFont="1" applyFill="1" applyAlignment="1" applyProtection="1">
      <alignment horizontal="center" vertical="center" wrapText="1"/>
      <protection locked="0"/>
    </xf>
    <xf numFmtId="0" fontId="5" fillId="0" borderId="0" xfId="0" applyFont="1" applyProtection="1">
      <protection locked="0"/>
    </xf>
    <xf numFmtId="0" fontId="46" fillId="0" borderId="0" xfId="0" applyFont="1" applyProtection="1">
      <protection locked="0"/>
    </xf>
    <xf numFmtId="0" fontId="0" fillId="36" borderId="0" xfId="0" applyFill="1" applyAlignment="1" applyProtection="1">
      <alignment vertical="top"/>
      <protection locked="0"/>
    </xf>
    <xf numFmtId="0" fontId="31" fillId="36" borderId="0" xfId="0" applyFont="1" applyFill="1" applyAlignment="1" applyProtection="1">
      <alignment vertical="top"/>
      <protection locked="0"/>
    </xf>
    <xf numFmtId="0" fontId="68" fillId="36" borderId="0" xfId="0" applyFont="1" applyFill="1" applyAlignment="1" applyProtection="1">
      <alignment vertical="center" wrapText="1"/>
      <protection locked="0"/>
    </xf>
    <xf numFmtId="0" fontId="68" fillId="0" borderId="0" xfId="0" applyFont="1" applyAlignment="1" applyProtection="1">
      <alignment vertical="center" wrapText="1"/>
      <protection locked="0"/>
    </xf>
    <xf numFmtId="0" fontId="0" fillId="43" borderId="0" xfId="0" applyFill="1" applyBorder="1" applyProtection="1">
      <protection locked="0"/>
    </xf>
    <xf numFmtId="0" fontId="31" fillId="43" borderId="0" xfId="0" applyFont="1" applyFill="1" applyBorder="1" applyAlignment="1" applyProtection="1">
      <alignment vertical="center" wrapText="1"/>
      <protection locked="0"/>
    </xf>
    <xf numFmtId="0" fontId="0" fillId="36" borderId="0" xfId="0" applyFont="1" applyFill="1" applyAlignment="1" applyProtection="1">
      <alignment vertical="top"/>
      <protection locked="0"/>
    </xf>
    <xf numFmtId="0" fontId="4" fillId="36" borderId="0" xfId="0" applyFont="1" applyFill="1" applyAlignment="1" applyProtection="1">
      <alignment vertical="top"/>
      <protection locked="0"/>
    </xf>
    <xf numFmtId="0" fontId="22" fillId="0" borderId="0" xfId="0" applyFont="1" applyAlignment="1" applyProtection="1">
      <alignment vertical="center" wrapText="1"/>
      <protection locked="0"/>
    </xf>
    <xf numFmtId="0" fontId="0" fillId="36" borderId="0" xfId="0" applyFont="1" applyFill="1" applyAlignment="1" applyProtection="1">
      <alignment horizontal="center" vertical="top"/>
      <protection locked="0"/>
    </xf>
    <xf numFmtId="0" fontId="43" fillId="36" borderId="0" xfId="0" applyFont="1" applyFill="1" applyAlignment="1" applyProtection="1">
      <alignment vertical="top"/>
      <protection locked="0"/>
    </xf>
    <xf numFmtId="0" fontId="31" fillId="36" borderId="0" xfId="0" applyFont="1" applyFill="1" applyAlignment="1" applyProtection="1">
      <alignment horizontal="center" vertical="top"/>
      <protection locked="0"/>
    </xf>
    <xf numFmtId="0" fontId="45" fillId="36" borderId="0" xfId="0" applyFont="1" applyFill="1" applyAlignment="1" applyProtection="1">
      <alignment vertical="top"/>
      <protection locked="0"/>
    </xf>
    <xf numFmtId="0" fontId="23" fillId="0" borderId="0" xfId="0" applyFont="1" applyAlignment="1" applyProtection="1">
      <alignment horizontal="left" indent="4"/>
      <protection locked="0"/>
    </xf>
    <xf numFmtId="0" fontId="22" fillId="36" borderId="0" xfId="0" applyFont="1" applyFill="1" applyAlignment="1" applyProtection="1">
      <alignment horizontal="center" wrapText="1"/>
      <protection locked="0"/>
    </xf>
    <xf numFmtId="0" fontId="14" fillId="0" borderId="0" xfId="0" applyFont="1" applyFill="1" applyProtection="1">
      <protection locked="0"/>
    </xf>
    <xf numFmtId="179" fontId="0" fillId="40" borderId="1" xfId="0" applyNumberFormat="1" applyFill="1" applyBorder="1" applyProtection="1">
      <protection locked="0"/>
    </xf>
    <xf numFmtId="167" fontId="0" fillId="40" borderId="1" xfId="0" applyNumberFormat="1" applyFill="1" applyBorder="1" applyProtection="1">
      <protection locked="0"/>
    </xf>
    <xf numFmtId="0" fontId="10" fillId="0" borderId="0" xfId="0" applyFont="1" applyProtection="1">
      <protection locked="0"/>
    </xf>
    <xf numFmtId="0" fontId="21" fillId="0" borderId="0" xfId="0" applyFont="1" applyProtection="1">
      <protection locked="0"/>
    </xf>
    <xf numFmtId="168" fontId="0" fillId="40" borderId="1" xfId="0" applyNumberFormat="1" applyFill="1" applyBorder="1" applyProtection="1">
      <protection locked="0"/>
    </xf>
    <xf numFmtId="177" fontId="31" fillId="40" borderId="1" xfId="0" applyNumberFormat="1" applyFont="1" applyFill="1" applyBorder="1" applyAlignment="1" applyProtection="1">
      <alignment horizontal="center"/>
      <protection locked="0"/>
    </xf>
    <xf numFmtId="0" fontId="10" fillId="0" borderId="0" xfId="0" applyFont="1" applyAlignment="1" applyProtection="1">
      <alignment horizontal="left"/>
      <protection locked="0"/>
    </xf>
    <xf numFmtId="0" fontId="0" fillId="0" borderId="0" xfId="0" applyFont="1" applyProtection="1">
      <protection locked="0"/>
    </xf>
    <xf numFmtId="179" fontId="0" fillId="41" borderId="1" xfId="0" applyNumberFormat="1" applyFont="1" applyFill="1" applyBorder="1" applyProtection="1"/>
    <xf numFmtId="181" fontId="4" fillId="41" borderId="1" xfId="0" applyNumberFormat="1" applyFont="1" applyFill="1" applyBorder="1" applyAlignment="1" applyProtection="1">
      <alignment horizontal="center" vertical="center"/>
    </xf>
    <xf numFmtId="168" fontId="4" fillId="41" borderId="1" xfId="0" applyNumberFormat="1" applyFont="1" applyFill="1" applyBorder="1" applyProtection="1"/>
    <xf numFmtId="167" fontId="4" fillId="41" borderId="1" xfId="0" applyNumberFormat="1" applyFont="1" applyFill="1" applyBorder="1" applyProtection="1"/>
    <xf numFmtId="179" fontId="4" fillId="41" borderId="1" xfId="0" applyNumberFormat="1" applyFont="1" applyFill="1" applyBorder="1" applyProtection="1"/>
    <xf numFmtId="0" fontId="0" fillId="0" borderId="0" xfId="0" applyBorder="1" applyProtection="1">
      <protection locked="0"/>
    </xf>
    <xf numFmtId="0" fontId="53" fillId="0" borderId="0" xfId="0" applyFont="1" applyProtection="1">
      <protection locked="0"/>
    </xf>
    <xf numFmtId="167" fontId="31" fillId="40" borderId="1" xfId="0" applyNumberFormat="1" applyFont="1" applyFill="1" applyBorder="1" applyProtection="1">
      <protection locked="0"/>
    </xf>
    <xf numFmtId="0" fontId="15" fillId="0" borderId="0" xfId="0" applyFont="1" applyProtection="1">
      <protection locked="0"/>
    </xf>
    <xf numFmtId="0" fontId="51" fillId="36" borderId="0" xfId="0" applyFont="1" applyFill="1" applyAlignment="1" applyProtection="1">
      <alignment vertical="top"/>
      <protection locked="0"/>
    </xf>
    <xf numFmtId="0" fontId="22" fillId="36" borderId="0" xfId="0" applyFont="1" applyFill="1" applyAlignment="1" applyProtection="1">
      <alignment vertical="top"/>
      <protection locked="0"/>
    </xf>
    <xf numFmtId="0" fontId="31" fillId="0" borderId="0" xfId="0" applyFont="1" applyBorder="1" applyProtection="1">
      <protection locked="0"/>
    </xf>
    <xf numFmtId="0" fontId="22" fillId="0" borderId="0" xfId="0" applyFont="1" applyProtection="1">
      <protection locked="0"/>
    </xf>
    <xf numFmtId="0" fontId="75" fillId="0" borderId="0" xfId="0" applyFont="1" applyProtection="1">
      <protection locked="0"/>
    </xf>
    <xf numFmtId="0" fontId="78" fillId="0" borderId="1" xfId="0" applyFont="1" applyBorder="1" applyAlignment="1" applyProtection="1">
      <alignment horizontal="center"/>
      <protection locked="0"/>
    </xf>
    <xf numFmtId="167" fontId="31" fillId="44" borderId="1" xfId="0" applyNumberFormat="1" applyFont="1" applyFill="1" applyBorder="1" applyProtection="1">
      <protection locked="0"/>
    </xf>
    <xf numFmtId="184" fontId="31" fillId="40" borderId="1" xfId="0" applyNumberFormat="1" applyFont="1" applyFill="1" applyBorder="1" applyProtection="1">
      <protection locked="0"/>
    </xf>
    <xf numFmtId="170" fontId="31" fillId="40" borderId="1" xfId="0" applyNumberFormat="1" applyFont="1" applyFill="1" applyBorder="1" applyProtection="1">
      <protection locked="0"/>
    </xf>
    <xf numFmtId="170" fontId="0" fillId="40" borderId="1" xfId="0" applyNumberFormat="1" applyFill="1" applyBorder="1" applyProtection="1">
      <protection locked="0"/>
    </xf>
    <xf numFmtId="9" fontId="31" fillId="40" borderId="1" xfId="0" applyNumberFormat="1" applyFont="1" applyFill="1" applyBorder="1" applyProtection="1">
      <protection locked="0"/>
    </xf>
    <xf numFmtId="9" fontId="0" fillId="40" borderId="1" xfId="0" applyNumberFormat="1" applyFill="1" applyBorder="1" applyProtection="1">
      <protection locked="0"/>
    </xf>
    <xf numFmtId="179" fontId="31" fillId="40" borderId="1" xfId="0" applyNumberFormat="1" applyFont="1" applyFill="1" applyBorder="1" applyProtection="1">
      <protection locked="0"/>
    </xf>
    <xf numFmtId="0" fontId="70" fillId="0" borderId="0" xfId="0" applyFont="1" applyProtection="1">
      <protection locked="0"/>
    </xf>
    <xf numFmtId="170" fontId="5" fillId="40" borderId="1" xfId="4" applyNumberFormat="1" applyFont="1" applyFill="1" applyBorder="1" applyProtection="1">
      <protection locked="0"/>
    </xf>
    <xf numFmtId="0" fontId="76" fillId="0" borderId="0" xfId="0" applyFont="1" applyProtection="1">
      <protection locked="0"/>
    </xf>
    <xf numFmtId="0" fontId="5" fillId="40" borderId="1" xfId="0" applyFont="1" applyFill="1" applyBorder="1" applyProtection="1">
      <protection locked="0"/>
    </xf>
    <xf numFmtId="0" fontId="18" fillId="0" borderId="0" xfId="0" applyFont="1" applyProtection="1">
      <protection locked="0"/>
    </xf>
    <xf numFmtId="0" fontId="31" fillId="43" borderId="0" xfId="0" applyFont="1" applyFill="1" applyProtection="1">
      <protection locked="0"/>
    </xf>
    <xf numFmtId="0" fontId="68" fillId="43" borderId="0" xfId="0" applyFont="1" applyFill="1" applyProtection="1">
      <protection locked="0"/>
    </xf>
    <xf numFmtId="0" fontId="59" fillId="0" borderId="0" xfId="0" applyFont="1" applyAlignment="1" applyProtection="1">
      <protection locked="0"/>
    </xf>
    <xf numFmtId="167" fontId="31" fillId="43" borderId="0" xfId="0" applyNumberFormat="1" applyFont="1" applyFill="1" applyBorder="1" applyProtection="1">
      <protection locked="0"/>
    </xf>
    <xf numFmtId="0" fontId="10" fillId="43" borderId="0" xfId="0" applyFont="1" applyFill="1" applyProtection="1">
      <protection locked="0"/>
    </xf>
    <xf numFmtId="0" fontId="0" fillId="43" borderId="0" xfId="0" applyFill="1" applyProtection="1">
      <protection locked="0"/>
    </xf>
    <xf numFmtId="185" fontId="31" fillId="40" borderId="1" xfId="0" applyNumberFormat="1" applyFont="1" applyFill="1" applyBorder="1" applyAlignment="1" applyProtection="1">
      <alignment horizontal="center" vertical="top"/>
      <protection locked="0"/>
    </xf>
    <xf numFmtId="0" fontId="10" fillId="36" borderId="0" xfId="0" applyFont="1" applyFill="1" applyAlignment="1" applyProtection="1">
      <alignment vertical="top"/>
      <protection locked="0"/>
    </xf>
    <xf numFmtId="176" fontId="31" fillId="40" borderId="1" xfId="76" applyNumberFormat="1" applyFont="1" applyFill="1" applyBorder="1" applyAlignment="1" applyProtection="1">
      <alignment horizontal="center" vertical="top"/>
      <protection locked="0"/>
    </xf>
    <xf numFmtId="0" fontId="23" fillId="0" borderId="0" xfId="0" applyFont="1" applyAlignment="1" applyProtection="1">
      <protection locked="0"/>
    </xf>
    <xf numFmtId="176" fontId="31" fillId="40" borderId="1" xfId="76" applyNumberFormat="1" applyFont="1" applyFill="1" applyBorder="1" applyProtection="1">
      <protection locked="0"/>
    </xf>
    <xf numFmtId="176" fontId="0" fillId="40" borderId="1" xfId="76" applyNumberFormat="1" applyFont="1" applyFill="1" applyBorder="1" applyProtection="1">
      <protection locked="0"/>
    </xf>
    <xf numFmtId="0" fontId="59" fillId="0" borderId="0" xfId="0" applyFont="1" applyAlignment="1" applyProtection="1">
      <alignment horizontal="left" indent="4"/>
      <protection locked="0"/>
    </xf>
    <xf numFmtId="0" fontId="31" fillId="0" borderId="0" xfId="0" applyFont="1" applyAlignment="1" applyProtection="1">
      <alignment horizontal="left" indent="4"/>
      <protection locked="0"/>
    </xf>
    <xf numFmtId="0" fontId="59" fillId="0" borderId="0" xfId="0" applyFont="1" applyProtection="1">
      <protection locked="0"/>
    </xf>
    <xf numFmtId="0" fontId="9" fillId="43" borderId="0" xfId="0" applyFont="1" applyFill="1" applyBorder="1" applyAlignment="1" applyProtection="1">
      <alignment horizontal="center"/>
      <protection locked="0"/>
    </xf>
    <xf numFmtId="167" fontId="22" fillId="41" borderId="1" xfId="0" applyNumberFormat="1" applyFont="1" applyFill="1" applyBorder="1" applyProtection="1"/>
    <xf numFmtId="179" fontId="22" fillId="41" borderId="1" xfId="0" applyNumberFormat="1" applyFont="1" applyFill="1" applyBorder="1" applyProtection="1"/>
    <xf numFmtId="169" fontId="80" fillId="41" borderId="1" xfId="4" applyFont="1" applyFill="1" applyBorder="1" applyProtection="1"/>
    <xf numFmtId="0" fontId="55" fillId="0" borderId="0" xfId="0" applyFont="1" applyProtection="1">
      <protection locked="0"/>
    </xf>
    <xf numFmtId="167" fontId="4" fillId="40" borderId="1" xfId="0" applyNumberFormat="1" applyFont="1" applyFill="1" applyBorder="1" applyProtection="1">
      <protection locked="0"/>
    </xf>
    <xf numFmtId="0" fontId="8" fillId="0" borderId="0" xfId="0" applyFont="1" applyProtection="1">
      <protection locked="0"/>
    </xf>
    <xf numFmtId="0" fontId="20" fillId="0" borderId="0" xfId="0" applyFont="1" applyProtection="1">
      <protection locked="0"/>
    </xf>
    <xf numFmtId="0" fontId="4" fillId="0" borderId="0" xfId="0" applyFont="1" applyAlignment="1" applyProtection="1">
      <protection locked="0"/>
    </xf>
    <xf numFmtId="184" fontId="0" fillId="40" borderId="1" xfId="0" applyNumberFormat="1" applyFill="1" applyBorder="1" applyProtection="1">
      <protection locked="0"/>
    </xf>
    <xf numFmtId="172" fontId="0" fillId="40" borderId="1" xfId="0" applyNumberFormat="1" applyFill="1" applyBorder="1" applyProtection="1">
      <protection locked="0"/>
    </xf>
    <xf numFmtId="0" fontId="0" fillId="0" borderId="0" xfId="0" applyProtection="1"/>
    <xf numFmtId="0" fontId="10" fillId="0" borderId="0" xfId="0" applyFont="1" applyFill="1" applyBorder="1" applyProtection="1">
      <protection locked="0"/>
    </xf>
    <xf numFmtId="179" fontId="14" fillId="0" borderId="0" xfId="0" applyNumberFormat="1" applyFont="1" applyProtection="1">
      <protection locked="0"/>
    </xf>
    <xf numFmtId="0" fontId="12" fillId="0" borderId="0" xfId="3" applyFont="1" applyProtection="1">
      <protection locked="0"/>
    </xf>
    <xf numFmtId="0" fontId="31" fillId="0" borderId="0" xfId="3" applyFont="1" applyAlignment="1" applyProtection="1">
      <alignment horizontal="center"/>
      <protection locked="0"/>
    </xf>
    <xf numFmtId="0" fontId="42" fillId="0" borderId="0" xfId="3" quotePrefix="1" applyFont="1" applyAlignment="1" applyProtection="1">
      <alignment horizontal="right"/>
      <protection locked="0"/>
    </xf>
    <xf numFmtId="0" fontId="11" fillId="0" borderId="0" xfId="3" applyFont="1" applyProtection="1">
      <protection locked="0"/>
    </xf>
    <xf numFmtId="0" fontId="22" fillId="0" borderId="0" xfId="3" applyFont="1" applyAlignment="1" applyProtection="1">
      <alignment horizontal="center"/>
      <protection locked="0"/>
    </xf>
    <xf numFmtId="172" fontId="31" fillId="2" borderId="1" xfId="3" applyNumberFormat="1" applyFont="1" applyFill="1" applyBorder="1" applyProtection="1">
      <protection locked="0"/>
    </xf>
    <xf numFmtId="172" fontId="42" fillId="0" borderId="0" xfId="3" applyNumberFormat="1" applyFont="1" applyProtection="1">
      <protection locked="0"/>
    </xf>
    <xf numFmtId="0" fontId="12" fillId="0" borderId="0" xfId="3" applyFont="1" applyAlignment="1" applyProtection="1">
      <alignment horizontal="center"/>
      <protection locked="0"/>
    </xf>
    <xf numFmtId="0" fontId="12" fillId="0" borderId="0" xfId="3" applyFont="1" applyFill="1" applyBorder="1" applyAlignment="1" applyProtection="1">
      <alignment horizontal="center"/>
      <protection locked="0"/>
    </xf>
    <xf numFmtId="0" fontId="12" fillId="0" borderId="0" xfId="3" applyFont="1" applyFill="1" applyBorder="1" applyProtection="1">
      <protection locked="0"/>
    </xf>
    <xf numFmtId="172" fontId="12" fillId="35" borderId="1" xfId="3" applyNumberFormat="1" applyFont="1" applyFill="1" applyBorder="1" applyProtection="1">
      <protection locked="0"/>
    </xf>
    <xf numFmtId="0" fontId="43" fillId="36" borderId="0" xfId="0" applyFont="1" applyFill="1" applyAlignment="1" applyProtection="1">
      <alignment vertical="top"/>
    </xf>
    <xf numFmtId="0" fontId="12" fillId="0" borderId="0" xfId="3" applyFont="1" applyProtection="1"/>
    <xf numFmtId="0" fontId="63" fillId="0" borderId="0" xfId="3" applyFont="1" applyProtection="1"/>
    <xf numFmtId="0" fontId="41" fillId="0" borderId="0" xfId="3" applyFont="1" applyProtection="1"/>
    <xf numFmtId="0" fontId="48" fillId="0" borderId="0" xfId="3" applyFont="1" applyProtection="1"/>
    <xf numFmtId="0" fontId="25" fillId="0" borderId="0" xfId="3" applyFont="1" applyProtection="1"/>
    <xf numFmtId="172" fontId="12" fillId="0" borderId="13" xfId="3" applyNumberFormat="1" applyFont="1" applyBorder="1" applyProtection="1"/>
    <xf numFmtId="0" fontId="12" fillId="0" borderId="0" xfId="31" applyFont="1" applyFill="1" applyBorder="1" applyProtection="1">
      <protection locked="0"/>
    </xf>
    <xf numFmtId="0" fontId="12" fillId="0" borderId="0" xfId="31" applyFont="1" applyBorder="1" applyAlignment="1" applyProtection="1">
      <alignment horizontal="center"/>
      <protection locked="0"/>
    </xf>
    <xf numFmtId="0" fontId="11" fillId="0" borderId="0" xfId="31" applyFont="1" applyBorder="1" applyAlignment="1" applyProtection="1">
      <alignment horizontal="center"/>
      <protection locked="0"/>
    </xf>
    <xf numFmtId="0" fontId="11" fillId="0" borderId="0" xfId="31" applyFont="1" applyBorder="1" applyProtection="1">
      <protection locked="0"/>
    </xf>
    <xf numFmtId="172" fontId="12" fillId="0" borderId="0" xfId="31" applyNumberFormat="1" applyFont="1" applyBorder="1" applyAlignment="1" applyProtection="1">
      <alignment horizontal="right"/>
      <protection locked="0"/>
    </xf>
    <xf numFmtId="171" fontId="12" fillId="0" borderId="0" xfId="3" applyNumberFormat="1" applyFont="1" applyProtection="1">
      <protection locked="0"/>
    </xf>
    <xf numFmtId="172" fontId="12" fillId="0" borderId="0" xfId="31" applyNumberFormat="1" applyFont="1" applyFill="1" applyBorder="1" applyAlignment="1" applyProtection="1">
      <alignment horizontal="right"/>
      <protection locked="0"/>
    </xf>
    <xf numFmtId="172" fontId="12" fillId="0" borderId="0" xfId="3" applyNumberFormat="1" applyFont="1" applyAlignment="1" applyProtection="1">
      <alignment horizontal="right"/>
      <protection locked="0"/>
    </xf>
    <xf numFmtId="0" fontId="13" fillId="0" borderId="0" xfId="31" applyFont="1" applyBorder="1" applyProtection="1">
      <protection locked="0"/>
    </xf>
    <xf numFmtId="0" fontId="25" fillId="0" borderId="0" xfId="31" applyFont="1" applyBorder="1" applyProtection="1">
      <protection locked="0"/>
    </xf>
    <xf numFmtId="171" fontId="12" fillId="0" borderId="0" xfId="31" applyNumberFormat="1" applyFont="1" applyBorder="1" applyAlignment="1" applyProtection="1">
      <alignment horizontal="right"/>
      <protection locked="0"/>
    </xf>
    <xf numFmtId="171" fontId="12" fillId="0" borderId="0" xfId="31" applyNumberFormat="1" applyFont="1" applyBorder="1" applyProtection="1">
      <protection locked="0"/>
    </xf>
    <xf numFmtId="0" fontId="40" fillId="0" borderId="0" xfId="31" applyFont="1" applyBorder="1" applyProtection="1">
      <protection locked="0"/>
    </xf>
    <xf numFmtId="0" fontId="11" fillId="0" borderId="0" xfId="3" applyFont="1" applyProtection="1"/>
    <xf numFmtId="0" fontId="12" fillId="0" borderId="0" xfId="3" applyFont="1" applyBorder="1" applyProtection="1"/>
    <xf numFmtId="0" fontId="18" fillId="0" borderId="0" xfId="0" applyFont="1" applyAlignment="1" applyProtection="1">
      <alignment horizontal="left" indent="3"/>
      <protection locked="0"/>
    </xf>
    <xf numFmtId="0" fontId="9" fillId="0" borderId="0" xfId="0" applyFont="1" applyBorder="1" applyAlignment="1" applyProtection="1">
      <alignment horizontal="center"/>
      <protection locked="0"/>
    </xf>
    <xf numFmtId="0" fontId="0" fillId="0" borderId="0" xfId="0" applyAlignment="1" applyProtection="1">
      <protection locked="0"/>
    </xf>
    <xf numFmtId="0" fontId="62" fillId="0" borderId="0" xfId="0" applyFont="1" applyFill="1" applyProtection="1">
      <protection locked="0"/>
    </xf>
    <xf numFmtId="0" fontId="10" fillId="0" borderId="0" xfId="0" applyFont="1" applyFill="1" applyProtection="1">
      <protection locked="0"/>
    </xf>
    <xf numFmtId="0" fontId="31" fillId="0" borderId="0" xfId="0" applyFont="1" applyFill="1" applyProtection="1">
      <protection locked="0"/>
    </xf>
    <xf numFmtId="0" fontId="71" fillId="0" borderId="0" xfId="0" applyFont="1" applyProtection="1">
      <protection locked="0"/>
    </xf>
    <xf numFmtId="167" fontId="31" fillId="42" borderId="1" xfId="0" applyNumberFormat="1" applyFont="1" applyFill="1" applyBorder="1" applyProtection="1"/>
    <xf numFmtId="186" fontId="31" fillId="40" borderId="1" xfId="0" applyNumberFormat="1" applyFont="1" applyFill="1" applyBorder="1" applyProtection="1">
      <protection locked="0"/>
    </xf>
    <xf numFmtId="186" fontId="31" fillId="42" borderId="1" xfId="0" applyNumberFormat="1" applyFont="1" applyFill="1" applyBorder="1" applyProtection="1"/>
    <xf numFmtId="186" fontId="31" fillId="44" borderId="1" xfId="0" applyNumberFormat="1" applyFont="1" applyFill="1" applyBorder="1" applyProtection="1">
      <protection locked="0"/>
    </xf>
    <xf numFmtId="0" fontId="31" fillId="36" borderId="0" xfId="0" applyFont="1" applyFill="1" applyAlignment="1" applyProtection="1">
      <alignment vertical="center" wrapText="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167" fontId="0" fillId="44" borderId="1" xfId="0" applyNumberFormat="1" applyFill="1" applyBorder="1" applyProtection="1">
      <protection locked="0"/>
    </xf>
    <xf numFmtId="0" fontId="81" fillId="36" borderId="0" xfId="0" applyFont="1" applyFill="1" applyAlignment="1" applyProtection="1">
      <alignment horizontal="center" vertical="top"/>
    </xf>
    <xf numFmtId="0" fontId="31" fillId="43" borderId="0" xfId="0" applyFont="1" applyFill="1" applyAlignment="1" applyProtection="1">
      <alignment horizontal="center" vertical="top"/>
    </xf>
    <xf numFmtId="0" fontId="31" fillId="0" borderId="0" xfId="0" applyFont="1" applyAlignment="1">
      <alignment horizontal="center"/>
    </xf>
    <xf numFmtId="172" fontId="31" fillId="42" borderId="1" xfId="76" applyNumberFormat="1" applyFont="1" applyFill="1" applyBorder="1" applyAlignment="1" applyProtection="1">
      <alignment horizontal="center" vertical="center"/>
    </xf>
    <xf numFmtId="0" fontId="5" fillId="0" borderId="0" xfId="0" applyFont="1" applyAlignment="1" applyProtection="1">
      <alignment horizontal="center"/>
      <protection locked="0"/>
    </xf>
    <xf numFmtId="0" fontId="14" fillId="0" borderId="0" xfId="0" applyFont="1" applyAlignment="1" applyProtection="1">
      <alignment horizontal="center"/>
      <protection locked="0"/>
    </xf>
    <xf numFmtId="0" fontId="0" fillId="0" borderId="0" xfId="0" applyAlignment="1" applyProtection="1">
      <alignment horizontal="center"/>
      <protection locked="0"/>
    </xf>
    <xf numFmtId="0" fontId="84" fillId="0" borderId="0" xfId="0" applyFont="1" applyProtection="1">
      <protection locked="0"/>
    </xf>
    <xf numFmtId="0" fontId="0" fillId="0" borderId="0" xfId="0" applyFont="1" applyAlignment="1" applyProtection="1">
      <alignment wrapText="1"/>
      <protection locked="0"/>
    </xf>
    <xf numFmtId="0" fontId="85" fillId="0" borderId="0" xfId="0" applyFont="1" applyAlignment="1" applyProtection="1">
      <protection locked="0"/>
    </xf>
    <xf numFmtId="0" fontId="31" fillId="0" borderId="0" xfId="0" applyFont="1" applyAlignment="1" applyProtection="1">
      <alignment horizontal="center"/>
      <protection locked="0"/>
    </xf>
    <xf numFmtId="171" fontId="22" fillId="41" borderId="1" xfId="0" applyNumberFormat="1" applyFont="1" applyFill="1" applyBorder="1" applyProtection="1"/>
    <xf numFmtId="0" fontId="86" fillId="0" borderId="0" xfId="0" applyFont="1" applyProtection="1">
      <protection locked="0"/>
    </xf>
    <xf numFmtId="173" fontId="31" fillId="44" borderId="1" xfId="74" applyNumberFormat="1" applyFont="1" applyFill="1" applyBorder="1" applyAlignment="1" applyProtection="1">
      <alignment horizontal="right" vertical="center"/>
      <protection locked="0"/>
    </xf>
    <xf numFmtId="179" fontId="4" fillId="42" borderId="1" xfId="0" applyNumberFormat="1" applyFont="1" applyFill="1" applyBorder="1" applyProtection="1"/>
    <xf numFmtId="0" fontId="0" fillId="0" borderId="0" xfId="0" applyAlignment="1" applyProtection="1">
      <alignment horizontal="left"/>
      <protection locked="0"/>
    </xf>
    <xf numFmtId="186" fontId="4" fillId="41" borderId="1" xfId="0" applyNumberFormat="1" applyFont="1" applyFill="1" applyBorder="1" applyProtection="1"/>
    <xf numFmtId="173" fontId="31" fillId="43" borderId="0" xfId="73" applyNumberFormat="1" applyFont="1" applyFill="1" applyBorder="1" applyAlignment="1" applyProtection="1">
      <alignment horizontal="right" vertical="center"/>
    </xf>
    <xf numFmtId="186" fontId="0" fillId="0" borderId="0" xfId="0" applyNumberFormat="1" applyProtection="1">
      <protection locked="0"/>
    </xf>
    <xf numFmtId="186" fontId="4" fillId="42" borderId="1" xfId="0" applyNumberFormat="1" applyFont="1" applyFill="1" applyBorder="1" applyProtection="1"/>
    <xf numFmtId="0" fontId="87" fillId="0" borderId="0" xfId="0" applyFont="1" applyProtection="1">
      <protection locked="0"/>
    </xf>
    <xf numFmtId="0" fontId="0" fillId="0" borderId="0" xfId="0" applyFont="1" applyAlignment="1" applyProtection="1">
      <alignment horizontal="center"/>
      <protection locked="0"/>
    </xf>
    <xf numFmtId="187" fontId="31" fillId="44" borderId="1" xfId="76" applyNumberFormat="1" applyFont="1" applyFill="1" applyBorder="1" applyAlignment="1" applyProtection="1">
      <alignment horizontal="center" vertical="center"/>
      <protection locked="0"/>
    </xf>
    <xf numFmtId="0" fontId="31" fillId="36" borderId="0" xfId="0" applyFont="1" applyFill="1" applyAlignment="1" applyProtection="1">
      <alignment vertical="center" wrapText="1"/>
      <protection locked="0"/>
    </xf>
    <xf numFmtId="175" fontId="31" fillId="44" borderId="1" xfId="74" applyNumberFormat="1" applyFont="1" applyFill="1" applyBorder="1" applyAlignment="1" applyProtection="1">
      <alignment horizontal="center" vertical="center"/>
      <protection locked="0"/>
    </xf>
    <xf numFmtId="175" fontId="31" fillId="42" borderId="1" xfId="74" applyNumberFormat="1" applyFont="1" applyFill="1" applyBorder="1" applyAlignment="1" applyProtection="1">
      <alignment horizontal="center" vertical="center"/>
    </xf>
    <xf numFmtId="180" fontId="31" fillId="0" borderId="0" xfId="74" applyNumberFormat="1" applyFont="1" applyFill="1" applyBorder="1" applyAlignment="1" applyProtection="1">
      <alignment horizontal="center" vertical="center"/>
      <protection locked="0"/>
    </xf>
    <xf numFmtId="0" fontId="0" fillId="0" borderId="0" xfId="0" applyFill="1" applyProtection="1">
      <protection locked="0"/>
    </xf>
    <xf numFmtId="179" fontId="0" fillId="41" borderId="17" xfId="0" applyNumberFormat="1" applyFont="1" applyFill="1" applyBorder="1" applyProtection="1"/>
    <xf numFmtId="167" fontId="0" fillId="0" borderId="3" xfId="0" applyNumberFormat="1" applyFill="1" applyBorder="1" applyProtection="1">
      <protection locked="0"/>
    </xf>
    <xf numFmtId="9" fontId="31" fillId="44" borderId="1" xfId="76" applyFont="1" applyFill="1" applyBorder="1" applyAlignment="1" applyProtection="1">
      <alignment horizontal="center" vertical="center"/>
      <protection locked="0"/>
    </xf>
    <xf numFmtId="0" fontId="48" fillId="36" borderId="0" xfId="0" applyFont="1" applyFill="1" applyAlignment="1" applyProtection="1">
      <alignment vertical="center"/>
      <protection locked="0"/>
    </xf>
    <xf numFmtId="188" fontId="31" fillId="37" borderId="1" xfId="0" applyNumberFormat="1" applyFont="1" applyFill="1" applyBorder="1" applyAlignment="1">
      <alignment horizontal="right"/>
    </xf>
    <xf numFmtId="173" fontId="31" fillId="38" borderId="1" xfId="0" applyNumberFormat="1" applyFont="1" applyFill="1" applyBorder="1" applyAlignment="1" applyProtection="1">
      <alignment horizontal="left" wrapText="1"/>
    </xf>
    <xf numFmtId="167" fontId="31" fillId="45" borderId="1" xfId="0" applyNumberFormat="1" applyFont="1" applyFill="1" applyBorder="1" applyProtection="1">
      <protection locked="0"/>
    </xf>
    <xf numFmtId="167" fontId="14" fillId="0" borderId="0" xfId="0" applyNumberFormat="1" applyFont="1" applyProtection="1">
      <protection locked="0"/>
    </xf>
    <xf numFmtId="167" fontId="22" fillId="35" borderId="1" xfId="73" applyNumberFormat="1" applyFont="1" applyFill="1" applyBorder="1" applyAlignment="1" applyProtection="1">
      <alignment horizontal="center" vertical="center"/>
    </xf>
    <xf numFmtId="0" fontId="0" fillId="0" borderId="0" xfId="0" applyFill="1" applyBorder="1" applyProtection="1">
      <protection locked="0"/>
    </xf>
    <xf numFmtId="189" fontId="31" fillId="42" borderId="1" xfId="0" applyNumberFormat="1" applyFont="1" applyFill="1" applyBorder="1" applyAlignment="1" applyProtection="1">
      <alignment horizontal="center"/>
      <protection locked="0"/>
    </xf>
    <xf numFmtId="0" fontId="65" fillId="0" borderId="0" xfId="81" applyFont="1" applyProtection="1">
      <protection locked="0"/>
    </xf>
    <xf numFmtId="0" fontId="5" fillId="0" borderId="0" xfId="81" applyProtection="1">
      <protection locked="0"/>
    </xf>
    <xf numFmtId="0" fontId="88" fillId="0" borderId="0" xfId="81" applyFont="1" applyProtection="1">
      <protection locked="0"/>
    </xf>
    <xf numFmtId="0" fontId="9" fillId="0" borderId="0" xfId="0" applyFont="1" applyFill="1" applyBorder="1" applyAlignment="1" applyProtection="1">
      <alignment horizontal="center"/>
      <protection locked="0"/>
    </xf>
    <xf numFmtId="0" fontId="5" fillId="0" borderId="0" xfId="81" applyFont="1" applyProtection="1">
      <protection locked="0"/>
    </xf>
    <xf numFmtId="0" fontId="9" fillId="0" borderId="18" xfId="0" applyFont="1" applyFill="1" applyBorder="1" applyAlignment="1" applyProtection="1">
      <alignment horizontal="center"/>
      <protection locked="0"/>
    </xf>
    <xf numFmtId="0" fontId="31" fillId="0" borderId="0" xfId="81" applyFont="1" applyProtection="1">
      <protection locked="0"/>
    </xf>
    <xf numFmtId="167" fontId="31" fillId="2" borderId="1" xfId="0" applyNumberFormat="1" applyFont="1" applyFill="1" applyBorder="1" applyProtection="1">
      <protection locked="0"/>
    </xf>
    <xf numFmtId="167" fontId="31" fillId="0" borderId="18" xfId="0" applyNumberFormat="1" applyFont="1" applyFill="1" applyBorder="1" applyProtection="1">
      <protection locked="0"/>
    </xf>
    <xf numFmtId="167" fontId="31" fillId="0" borderId="19" xfId="0" applyNumberFormat="1" applyFont="1" applyFill="1" applyBorder="1" applyProtection="1">
      <protection locked="0"/>
    </xf>
    <xf numFmtId="167" fontId="31" fillId="42" borderId="1" xfId="0" applyNumberFormat="1" applyFont="1" applyFill="1" applyBorder="1" applyProtection="1">
      <protection locked="0"/>
    </xf>
    <xf numFmtId="0" fontId="22" fillId="0" borderId="0" xfId="81" applyFont="1" applyProtection="1">
      <protection locked="0"/>
    </xf>
    <xf numFmtId="167" fontId="22" fillId="42" borderId="1" xfId="0" applyNumberFormat="1" applyFont="1" applyFill="1" applyBorder="1" applyProtection="1">
      <protection locked="0"/>
    </xf>
    <xf numFmtId="173" fontId="22" fillId="0" borderId="18" xfId="73" applyNumberFormat="1" applyFont="1" applyFill="1" applyBorder="1" applyAlignment="1" applyProtection="1">
      <alignment horizontal="center" vertical="center"/>
    </xf>
    <xf numFmtId="0" fontId="31" fillId="0" borderId="0" xfId="0" applyFont="1" applyFill="1" applyBorder="1" applyProtection="1">
      <protection locked="0"/>
    </xf>
    <xf numFmtId="0" fontId="66" fillId="0" borderId="0" xfId="81" applyFont="1" applyProtection="1">
      <protection locked="0"/>
    </xf>
    <xf numFmtId="0" fontId="5" fillId="0" borderId="0" xfId="81" applyFont="1" applyFill="1" applyBorder="1" applyProtection="1">
      <protection locked="0"/>
    </xf>
    <xf numFmtId="0" fontId="14" fillId="0" borderId="0" xfId="81" applyFont="1" applyFill="1" applyProtection="1">
      <protection locked="0"/>
    </xf>
    <xf numFmtId="167" fontId="31" fillId="0" borderId="0" xfId="0" applyNumberFormat="1" applyFont="1" applyFill="1" applyBorder="1" applyProtection="1">
      <protection locked="0"/>
    </xf>
    <xf numFmtId="167" fontId="31" fillId="0" borderId="18" xfId="0" applyNumberFormat="1" applyFont="1" applyFill="1" applyBorder="1" applyProtection="1"/>
    <xf numFmtId="186" fontId="31" fillId="0" borderId="20" xfId="0" applyNumberFormat="1" applyFont="1" applyFill="1" applyBorder="1" applyProtection="1">
      <protection locked="0"/>
    </xf>
    <xf numFmtId="186" fontId="31" fillId="0" borderId="19" xfId="0" applyNumberFormat="1" applyFont="1" applyFill="1" applyBorder="1" applyProtection="1">
      <protection locked="0"/>
    </xf>
    <xf numFmtId="186" fontId="31" fillId="0" borderId="20" xfId="0" applyNumberFormat="1" applyFont="1" applyFill="1" applyBorder="1" applyProtection="1"/>
    <xf numFmtId="186" fontId="31" fillId="0" borderId="19" xfId="0" applyNumberFormat="1" applyFont="1" applyFill="1" applyBorder="1" applyProtection="1"/>
    <xf numFmtId="173" fontId="31" fillId="40" borderId="1" xfId="0" applyNumberFormat="1" applyFont="1" applyFill="1" applyBorder="1" applyAlignment="1" applyProtection="1">
      <protection locked="0"/>
    </xf>
    <xf numFmtId="173" fontId="31" fillId="0" borderId="18" xfId="0" applyNumberFormat="1" applyFont="1" applyFill="1" applyBorder="1" applyAlignment="1" applyProtection="1">
      <alignment horizontal="center"/>
      <protection locked="0"/>
    </xf>
    <xf numFmtId="173" fontId="31" fillId="2" borderId="1" xfId="0" applyNumberFormat="1" applyFont="1" applyFill="1" applyBorder="1" applyAlignment="1" applyProtection="1">
      <protection locked="0"/>
    </xf>
    <xf numFmtId="189" fontId="0" fillId="0" borderId="0" xfId="0" applyNumberFormat="1" applyProtection="1">
      <protection locked="0"/>
    </xf>
    <xf numFmtId="0" fontId="4" fillId="0" borderId="0" xfId="0" applyFont="1" applyFill="1" applyBorder="1" applyProtection="1">
      <protection locked="0"/>
    </xf>
    <xf numFmtId="189" fontId="4" fillId="0" borderId="0" xfId="0" applyNumberFormat="1" applyFont="1" applyProtection="1">
      <protection locked="0"/>
    </xf>
    <xf numFmtId="189" fontId="0" fillId="0" borderId="5" xfId="0" applyNumberFormat="1" applyFill="1" applyBorder="1" applyProtection="1">
      <protection locked="0"/>
    </xf>
    <xf numFmtId="189" fontId="0" fillId="0" borderId="16" xfId="0" applyNumberFormat="1" applyFill="1" applyBorder="1" applyProtection="1">
      <protection locked="0"/>
    </xf>
    <xf numFmtId="189" fontId="0" fillId="0" borderId="3" xfId="0" applyNumberFormat="1" applyFill="1" applyBorder="1" applyProtection="1">
      <protection locked="0"/>
    </xf>
    <xf numFmtId="189" fontId="0" fillId="0" borderId="19" xfId="0" applyNumberFormat="1" applyFill="1" applyBorder="1" applyProtection="1">
      <protection locked="0"/>
    </xf>
    <xf numFmtId="189" fontId="0" fillId="0" borderId="0" xfId="0" applyNumberFormat="1" applyFill="1" applyBorder="1" applyProtection="1">
      <protection locked="0"/>
    </xf>
    <xf numFmtId="0" fontId="31" fillId="36" borderId="0" xfId="0" applyFont="1" applyFill="1" applyAlignment="1" applyProtection="1">
      <alignment vertical="center" wrapText="1"/>
      <protection locked="0"/>
    </xf>
    <xf numFmtId="0" fontId="31" fillId="36" borderId="0" xfId="0" applyFont="1" applyFill="1" applyAlignment="1" applyProtection="1">
      <alignment horizontal="left" vertical="top"/>
    </xf>
    <xf numFmtId="0" fontId="31" fillId="0" borderId="0" xfId="0" applyFont="1" applyAlignment="1" applyProtection="1">
      <alignment vertical="center"/>
      <protection locked="0"/>
    </xf>
    <xf numFmtId="0" fontId="0" fillId="0" borderId="0" xfId="0" applyAlignment="1" applyProtection="1">
      <alignment horizontal="center" vertical="center" wrapText="1"/>
      <protection locked="0"/>
    </xf>
    <xf numFmtId="0" fontId="0" fillId="0" borderId="0" xfId="0" applyAlignment="1" applyProtection="1">
      <alignment vertical="center"/>
      <protection locked="0"/>
    </xf>
    <xf numFmtId="0" fontId="31" fillId="0" borderId="0" xfId="0" applyFont="1" applyAlignment="1" applyProtection="1">
      <alignment horizontal="left" vertical="center" wrapText="1"/>
    </xf>
    <xf numFmtId="173" fontId="31" fillId="38" borderId="1" xfId="0" quotePrefix="1" applyNumberFormat="1" applyFont="1" applyFill="1" applyBorder="1" applyAlignment="1" applyProtection="1">
      <alignment horizontal="left" wrapText="1"/>
    </xf>
    <xf numFmtId="0" fontId="0" fillId="36" borderId="0" xfId="0" applyFont="1" applyFill="1" applyAlignment="1" applyProtection="1">
      <alignment horizontal="left" vertical="top"/>
    </xf>
    <xf numFmtId="0" fontId="0" fillId="36" borderId="0" xfId="0" applyFont="1" applyFill="1" applyAlignment="1" applyProtection="1">
      <alignment horizontal="right" vertical="top"/>
    </xf>
    <xf numFmtId="0" fontId="31" fillId="36" borderId="0" xfId="0" applyFont="1" applyFill="1" applyAlignment="1" applyProtection="1">
      <alignment vertical="center" wrapText="1"/>
      <protection locked="0"/>
    </xf>
    <xf numFmtId="167" fontId="0" fillId="41" borderId="1" xfId="0" applyNumberFormat="1" applyFont="1" applyFill="1" applyBorder="1" applyProtection="1"/>
    <xf numFmtId="167" fontId="31" fillId="40" borderId="1" xfId="0" applyNumberFormat="1" applyFont="1" applyFill="1" applyBorder="1" applyProtection="1">
      <protection locked="0"/>
    </xf>
    <xf numFmtId="173" fontId="31" fillId="38" borderId="1" xfId="0" quotePrefix="1" applyNumberFormat="1" applyFont="1" applyFill="1" applyBorder="1" applyAlignment="1" applyProtection="1">
      <alignment horizontal="left"/>
    </xf>
    <xf numFmtId="175" fontId="31" fillId="37" borderId="1" xfId="74" applyNumberFormat="1" applyFont="1" applyFill="1" applyBorder="1" applyAlignment="1" applyProtection="1">
      <alignment horizontal="center" vertical="center"/>
      <protection locked="0"/>
    </xf>
    <xf numFmtId="191" fontId="4" fillId="41" borderId="1" xfId="0" applyNumberFormat="1" applyFont="1" applyFill="1" applyBorder="1" applyProtection="1"/>
    <xf numFmtId="192" fontId="31" fillId="42" borderId="1" xfId="74" applyNumberFormat="1" applyFont="1" applyFill="1" applyBorder="1" applyAlignment="1" applyProtection="1">
      <alignment horizontal="center" vertical="center"/>
    </xf>
    <xf numFmtId="193" fontId="0" fillId="40" borderId="1" xfId="0" applyNumberFormat="1" applyFill="1" applyBorder="1" applyProtection="1">
      <protection locked="0"/>
    </xf>
    <xf numFmtId="167" fontId="31" fillId="0" borderId="0" xfId="0" applyNumberFormat="1" applyFont="1" applyProtection="1">
      <protection locked="0"/>
    </xf>
    <xf numFmtId="175" fontId="31" fillId="0" borderId="0" xfId="74" applyNumberFormat="1" applyFont="1" applyFill="1" applyBorder="1" applyAlignment="1" applyProtection="1">
      <alignment horizontal="center" vertical="center"/>
      <protection locked="0"/>
    </xf>
    <xf numFmtId="175" fontId="31" fillId="36" borderId="0" xfId="0" applyNumberFormat="1" applyFont="1" applyFill="1" applyAlignment="1" applyProtection="1">
      <alignment vertical="center" wrapText="1"/>
      <protection locked="0"/>
    </xf>
    <xf numFmtId="0" fontId="31" fillId="37" borderId="4" xfId="0" applyNumberFormat="1" applyFont="1" applyFill="1" applyBorder="1" applyAlignment="1">
      <alignment horizontal="left"/>
    </xf>
    <xf numFmtId="0" fontId="31" fillId="37" borderId="6" xfId="0" applyNumberFormat="1" applyFont="1" applyFill="1" applyBorder="1" applyAlignment="1">
      <alignment horizontal="left"/>
    </xf>
    <xf numFmtId="0" fontId="31" fillId="37" borderId="5" xfId="0" applyNumberFormat="1" applyFont="1" applyFill="1" applyBorder="1" applyAlignment="1">
      <alignment horizontal="left"/>
    </xf>
    <xf numFmtId="0" fontId="31" fillId="37" borderId="12" xfId="0" applyNumberFormat="1" applyFont="1" applyFill="1" applyBorder="1" applyAlignment="1">
      <alignment horizontal="left"/>
    </xf>
    <xf numFmtId="188" fontId="31" fillId="37" borderId="1" xfId="639" applyNumberFormat="1" applyFont="1" applyFill="1" applyBorder="1" applyAlignment="1">
      <alignment horizontal="right"/>
    </xf>
    <xf numFmtId="193" fontId="31" fillId="40" borderId="1" xfId="0" applyNumberFormat="1" applyFont="1" applyFill="1" applyBorder="1" applyProtection="1">
      <protection locked="0"/>
    </xf>
    <xf numFmtId="197" fontId="31" fillId="40" borderId="4" xfId="0" applyNumberFormat="1" applyFont="1" applyFill="1" applyBorder="1" applyProtection="1">
      <protection locked="0"/>
    </xf>
    <xf numFmtId="197" fontId="31" fillId="40" borderId="1" xfId="0" applyNumberFormat="1" applyFont="1" applyFill="1" applyBorder="1" applyProtection="1">
      <protection locked="0"/>
    </xf>
    <xf numFmtId="197" fontId="0" fillId="41" borderId="1" xfId="0" applyNumberFormat="1" applyFont="1" applyFill="1" applyBorder="1" applyProtection="1"/>
    <xf numFmtId="172" fontId="12" fillId="0" borderId="0" xfId="3" applyNumberFormat="1" applyFont="1" applyProtection="1">
      <protection locked="0"/>
    </xf>
    <xf numFmtId="2" fontId="10" fillId="0" borderId="0" xfId="0" applyNumberFormat="1" applyFont="1" applyProtection="1">
      <protection locked="0"/>
    </xf>
    <xf numFmtId="0" fontId="0" fillId="129" borderId="0" xfId="0" applyFill="1" applyAlignment="1" applyProtection="1">
      <alignment vertical="top"/>
    </xf>
    <xf numFmtId="0" fontId="0" fillId="129" borderId="0" xfId="0" applyFont="1" applyFill="1" applyAlignment="1" applyProtection="1">
      <alignment vertical="top"/>
    </xf>
    <xf numFmtId="10" fontId="31" fillId="129" borderId="1" xfId="76" applyNumberFormat="1" applyFont="1" applyFill="1" applyBorder="1" applyAlignment="1" applyProtection="1">
      <alignment horizontal="center" vertical="top"/>
    </xf>
    <xf numFmtId="175" fontId="31" fillId="129" borderId="1" xfId="0" applyNumberFormat="1" applyFont="1" applyFill="1" applyBorder="1" applyAlignment="1" applyProtection="1">
      <alignment horizontal="center" vertical="top"/>
    </xf>
    <xf numFmtId="0" fontId="151" fillId="0" borderId="0" xfId="0" applyFont="1" applyProtection="1">
      <protection locked="0"/>
    </xf>
    <xf numFmtId="0" fontId="4" fillId="129" borderId="0" xfId="0" applyFont="1" applyFill="1" applyAlignment="1" applyProtection="1">
      <alignment vertical="top"/>
    </xf>
    <xf numFmtId="0" fontId="4" fillId="0" borderId="0" xfId="0" applyFont="1" applyFill="1" applyAlignment="1" applyProtection="1">
      <alignment vertical="top"/>
      <protection locked="0"/>
    </xf>
    <xf numFmtId="0" fontId="31" fillId="0" borderId="0" xfId="0" applyFont="1" applyFill="1" applyAlignment="1" applyProtection="1">
      <alignment vertical="center" wrapText="1"/>
      <protection locked="0"/>
    </xf>
    <xf numFmtId="0" fontId="0" fillId="0" borderId="0" xfId="0" applyFill="1" applyAlignment="1" applyProtection="1">
      <alignment vertical="top"/>
      <protection locked="0"/>
    </xf>
    <xf numFmtId="175" fontId="31" fillId="2" borderId="1" xfId="74" applyNumberFormat="1" applyFont="1" applyFill="1" applyBorder="1" applyAlignment="1" applyProtection="1">
      <alignment horizontal="center" vertical="center"/>
      <protection locked="0"/>
    </xf>
    <xf numFmtId="174" fontId="31" fillId="2" borderId="1" xfId="74" applyNumberFormat="1" applyFont="1" applyFill="1" applyBorder="1" applyAlignment="1" applyProtection="1">
      <alignment horizontal="center" vertical="center"/>
      <protection locked="0"/>
    </xf>
    <xf numFmtId="191" fontId="22" fillId="41" borderId="1" xfId="0" applyNumberFormat="1" applyFont="1" applyFill="1" applyBorder="1" applyAlignment="1" applyProtection="1">
      <alignment horizontal="center"/>
      <protection locked="0"/>
    </xf>
    <xf numFmtId="0" fontId="22" fillId="43" borderId="0" xfId="0" applyFont="1" applyFill="1" applyProtection="1">
      <protection locked="0"/>
    </xf>
    <xf numFmtId="178" fontId="31" fillId="2" borderId="1" xfId="74" applyNumberFormat="1" applyFont="1" applyFill="1" applyBorder="1" applyAlignment="1" applyProtection="1">
      <alignment horizontal="center" vertical="center"/>
      <protection locked="0"/>
    </xf>
    <xf numFmtId="0" fontId="18" fillId="0" borderId="0" xfId="0" applyFont="1"/>
    <xf numFmtId="0" fontId="23" fillId="0" borderId="0" xfId="0" applyFont="1" applyAlignment="1">
      <alignment horizontal="left" vertical="center" indent="4"/>
    </xf>
    <xf numFmtId="0" fontId="23" fillId="0" borderId="0" xfId="0" applyFont="1" applyAlignment="1">
      <alignment horizontal="left" vertical="center" indent="3"/>
    </xf>
    <xf numFmtId="0" fontId="23" fillId="0" borderId="0" xfId="0" applyFont="1" applyAlignment="1">
      <alignment vertical="center"/>
    </xf>
    <xf numFmtId="0" fontId="0" fillId="0" borderId="0" xfId="0" applyAlignment="1" applyProtection="1">
      <alignment horizontal="left" wrapText="1"/>
      <protection locked="0"/>
    </xf>
    <xf numFmtId="0" fontId="14" fillId="0" borderId="0" xfId="0" applyFont="1" applyFill="1" applyBorder="1" applyProtection="1">
      <protection locked="0"/>
    </xf>
    <xf numFmtId="0" fontId="0" fillId="0" borderId="0" xfId="0"/>
    <xf numFmtId="173" fontId="22" fillId="35" borderId="1" xfId="73" applyNumberFormat="1" applyFont="1" applyFill="1" applyBorder="1" applyAlignment="1" applyProtection="1">
      <alignment horizontal="center" vertical="center"/>
    </xf>
    <xf numFmtId="0" fontId="0" fillId="0" borderId="0" xfId="0" applyProtection="1">
      <protection locked="0"/>
    </xf>
    <xf numFmtId="0" fontId="31" fillId="0" borderId="0" xfId="0" applyFont="1" applyProtection="1">
      <protection locked="0"/>
    </xf>
    <xf numFmtId="0" fontId="14" fillId="0" borderId="0" xfId="0" applyFont="1" applyFill="1" applyProtection="1">
      <protection locked="0"/>
    </xf>
    <xf numFmtId="167" fontId="0" fillId="40" borderId="1" xfId="0" applyNumberFormat="1" applyFill="1" applyBorder="1" applyProtection="1">
      <protection locked="0"/>
    </xf>
    <xf numFmtId="0" fontId="10" fillId="0" borderId="0" xfId="0" applyFont="1" applyProtection="1">
      <protection locked="0"/>
    </xf>
    <xf numFmtId="0" fontId="62" fillId="0" borderId="0" xfId="0" applyFont="1" applyFill="1" applyProtection="1">
      <protection locked="0"/>
    </xf>
    <xf numFmtId="0" fontId="10" fillId="0" borderId="0" xfId="0" applyFont="1" applyFill="1" applyProtection="1">
      <protection locked="0"/>
    </xf>
    <xf numFmtId="0" fontId="0" fillId="0" borderId="0" xfId="0" applyAlignment="1" applyProtection="1">
      <alignment wrapText="1"/>
      <protection locked="0"/>
    </xf>
    <xf numFmtId="0" fontId="31" fillId="0" borderId="0" xfId="0" applyFont="1" applyAlignment="1" applyProtection="1">
      <alignment horizontal="center"/>
      <protection locked="0"/>
    </xf>
    <xf numFmtId="167" fontId="31" fillId="2" borderId="1" xfId="0" applyNumberFormat="1" applyFont="1" applyFill="1" applyBorder="1" applyProtection="1">
      <protection locked="0"/>
    </xf>
    <xf numFmtId="0" fontId="0" fillId="0" borderId="0" xfId="0" applyAlignment="1" applyProtection="1">
      <alignment vertical="center"/>
      <protection locked="0"/>
    </xf>
    <xf numFmtId="0" fontId="4" fillId="0" borderId="0" xfId="0" applyFont="1" applyAlignment="1" applyProtection="1">
      <alignment wrapText="1"/>
      <protection locked="0"/>
    </xf>
    <xf numFmtId="0" fontId="0" fillId="0" borderId="0" xfId="0" applyAlignment="1" applyProtection="1">
      <alignment horizontal="center" vertical="center"/>
      <protection locked="0"/>
    </xf>
    <xf numFmtId="0" fontId="0" fillId="0" borderId="0" xfId="0" applyAlignment="1">
      <alignment wrapText="1"/>
    </xf>
    <xf numFmtId="0" fontId="0" fillId="0" borderId="0" xfId="0" applyAlignment="1">
      <alignment horizontal="center"/>
    </xf>
    <xf numFmtId="198" fontId="0" fillId="40" borderId="1" xfId="0" applyNumberFormat="1" applyFill="1" applyBorder="1" applyProtection="1">
      <protection locked="0"/>
    </xf>
    <xf numFmtId="0" fontId="14" fillId="43" borderId="0" xfId="0" applyFont="1" applyFill="1" applyProtection="1">
      <protection locked="0"/>
    </xf>
    <xf numFmtId="0" fontId="0" fillId="43" borderId="0" xfId="0" applyFill="1" applyAlignment="1" applyProtection="1">
      <alignment horizontal="center" vertical="center"/>
      <protection locked="0"/>
    </xf>
    <xf numFmtId="0" fontId="31" fillId="43" borderId="0" xfId="0" applyFont="1" applyFill="1" applyAlignment="1" applyProtection="1">
      <alignment vertical="center" wrapText="1"/>
      <protection locked="0"/>
    </xf>
    <xf numFmtId="0" fontId="9" fillId="0" borderId="0" xfId="0" applyFont="1" applyAlignment="1">
      <alignment wrapText="1"/>
    </xf>
    <xf numFmtId="9" fontId="0" fillId="0" borderId="0" xfId="76" applyFont="1" applyAlignment="1">
      <alignment horizontal="center"/>
    </xf>
    <xf numFmtId="9" fontId="9" fillId="0" borderId="0" xfId="76" applyFont="1" applyAlignment="1">
      <alignment horizontal="center"/>
    </xf>
    <xf numFmtId="0" fontId="0" fillId="130" borderId="1" xfId="0" applyFill="1" applyBorder="1" applyAlignment="1">
      <alignment horizontal="center"/>
    </xf>
    <xf numFmtId="0" fontId="9" fillId="130" borderId="1" xfId="0" applyFont="1" applyFill="1" applyBorder="1" applyAlignment="1">
      <alignment horizontal="center"/>
    </xf>
    <xf numFmtId="167" fontId="0" fillId="40" borderId="1" xfId="0" applyNumberFormat="1" applyFill="1" applyBorder="1" applyAlignment="1">
      <alignment horizontal="center"/>
    </xf>
    <xf numFmtId="167" fontId="0" fillId="130" borderId="1" xfId="0" applyNumberFormat="1" applyFill="1" applyBorder="1" applyProtection="1">
      <protection locked="0"/>
    </xf>
    <xf numFmtId="198" fontId="0" fillId="130" borderId="1" xfId="0" applyNumberFormat="1" applyFill="1" applyBorder="1" applyProtection="1">
      <protection locked="0"/>
    </xf>
    <xf numFmtId="0" fontId="31" fillId="36" borderId="0" xfId="0" applyFont="1" applyFill="1" applyAlignment="1" applyProtection="1">
      <alignment vertical="center" wrapText="1"/>
      <protection locked="0"/>
    </xf>
    <xf numFmtId="0" fontId="31" fillId="36" borderId="0" xfId="0" applyFont="1" applyFill="1" applyAlignment="1" applyProtection="1">
      <alignment vertical="center" wrapText="1"/>
      <protection locked="0"/>
    </xf>
    <xf numFmtId="199" fontId="31" fillId="36" borderId="0" xfId="0" applyNumberFormat="1" applyFont="1" applyFill="1" applyAlignment="1" applyProtection="1">
      <alignment vertical="center" wrapText="1"/>
      <protection locked="0"/>
    </xf>
    <xf numFmtId="200" fontId="31" fillId="0" borderId="0" xfId="0" applyNumberFormat="1" applyFont="1" applyProtection="1">
      <protection locked="0"/>
    </xf>
    <xf numFmtId="197" fontId="0" fillId="40" borderId="1" xfId="0" applyNumberFormat="1" applyFill="1" applyBorder="1" applyProtection="1">
      <protection locked="0"/>
    </xf>
    <xf numFmtId="0" fontId="4" fillId="0" borderId="0" xfId="0" applyFont="1" applyAlignment="1">
      <alignment wrapText="1"/>
    </xf>
    <xf numFmtId="9" fontId="4" fillId="0" borderId="0" xfId="76" applyFont="1" applyAlignment="1">
      <alignment horizontal="center"/>
    </xf>
    <xf numFmtId="0" fontId="54" fillId="0" borderId="0" xfId="0" applyFont="1" applyFill="1" applyProtection="1">
      <protection locked="0"/>
    </xf>
    <xf numFmtId="0" fontId="4" fillId="130" borderId="1" xfId="0" applyFont="1" applyFill="1" applyBorder="1" applyAlignment="1">
      <alignment horizontal="center"/>
    </xf>
    <xf numFmtId="0" fontId="21" fillId="0" borderId="0" xfId="0" applyFont="1" applyFill="1" applyProtection="1">
      <protection locked="0"/>
    </xf>
    <xf numFmtId="202" fontId="31" fillId="44" borderId="1" xfId="0" applyNumberFormat="1" applyFont="1" applyFill="1" applyBorder="1" applyProtection="1">
      <protection locked="0"/>
    </xf>
    <xf numFmtId="171" fontId="153" fillId="0" borderId="0" xfId="3" quotePrefix="1" applyNumberFormat="1" applyFont="1" applyProtection="1">
      <protection locked="0"/>
    </xf>
    <xf numFmtId="167" fontId="9" fillId="0" borderId="0" xfId="0" applyNumberFormat="1" applyFont="1" applyBorder="1" applyAlignment="1" applyProtection="1">
      <alignment horizontal="center"/>
      <protection locked="0"/>
    </xf>
    <xf numFmtId="179" fontId="31" fillId="36" borderId="0" xfId="0" applyNumberFormat="1" applyFont="1" applyFill="1" applyAlignment="1" applyProtection="1">
      <alignment vertical="top"/>
      <protection locked="0"/>
    </xf>
    <xf numFmtId="167" fontId="14" fillId="0" borderId="0" xfId="0" applyNumberFormat="1" applyFont="1" applyFill="1" applyProtection="1">
      <protection locked="0"/>
    </xf>
    <xf numFmtId="193" fontId="0" fillId="0" borderId="0" xfId="0" applyNumberFormat="1" applyProtection="1">
      <protection locked="0"/>
    </xf>
    <xf numFmtId="167" fontId="0" fillId="0" borderId="0" xfId="0" applyNumberFormat="1" applyProtection="1">
      <protection locked="0"/>
    </xf>
    <xf numFmtId="167" fontId="12" fillId="0" borderId="0" xfId="31" applyNumberFormat="1" applyFont="1" applyFill="1" applyBorder="1" applyAlignment="1" applyProtection="1">
      <alignment horizontal="right"/>
      <protection locked="0"/>
    </xf>
    <xf numFmtId="167" fontId="31" fillId="37" borderId="1" xfId="74" applyNumberFormat="1" applyFont="1" applyFill="1" applyBorder="1" applyAlignment="1" applyProtection="1">
      <alignment horizontal="center" vertical="center"/>
      <protection locked="0"/>
    </xf>
    <xf numFmtId="167" fontId="12" fillId="2" borderId="1" xfId="31" applyNumberFormat="1" applyFont="1" applyFill="1" applyBorder="1" applyAlignment="1" applyProtection="1">
      <alignment horizontal="right" wrapText="1"/>
      <protection locked="0"/>
    </xf>
    <xf numFmtId="167" fontId="12" fillId="2" borderId="1" xfId="3" applyNumberFormat="1" applyFont="1" applyFill="1" applyBorder="1" applyProtection="1">
      <protection locked="0"/>
    </xf>
    <xf numFmtId="2" fontId="12" fillId="0" borderId="11" xfId="4" applyNumberFormat="1" applyFont="1" applyFill="1" applyBorder="1" applyAlignment="1" applyProtection="1">
      <alignment horizontal="right"/>
    </xf>
    <xf numFmtId="2" fontId="12" fillId="0" borderId="0" xfId="31" applyNumberFormat="1" applyFont="1" applyFill="1" applyBorder="1" applyAlignment="1" applyProtection="1">
      <alignment horizontal="right"/>
      <protection locked="0"/>
    </xf>
    <xf numFmtId="2" fontId="11" fillId="0" borderId="10" xfId="31" applyNumberFormat="1" applyFont="1" applyFill="1" applyBorder="1" applyAlignment="1" applyProtection="1">
      <alignment horizontal="right"/>
    </xf>
    <xf numFmtId="0" fontId="31" fillId="36" borderId="0" xfId="0" applyFont="1" applyFill="1" applyAlignment="1" applyProtection="1">
      <alignment horizontal="left" vertical="top"/>
    </xf>
    <xf numFmtId="174" fontId="0" fillId="0" borderId="0" xfId="0" applyNumberFormat="1" applyProtection="1">
      <protection locked="0"/>
    </xf>
    <xf numFmtId="203" fontId="0" fillId="0" borderId="0" xfId="0" applyNumberFormat="1" applyProtection="1">
      <protection locked="0"/>
    </xf>
    <xf numFmtId="174" fontId="31" fillId="0" borderId="1" xfId="74" applyNumberFormat="1" applyFont="1" applyFill="1" applyBorder="1" applyAlignment="1" applyProtection="1">
      <alignment horizontal="center" vertical="center"/>
      <protection locked="0"/>
    </xf>
    <xf numFmtId="202" fontId="0" fillId="40" borderId="1" xfId="0" applyNumberFormat="1" applyFill="1" applyBorder="1" applyProtection="1">
      <protection locked="0"/>
    </xf>
    <xf numFmtId="202" fontId="4" fillId="40" borderId="1" xfId="0" applyNumberFormat="1" applyFont="1" applyFill="1" applyBorder="1" applyProtection="1">
      <protection locked="0"/>
    </xf>
    <xf numFmtId="0" fontId="31" fillId="0" borderId="0" xfId="81" applyFont="1" applyFill="1" applyProtection="1">
      <protection locked="0"/>
    </xf>
    <xf numFmtId="173" fontId="22" fillId="0" borderId="0" xfId="73" applyNumberFormat="1" applyFont="1" applyFill="1" applyBorder="1" applyAlignment="1" applyProtection="1">
      <alignment horizontal="center" vertical="center"/>
    </xf>
    <xf numFmtId="0" fontId="22" fillId="0" borderId="0" xfId="81" applyFont="1" applyFill="1" applyBorder="1" applyProtection="1">
      <protection locked="0"/>
    </xf>
    <xf numFmtId="0" fontId="22" fillId="0" borderId="0" xfId="0" applyFont="1" applyFill="1" applyBorder="1" applyProtection="1">
      <protection locked="0"/>
    </xf>
    <xf numFmtId="167" fontId="22" fillId="0" borderId="14" xfId="0" applyNumberFormat="1" applyFont="1" applyFill="1" applyBorder="1" applyProtection="1">
      <protection locked="0"/>
    </xf>
    <xf numFmtId="167" fontId="31" fillId="0" borderId="0" xfId="0" applyNumberFormat="1" applyFont="1" applyFill="1" applyBorder="1" applyProtection="1"/>
    <xf numFmtId="0" fontId="71" fillId="0" borderId="0" xfId="0" applyFont="1" applyFill="1" applyProtection="1">
      <protection locked="0"/>
    </xf>
    <xf numFmtId="0" fontId="88" fillId="0" borderId="0" xfId="81" applyFont="1" applyFill="1" applyProtection="1">
      <protection locked="0"/>
    </xf>
    <xf numFmtId="174" fontId="31" fillId="42" borderId="1" xfId="0" applyNumberFormat="1" applyFont="1" applyFill="1" applyBorder="1" applyAlignment="1" applyProtection="1">
      <protection locked="0"/>
    </xf>
    <xf numFmtId="190" fontId="31" fillId="0" borderId="0" xfId="0" applyNumberFormat="1" applyFont="1" applyFill="1" applyProtection="1">
      <protection locked="0"/>
    </xf>
    <xf numFmtId="167" fontId="31" fillId="0" borderId="0" xfId="0" applyNumberFormat="1" applyFont="1" applyFill="1" applyProtection="1">
      <protection locked="0"/>
    </xf>
    <xf numFmtId="200" fontId="31" fillId="0" borderId="0" xfId="0" applyNumberFormat="1" applyFont="1" applyFill="1" applyProtection="1">
      <protection locked="0"/>
    </xf>
    <xf numFmtId="167" fontId="31" fillId="0" borderId="7" xfId="0" applyNumberFormat="1" applyFont="1" applyFill="1" applyBorder="1" applyProtection="1"/>
    <xf numFmtId="193" fontId="31" fillId="44" borderId="1" xfId="0" applyNumberFormat="1" applyFont="1" applyFill="1" applyBorder="1" applyProtection="1">
      <protection locked="0"/>
    </xf>
    <xf numFmtId="174" fontId="31" fillId="0" borderId="0" xfId="0" applyNumberFormat="1" applyFont="1" applyProtection="1">
      <protection locked="0"/>
    </xf>
    <xf numFmtId="167" fontId="4" fillId="41" borderId="1" xfId="0" applyNumberFormat="1" applyFont="1" applyFill="1" applyBorder="1" applyAlignment="1" applyProtection="1">
      <alignment horizontal="center"/>
    </xf>
    <xf numFmtId="0" fontId="22" fillId="0" borderId="0" xfId="81" applyFont="1" applyFill="1" applyProtection="1">
      <protection locked="0"/>
    </xf>
    <xf numFmtId="0" fontId="48" fillId="0" borderId="0" xfId="0" applyFont="1" applyFill="1" applyAlignment="1" applyProtection="1">
      <alignment vertical="center" wrapText="1"/>
      <protection locked="0"/>
    </xf>
    <xf numFmtId="0" fontId="10" fillId="0" borderId="0" xfId="0" applyFont="1" applyFill="1" applyAlignment="1" applyProtection="1">
      <alignment vertical="center" wrapText="1"/>
      <protection locked="0"/>
    </xf>
    <xf numFmtId="0" fontId="10" fillId="0" borderId="0" xfId="0" applyFont="1" applyFill="1" applyAlignment="1" applyProtection="1">
      <alignment vertical="center"/>
      <protection locked="0"/>
    </xf>
    <xf numFmtId="167" fontId="22" fillId="0" borderId="0" xfId="0" applyNumberFormat="1" applyFont="1" applyFill="1" applyBorder="1" applyProtection="1">
      <protection locked="0"/>
    </xf>
    <xf numFmtId="0" fontId="22" fillId="0" borderId="0" xfId="0" applyFont="1" applyFill="1" applyProtection="1">
      <protection locked="0"/>
    </xf>
    <xf numFmtId="0" fontId="54" fillId="0" borderId="0" xfId="81" applyFont="1" applyProtection="1">
      <protection locked="0"/>
    </xf>
    <xf numFmtId="200" fontId="31" fillId="44" borderId="1" xfId="0" applyNumberFormat="1" applyFont="1" applyFill="1" applyBorder="1" applyProtection="1">
      <protection locked="0"/>
    </xf>
    <xf numFmtId="167" fontId="31" fillId="0" borderId="16" xfId="0" applyNumberFormat="1" applyFont="1" applyFill="1" applyBorder="1" applyProtection="1">
      <protection locked="0"/>
    </xf>
    <xf numFmtId="193" fontId="31" fillId="0" borderId="0" xfId="0" applyNumberFormat="1" applyFont="1" applyFill="1" applyBorder="1" applyProtection="1">
      <protection locked="0"/>
    </xf>
    <xf numFmtId="200" fontId="31" fillId="0" borderId="0" xfId="0" applyNumberFormat="1" applyFont="1" applyFill="1" applyBorder="1" applyProtection="1">
      <protection locked="0"/>
    </xf>
    <xf numFmtId="167" fontId="31" fillId="0" borderId="0" xfId="0" applyNumberFormat="1" applyFont="1" applyFill="1" applyBorder="1" applyAlignment="1" applyProtection="1">
      <alignment horizontal="left" indent="2"/>
      <protection locked="0"/>
    </xf>
    <xf numFmtId="0" fontId="54" fillId="0" borderId="0" xfId="81" applyFont="1" applyFill="1" applyProtection="1">
      <protection locked="0"/>
    </xf>
    <xf numFmtId="0" fontId="5" fillId="0" borderId="0" xfId="81" applyFill="1" applyProtection="1">
      <protection locked="0"/>
    </xf>
    <xf numFmtId="0" fontId="5" fillId="0" borderId="0" xfId="81" applyFont="1" applyFill="1" applyProtection="1">
      <protection locked="0"/>
    </xf>
    <xf numFmtId="176" fontId="31" fillId="44" borderId="1" xfId="0" applyNumberFormat="1" applyFont="1" applyFill="1" applyBorder="1" applyProtection="1">
      <protection locked="0"/>
    </xf>
    <xf numFmtId="4" fontId="31" fillId="44" borderId="1" xfId="0" applyNumberFormat="1" applyFont="1" applyFill="1" applyBorder="1" applyProtection="1">
      <protection locked="0"/>
    </xf>
    <xf numFmtId="167" fontId="31" fillId="0" borderId="20" xfId="0" applyNumberFormat="1" applyFont="1" applyFill="1" applyBorder="1" applyProtection="1">
      <protection locked="0"/>
    </xf>
    <xf numFmtId="167" fontId="31" fillId="0" borderId="12" xfId="0" applyNumberFormat="1" applyFont="1" applyFill="1" applyBorder="1" applyProtection="1">
      <protection locked="0"/>
    </xf>
    <xf numFmtId="173" fontId="31" fillId="0" borderId="0" xfId="0" applyNumberFormat="1" applyFont="1" applyFill="1" applyBorder="1" applyAlignment="1" applyProtection="1">
      <alignment horizontal="center"/>
      <protection locked="0"/>
    </xf>
    <xf numFmtId="173" fontId="31" fillId="0" borderId="0" xfId="0" applyNumberFormat="1" applyFont="1" applyFill="1" applyBorder="1" applyAlignment="1" applyProtection="1">
      <protection locked="0"/>
    </xf>
    <xf numFmtId="167" fontId="31" fillId="0" borderId="0" xfId="0" applyNumberFormat="1" applyFont="1" applyFill="1" applyBorder="1" applyAlignment="1" applyProtection="1">
      <protection locked="0"/>
    </xf>
    <xf numFmtId="0" fontId="66" fillId="0" borderId="0" xfId="81" applyFont="1" applyFill="1" applyProtection="1">
      <protection locked="0"/>
    </xf>
    <xf numFmtId="167" fontId="31" fillId="44" borderId="17" xfId="0" applyNumberFormat="1" applyFont="1" applyFill="1" applyBorder="1" applyProtection="1">
      <protection locked="0"/>
    </xf>
    <xf numFmtId="174" fontId="31" fillId="0" borderId="0" xfId="0" applyNumberFormat="1" applyFont="1" applyFill="1" applyBorder="1" applyAlignment="1" applyProtection="1">
      <protection locked="0"/>
    </xf>
    <xf numFmtId="173" fontId="31" fillId="0" borderId="7" xfId="0" applyNumberFormat="1" applyFont="1" applyFill="1" applyBorder="1" applyAlignment="1" applyProtection="1">
      <protection locked="0"/>
    </xf>
    <xf numFmtId="0" fontId="66" fillId="0" borderId="0" xfId="0" applyFont="1" applyFill="1" applyProtection="1">
      <protection locked="0"/>
    </xf>
    <xf numFmtId="174" fontId="31" fillId="0" borderId="14" xfId="0" applyNumberFormat="1" applyFont="1" applyFill="1" applyBorder="1" applyAlignment="1" applyProtection="1">
      <protection locked="0"/>
    </xf>
    <xf numFmtId="0" fontId="31" fillId="36" borderId="0" xfId="0" applyFont="1" applyFill="1" applyAlignment="1" applyProtection="1">
      <alignment vertical="center" wrapText="1"/>
      <protection locked="0"/>
    </xf>
    <xf numFmtId="176" fontId="5" fillId="40" borderId="1" xfId="0" applyNumberFormat="1" applyFont="1" applyFill="1" applyBorder="1" applyProtection="1">
      <protection locked="0"/>
    </xf>
    <xf numFmtId="187" fontId="80" fillId="41" borderId="1" xfId="4" applyNumberFormat="1" applyFont="1" applyFill="1" applyBorder="1" applyProtection="1"/>
    <xf numFmtId="0" fontId="0" fillId="0" borderId="0" xfId="0" applyFill="1" applyAlignment="1" applyProtection="1">
      <alignment horizontal="center"/>
      <protection locked="0"/>
    </xf>
    <xf numFmtId="0" fontId="10" fillId="0" borderId="0" xfId="0" applyFont="1" applyFill="1" applyBorder="1" applyAlignment="1" applyProtection="1">
      <alignment vertical="center" wrapText="1"/>
      <protection locked="0"/>
    </xf>
    <xf numFmtId="173" fontId="31" fillId="0" borderId="16" xfId="73" applyNumberFormat="1" applyFont="1" applyFill="1" applyBorder="1" applyAlignment="1" applyProtection="1">
      <alignment horizontal="center" vertical="center"/>
    </xf>
    <xf numFmtId="0" fontId="14" fillId="0" borderId="19" xfId="0" applyFont="1" applyFill="1" applyBorder="1" applyProtection="1">
      <protection locked="0"/>
    </xf>
    <xf numFmtId="0" fontId="47" fillId="0" borderId="0" xfId="81" applyFont="1" applyFill="1" applyProtection="1">
      <protection locked="0"/>
    </xf>
    <xf numFmtId="189" fontId="0" fillId="0" borderId="0" xfId="0" applyNumberFormat="1" applyFont="1" applyFill="1" applyProtection="1">
      <protection locked="0"/>
    </xf>
    <xf numFmtId="176" fontId="31" fillId="0" borderId="0" xfId="76" applyNumberFormat="1" applyFont="1" applyProtection="1">
      <protection locked="0"/>
    </xf>
    <xf numFmtId="0" fontId="31" fillId="36" borderId="0" xfId="0" applyFont="1" applyFill="1" applyAlignment="1" applyProtection="1">
      <alignment vertical="center" wrapText="1"/>
      <protection locked="0"/>
    </xf>
    <xf numFmtId="0" fontId="0" fillId="0" borderId="0" xfId="0" applyAlignment="1">
      <alignment vertical="top"/>
    </xf>
    <xf numFmtId="0" fontId="0" fillId="0" borderId="0" xfId="0" applyAlignment="1">
      <alignment vertical="top" wrapText="1"/>
    </xf>
    <xf numFmtId="0" fontId="156" fillId="0" borderId="0" xfId="0" applyFont="1" applyProtection="1">
      <protection locked="0"/>
    </xf>
    <xf numFmtId="0" fontId="23" fillId="0" borderId="0" xfId="0" applyFont="1" applyAlignment="1" applyProtection="1">
      <alignment horizontal="left"/>
      <protection locked="0"/>
    </xf>
    <xf numFmtId="0" fontId="157" fillId="0" borderId="0" xfId="0" applyFont="1" applyAlignment="1" applyProtection="1">
      <alignment horizontal="left"/>
      <protection locked="0"/>
    </xf>
    <xf numFmtId="0" fontId="31" fillId="36" borderId="0" xfId="0" applyFont="1" applyFill="1" applyAlignment="1" applyProtection="1">
      <alignment vertical="center" wrapText="1"/>
      <protection locked="0"/>
    </xf>
    <xf numFmtId="0" fontId="10" fillId="0" borderId="0" xfId="0" applyFont="1" applyAlignment="1" applyProtection="1">
      <alignment horizontal="right"/>
      <protection locked="0"/>
    </xf>
    <xf numFmtId="0" fontId="0" fillId="0" borderId="0" xfId="0" applyAlignment="1">
      <alignment horizontal="center" vertical="top"/>
    </xf>
    <xf numFmtId="0" fontId="0" fillId="0" borderId="0" xfId="0" applyAlignment="1">
      <alignment horizontal="left" vertical="top" wrapText="1"/>
    </xf>
    <xf numFmtId="0" fontId="31" fillId="36" borderId="0" xfId="0" applyFont="1" applyFill="1" applyAlignment="1" applyProtection="1">
      <alignment vertical="center" wrapText="1"/>
      <protection locked="0"/>
    </xf>
    <xf numFmtId="180" fontId="31" fillId="131" borderId="1" xfId="74" applyNumberFormat="1" applyFont="1" applyFill="1" applyBorder="1" applyAlignment="1" applyProtection="1">
      <alignment horizontal="center" vertical="center"/>
      <protection locked="0"/>
    </xf>
    <xf numFmtId="174" fontId="31" fillId="131" borderId="1" xfId="74" applyNumberFormat="1" applyFont="1" applyFill="1" applyBorder="1" applyAlignment="1" applyProtection="1">
      <alignment horizontal="center" vertical="center"/>
      <protection locked="0"/>
    </xf>
    <xf numFmtId="183" fontId="31" fillId="131" borderId="1" xfId="74" applyNumberFormat="1" applyFont="1" applyFill="1" applyBorder="1" applyAlignment="1" applyProtection="1">
      <alignment horizontal="center" vertical="center"/>
      <protection locked="0"/>
    </xf>
    <xf numFmtId="183" fontId="31" fillId="131" borderId="1" xfId="0" applyNumberFormat="1" applyFont="1" applyFill="1" applyBorder="1" applyAlignment="1" applyProtection="1">
      <alignment horizontal="center" vertical="top"/>
    </xf>
    <xf numFmtId="0" fontId="31" fillId="0" borderId="0" xfId="0" applyFont="1" applyAlignment="1" applyProtection="1">
      <alignment vertical="top"/>
      <protection locked="0"/>
    </xf>
    <xf numFmtId="0" fontId="10" fillId="0" borderId="0" xfId="0" applyFont="1" applyAlignment="1" applyProtection="1">
      <alignment vertical="top"/>
      <protection locked="0"/>
    </xf>
    <xf numFmtId="0" fontId="9" fillId="0" borderId="0" xfId="0" applyFont="1" applyFill="1" applyBorder="1" applyAlignment="1" applyProtection="1">
      <alignment horizontal="center"/>
      <protection locked="0"/>
    </xf>
    <xf numFmtId="173" fontId="22" fillId="129" borderId="1" xfId="73" applyNumberFormat="1" applyFont="1" applyFill="1" applyBorder="1" applyAlignment="1" applyProtection="1">
      <alignment horizontal="center" vertical="center"/>
    </xf>
    <xf numFmtId="179" fontId="0" fillId="131" borderId="1" xfId="0" applyNumberFormat="1" applyFill="1" applyBorder="1" applyProtection="1">
      <protection locked="0"/>
    </xf>
    <xf numFmtId="179" fontId="31" fillId="131" borderId="1" xfId="0" applyNumberFormat="1" applyFont="1" applyFill="1" applyBorder="1" applyProtection="1">
      <protection locked="0"/>
    </xf>
    <xf numFmtId="167" fontId="0" fillId="131" borderId="1" xfId="0" applyNumberFormat="1" applyFill="1" applyBorder="1" applyProtection="1">
      <protection locked="0"/>
    </xf>
    <xf numFmtId="167" fontId="4" fillId="131" borderId="1" xfId="0" applyNumberFormat="1" applyFont="1" applyFill="1" applyBorder="1" applyProtection="1">
      <protection locked="0"/>
    </xf>
    <xf numFmtId="167" fontId="31" fillId="131" borderId="1" xfId="0" applyNumberFormat="1" applyFont="1" applyFill="1" applyBorder="1" applyProtection="1">
      <protection locked="0"/>
    </xf>
    <xf numFmtId="167" fontId="4" fillId="131" borderId="1" xfId="0" applyNumberFormat="1" applyFont="1" applyFill="1" applyBorder="1" applyProtection="1"/>
    <xf numFmtId="182" fontId="22" fillId="131" borderId="1" xfId="73" applyNumberFormat="1" applyFont="1" applyFill="1" applyBorder="1" applyAlignment="1" applyProtection="1">
      <alignment horizontal="center" vertical="center"/>
    </xf>
    <xf numFmtId="43" fontId="0" fillId="0" borderId="0" xfId="0" applyNumberFormat="1" applyProtection="1">
      <protection locked="0"/>
    </xf>
    <xf numFmtId="0" fontId="0" fillId="0" borderId="0" xfId="0" applyFill="1" applyAlignment="1">
      <alignment vertical="top"/>
    </xf>
    <xf numFmtId="0" fontId="0" fillId="0" borderId="0" xfId="0" applyFill="1" applyAlignment="1">
      <alignment horizontal="center" vertical="top"/>
    </xf>
    <xf numFmtId="0" fontId="0" fillId="0" borderId="0" xfId="0" applyFill="1"/>
    <xf numFmtId="0" fontId="0" fillId="0" borderId="0" xfId="0" applyFill="1" applyAlignment="1">
      <alignment vertical="top" wrapText="1"/>
    </xf>
    <xf numFmtId="176" fontId="0" fillId="131" borderId="1" xfId="76" applyNumberFormat="1" applyFont="1" applyFill="1" applyBorder="1" applyProtection="1">
      <protection locked="0"/>
    </xf>
    <xf numFmtId="0" fontId="4" fillId="129" borderId="0" xfId="0" applyFont="1" applyFill="1" applyProtection="1">
      <protection locked="0"/>
    </xf>
    <xf numFmtId="0" fontId="4" fillId="0" borderId="0" xfId="0" applyFont="1" applyFill="1" applyAlignment="1">
      <alignment horizontal="right"/>
    </xf>
    <xf numFmtId="0" fontId="4" fillId="0" borderId="0" xfId="0" applyFont="1" applyFill="1" applyAlignment="1">
      <alignment horizontal="center" wrapText="1"/>
    </xf>
    <xf numFmtId="0" fontId="4" fillId="0" borderId="0" xfId="0" applyFont="1" applyAlignment="1"/>
    <xf numFmtId="0" fontId="9" fillId="0" borderId="0" xfId="0" applyFont="1" applyFill="1" applyBorder="1" applyAlignment="1" applyProtection="1">
      <alignment horizontal="center"/>
      <protection locked="0"/>
    </xf>
    <xf numFmtId="0" fontId="0" fillId="0" borderId="0" xfId="0" applyAlignment="1">
      <alignment horizontal="center" vertical="top" wrapText="1"/>
    </xf>
    <xf numFmtId="0" fontId="0" fillId="129" borderId="0" xfId="0" applyFill="1" applyAlignment="1">
      <alignment vertical="top" wrapText="1"/>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right" vertical="top"/>
    </xf>
    <xf numFmtId="0" fontId="0" fillId="0" borderId="0" xfId="0" applyAlignment="1">
      <alignment horizontal="right" vertical="center"/>
    </xf>
    <xf numFmtId="0" fontId="0" fillId="0" borderId="0" xfId="0" applyBorder="1" applyAlignment="1" applyProtection="1">
      <alignment horizontal="center"/>
      <protection locked="0"/>
    </xf>
    <xf numFmtId="0" fontId="14" fillId="0" borderId="0" xfId="0" applyFont="1" applyFill="1" applyAlignment="1" applyProtection="1">
      <alignment horizontal="center"/>
      <protection locked="0"/>
    </xf>
    <xf numFmtId="0" fontId="4" fillId="0" borderId="0" xfId="0" applyFont="1" applyAlignment="1">
      <alignment horizontal="left" vertical="center"/>
    </xf>
    <xf numFmtId="0" fontId="0" fillId="0" borderId="0" xfId="0" quotePrefix="1" applyAlignment="1">
      <alignment vertical="top"/>
    </xf>
    <xf numFmtId="0" fontId="0" fillId="0" borderId="0" xfId="0" applyFill="1" applyAlignment="1">
      <alignment horizontal="center"/>
    </xf>
    <xf numFmtId="0" fontId="0" fillId="0" borderId="0" xfId="0" applyAlignment="1">
      <alignment vertical="center"/>
    </xf>
    <xf numFmtId="183" fontId="31" fillId="44" borderId="1" xfId="74" applyNumberFormat="1" applyFont="1" applyFill="1" applyBorder="1" applyAlignment="1" applyProtection="1">
      <alignment horizontal="center" vertical="center"/>
      <protection locked="0"/>
    </xf>
    <xf numFmtId="14" fontId="31" fillId="38" borderId="1" xfId="0" quotePrefix="1" applyNumberFormat="1" applyFont="1" applyFill="1" applyBorder="1" applyAlignment="1" applyProtection="1">
      <alignment horizontal="center"/>
    </xf>
    <xf numFmtId="4" fontId="31" fillId="2" borderId="1" xfId="0" applyNumberFormat="1" applyFont="1" applyFill="1" applyBorder="1" applyProtection="1">
      <protection locked="0"/>
    </xf>
    <xf numFmtId="2" fontId="31" fillId="2" borderId="1" xfId="0" applyNumberFormat="1" applyFont="1" applyFill="1" applyBorder="1" applyProtection="1">
      <protection locked="0"/>
    </xf>
    <xf numFmtId="2" fontId="0" fillId="0" borderId="0" xfId="0" applyNumberFormat="1" applyProtection="1">
      <protection locked="0"/>
    </xf>
    <xf numFmtId="2" fontId="0" fillId="0" borderId="0" xfId="0" applyNumberFormat="1" applyFill="1" applyBorder="1" applyProtection="1">
      <protection locked="0"/>
    </xf>
    <xf numFmtId="2" fontId="31" fillId="0" borderId="0" xfId="0" applyNumberFormat="1" applyFont="1" applyProtection="1">
      <protection locked="0"/>
    </xf>
    <xf numFmtId="2" fontId="31" fillId="0" borderId="18" xfId="0" applyNumberFormat="1" applyFont="1" applyFill="1" applyBorder="1" applyAlignment="1" applyProtection="1">
      <alignment horizontal="center"/>
      <protection locked="0"/>
    </xf>
    <xf numFmtId="2" fontId="31" fillId="0" borderId="0" xfId="0" applyNumberFormat="1" applyFont="1" applyFill="1" applyBorder="1" applyProtection="1">
      <protection locked="0"/>
    </xf>
    <xf numFmtId="2" fontId="31" fillId="2" borderId="1" xfId="0" applyNumberFormat="1" applyFont="1" applyFill="1" applyBorder="1" applyAlignment="1" applyProtection="1">
      <protection locked="0"/>
    </xf>
    <xf numFmtId="2" fontId="31" fillId="0" borderId="19" xfId="0" applyNumberFormat="1" applyFont="1" applyFill="1" applyBorder="1" applyProtection="1">
      <protection locked="0"/>
    </xf>
    <xf numFmtId="2" fontId="31" fillId="0" borderId="18" xfId="0" applyNumberFormat="1" applyFont="1" applyFill="1" applyBorder="1" applyProtection="1">
      <protection locked="0"/>
    </xf>
    <xf numFmtId="2" fontId="5" fillId="0" borderId="0" xfId="81" applyNumberFormat="1" applyFont="1" applyProtection="1">
      <protection locked="0"/>
    </xf>
    <xf numFmtId="205" fontId="0" fillId="0" borderId="0" xfId="0" applyNumberFormat="1" applyProtection="1">
      <protection locked="0"/>
    </xf>
    <xf numFmtId="205" fontId="14" fillId="0" borderId="0" xfId="0" applyNumberFormat="1" applyFont="1" applyFill="1" applyProtection="1">
      <protection locked="0"/>
    </xf>
    <xf numFmtId="174" fontId="31" fillId="36" borderId="0" xfId="0" applyNumberFormat="1" applyFont="1" applyFill="1" applyAlignment="1" applyProtection="1">
      <alignment vertical="center" wrapText="1"/>
      <protection locked="0"/>
    </xf>
    <xf numFmtId="204" fontId="31" fillId="37" borderId="1" xfId="74" applyNumberFormat="1" applyFont="1" applyFill="1" applyBorder="1" applyAlignment="1" applyProtection="1">
      <alignment horizontal="center" vertical="center"/>
      <protection locked="0"/>
    </xf>
    <xf numFmtId="4" fontId="0" fillId="2" borderId="1" xfId="0" applyNumberFormat="1" applyFill="1" applyBorder="1" applyProtection="1">
      <protection locked="0"/>
    </xf>
    <xf numFmtId="4" fontId="31" fillId="43" borderId="12" xfId="0" applyNumberFormat="1" applyFont="1" applyFill="1" applyBorder="1" applyProtection="1">
      <protection locked="0"/>
    </xf>
    <xf numFmtId="4" fontId="31" fillId="43" borderId="5" xfId="0" applyNumberFormat="1" applyFont="1" applyFill="1" applyBorder="1" applyProtection="1">
      <protection locked="0"/>
    </xf>
    <xf numFmtId="4" fontId="10" fillId="2" borderId="1" xfId="0" applyNumberFormat="1" applyFont="1" applyFill="1" applyBorder="1" applyProtection="1">
      <protection locked="0"/>
    </xf>
    <xf numFmtId="4" fontId="0" fillId="2" borderId="1" xfId="0" applyNumberFormat="1" applyFill="1" applyBorder="1" applyAlignment="1" applyProtection="1">
      <alignment vertical="center"/>
      <protection locked="0"/>
    </xf>
    <xf numFmtId="0" fontId="31" fillId="0" borderId="0" xfId="0" applyFont="1" applyFill="1" applyAlignment="1" applyProtection="1">
      <alignment vertical="center"/>
      <protection locked="0"/>
    </xf>
    <xf numFmtId="204" fontId="31" fillId="131" borderId="1" xfId="74" applyNumberFormat="1" applyFont="1" applyFill="1" applyBorder="1" applyAlignment="1" applyProtection="1">
      <alignment horizontal="center" vertical="center"/>
      <protection locked="0"/>
    </xf>
    <xf numFmtId="174" fontId="56" fillId="37" borderId="1" xfId="74" applyNumberFormat="1" applyFont="1" applyFill="1" applyBorder="1" applyAlignment="1" applyProtection="1">
      <alignment horizontal="center" vertical="center"/>
      <protection locked="0"/>
    </xf>
    <xf numFmtId="184" fontId="22" fillId="0" borderId="0" xfId="0" applyNumberFormat="1" applyFont="1" applyProtection="1">
      <protection locked="0"/>
    </xf>
    <xf numFmtId="0" fontId="0" fillId="0" borderId="0" xfId="0" applyFill="1" applyBorder="1" applyAlignment="1" applyProtection="1">
      <alignment vertical="center" wrapText="1"/>
      <protection locked="0"/>
    </xf>
    <xf numFmtId="0" fontId="0" fillId="0" borderId="0" xfId="0" applyFill="1" applyBorder="1" applyAlignment="1" applyProtection="1">
      <alignment wrapText="1"/>
      <protection locked="0"/>
    </xf>
    <xf numFmtId="43" fontId="0" fillId="0" borderId="0" xfId="0" applyNumberFormat="1" applyFill="1" applyBorder="1" applyProtection="1">
      <protection locked="0"/>
    </xf>
    <xf numFmtId="0" fontId="159" fillId="0" borderId="0" xfId="0" applyFont="1" applyFill="1" applyBorder="1"/>
    <xf numFmtId="0" fontId="9" fillId="129" borderId="0" xfId="0" applyFont="1" applyFill="1" applyBorder="1" applyAlignment="1" applyProtection="1">
      <alignment horizontal="center"/>
      <protection locked="0"/>
    </xf>
    <xf numFmtId="0" fontId="0" fillId="129" borderId="0" xfId="0" applyFill="1" applyProtection="1">
      <protection locked="0"/>
    </xf>
    <xf numFmtId="0" fontId="31" fillId="129" borderId="0" xfId="0" applyFont="1" applyFill="1" applyProtection="1">
      <protection locked="0"/>
    </xf>
    <xf numFmtId="10" fontId="31" fillId="0" borderId="0" xfId="76" applyNumberFormat="1" applyFont="1" applyFill="1" applyBorder="1" applyAlignment="1" applyProtection="1">
      <alignment horizontal="center" vertical="center"/>
      <protection locked="0"/>
    </xf>
    <xf numFmtId="167" fontId="0" fillId="132" borderId="1" xfId="0" applyNumberFormat="1" applyFill="1" applyBorder="1" applyProtection="1">
      <protection locked="0"/>
    </xf>
    <xf numFmtId="167" fontId="0" fillId="132" borderId="1" xfId="0" applyNumberFormat="1" applyFill="1" applyBorder="1" applyAlignment="1">
      <alignment horizontal="center"/>
    </xf>
    <xf numFmtId="173" fontId="22" fillId="132" borderId="1" xfId="73" applyNumberFormat="1" applyFont="1" applyFill="1" applyBorder="1" applyAlignment="1" applyProtection="1">
      <alignment horizontal="center" vertical="center"/>
    </xf>
    <xf numFmtId="0" fontId="9" fillId="129" borderId="1" xfId="0" applyFont="1" applyFill="1" applyBorder="1" applyAlignment="1" applyProtection="1">
      <alignment horizontal="center"/>
      <protection locked="0"/>
    </xf>
    <xf numFmtId="0" fontId="4" fillId="0" borderId="0" xfId="0" applyFont="1" applyFill="1" applyProtection="1">
      <protection locked="0"/>
    </xf>
    <xf numFmtId="0" fontId="45" fillId="0" borderId="0" xfId="0" applyFont="1" applyFill="1" applyAlignment="1" applyProtection="1">
      <alignment vertical="top"/>
      <protection locked="0"/>
    </xf>
    <xf numFmtId="0" fontId="31" fillId="129" borderId="0" xfId="81" applyFont="1" applyFill="1" applyProtection="1">
      <protection locked="0"/>
    </xf>
    <xf numFmtId="0" fontId="22" fillId="129" borderId="0" xfId="0" applyFont="1" applyFill="1" applyProtection="1">
      <protection locked="0"/>
    </xf>
    <xf numFmtId="0" fontId="4" fillId="129" borderId="0" xfId="0" applyFont="1" applyFill="1" applyAlignment="1" applyProtection="1">
      <alignment wrapText="1"/>
      <protection locked="0"/>
    </xf>
    <xf numFmtId="0" fontId="9" fillId="129" borderId="0" xfId="0" applyFont="1" applyFill="1" applyAlignment="1">
      <alignment wrapText="1"/>
    </xf>
    <xf numFmtId="0" fontId="4" fillId="129" borderId="0" xfId="0" applyFont="1" applyFill="1" applyAlignment="1">
      <alignment wrapText="1"/>
    </xf>
    <xf numFmtId="0" fontId="54" fillId="129" borderId="0" xfId="0" applyFont="1" applyFill="1" applyProtection="1">
      <protection locked="0"/>
    </xf>
    <xf numFmtId="0" fontId="31" fillId="36" borderId="0" xfId="0" applyFont="1" applyFill="1" applyAlignment="1" applyProtection="1">
      <alignment vertical="center" wrapText="1"/>
      <protection locked="0"/>
    </xf>
    <xf numFmtId="0" fontId="160" fillId="0" borderId="0" xfId="0" applyFont="1" applyProtection="1">
      <protection locked="0"/>
    </xf>
    <xf numFmtId="0" fontId="160" fillId="0" borderId="0" xfId="0" applyFont="1" applyAlignment="1" applyProtection="1">
      <alignment vertical="center" wrapText="1"/>
      <protection locked="0"/>
    </xf>
    <xf numFmtId="0" fontId="158" fillId="0" borderId="0" xfId="0" applyFont="1" applyAlignment="1">
      <alignment vertical="center"/>
    </xf>
    <xf numFmtId="173" fontId="0" fillId="40" borderId="1" xfId="0" applyNumberFormat="1" applyFont="1" applyFill="1" applyBorder="1" applyAlignment="1" applyProtection="1">
      <alignment horizontal="center"/>
    </xf>
    <xf numFmtId="187" fontId="0" fillId="0" borderId="0" xfId="76" applyNumberFormat="1" applyFont="1" applyProtection="1">
      <protection locked="0"/>
    </xf>
    <xf numFmtId="173" fontId="31" fillId="38" borderId="1" xfId="0" applyNumberFormat="1" applyFont="1" applyFill="1" applyBorder="1" applyAlignment="1" applyProtection="1">
      <alignment horizontal="left" vertical="center" wrapText="1"/>
    </xf>
    <xf numFmtId="0" fontId="31" fillId="36" borderId="0" xfId="0" applyFont="1" applyFill="1" applyAlignment="1" applyProtection="1">
      <alignment horizontal="left" vertical="top"/>
    </xf>
    <xf numFmtId="0" fontId="31" fillId="0" borderId="0" xfId="0" applyFont="1" applyAlignment="1">
      <alignment horizontal="left" vertical="top"/>
    </xf>
    <xf numFmtId="0" fontId="31" fillId="36" borderId="0" xfId="0" applyFont="1" applyFill="1" applyAlignment="1" applyProtection="1">
      <alignment vertical="center" wrapText="1"/>
      <protection locked="0"/>
    </xf>
    <xf numFmtId="0" fontId="31" fillId="37" borderId="2" xfId="75" applyNumberFormat="1" applyFont="1" applyFill="1" applyBorder="1" applyAlignment="1" applyProtection="1">
      <alignment horizontal="center" vertical="center"/>
      <protection locked="0"/>
    </xf>
    <xf numFmtId="0" fontId="31" fillId="37" borderId="7" xfId="75" applyNumberFormat="1" applyFont="1" applyFill="1" applyBorder="1" applyAlignment="1" applyProtection="1">
      <alignment horizontal="center" vertical="center"/>
      <protection locked="0"/>
    </xf>
    <xf numFmtId="0" fontId="31" fillId="37" borderId="3" xfId="75" applyNumberFormat="1" applyFont="1" applyFill="1" applyBorder="1" applyAlignment="1" applyProtection="1">
      <alignment horizontal="center" vertical="center"/>
      <protection locked="0"/>
    </xf>
    <xf numFmtId="0" fontId="43" fillId="36" borderId="4" xfId="0" applyFont="1" applyFill="1" applyBorder="1" applyAlignment="1" applyProtection="1">
      <alignment horizontal="center" vertical="center"/>
      <protection locked="0"/>
    </xf>
    <xf numFmtId="0" fontId="43" fillId="36" borderId="12" xfId="0" applyFont="1" applyFill="1" applyBorder="1" applyAlignment="1" applyProtection="1">
      <alignment horizontal="center" vertical="center"/>
      <protection locked="0"/>
    </xf>
    <xf numFmtId="0" fontId="43" fillId="36" borderId="5" xfId="0" applyFont="1" applyFill="1" applyBorder="1" applyAlignment="1" applyProtection="1">
      <alignment horizontal="center" vertical="center"/>
      <protection locked="0"/>
    </xf>
    <xf numFmtId="0" fontId="0" fillId="0" borderId="0" xfId="0" applyBorder="1" applyAlignment="1" applyProtection="1">
      <protection locked="0"/>
    </xf>
    <xf numFmtId="0" fontId="18" fillId="0" borderId="0" xfId="0" applyFont="1" applyBorder="1" applyAlignment="1" applyProtection="1">
      <alignment horizontal="center" vertical="center"/>
      <protection locked="0"/>
    </xf>
    <xf numFmtId="0" fontId="0" fillId="0" borderId="14" xfId="0" applyBorder="1" applyAlignment="1" applyProtection="1">
      <alignment horizontal="center"/>
      <protection locked="0"/>
    </xf>
    <xf numFmtId="0" fontId="0" fillId="0" borderId="15" xfId="0" applyBorder="1" applyAlignment="1" applyProtection="1">
      <alignment horizontal="center"/>
      <protection locked="0"/>
    </xf>
    <xf numFmtId="0" fontId="68" fillId="0" borderId="14" xfId="0" applyFont="1" applyBorder="1" applyAlignment="1" applyProtection="1">
      <alignment horizontal="center"/>
      <protection locked="0"/>
    </xf>
    <xf numFmtId="0" fontId="68" fillId="0" borderId="15" xfId="0" applyFont="1" applyBorder="1" applyAlignment="1" applyProtection="1">
      <alignment horizontal="center"/>
      <protection locked="0"/>
    </xf>
    <xf numFmtId="0" fontId="12" fillId="2" borderId="4" xfId="31" applyFont="1" applyFill="1" applyBorder="1" applyAlignment="1" applyProtection="1">
      <alignment horizontal="left" wrapText="1"/>
      <protection locked="0"/>
    </xf>
    <xf numFmtId="0" fontId="12" fillId="2" borderId="12" xfId="31" applyFont="1" applyFill="1" applyBorder="1" applyAlignment="1" applyProtection="1">
      <alignment horizontal="left" wrapText="1"/>
      <protection locked="0"/>
    </xf>
    <xf numFmtId="0" fontId="12" fillId="2" borderId="5" xfId="31" applyFont="1" applyFill="1" applyBorder="1" applyAlignment="1" applyProtection="1">
      <alignment horizontal="left" wrapText="1"/>
      <protection locked="0"/>
    </xf>
    <xf numFmtId="0" fontId="12" fillId="2" borderId="4" xfId="30" applyFont="1" applyFill="1" applyBorder="1" applyAlignment="1" applyProtection="1">
      <alignment horizontal="left" vertical="top" wrapText="1"/>
      <protection locked="0"/>
    </xf>
    <xf numFmtId="0" fontId="12" fillId="2" borderId="12" xfId="30" applyFont="1" applyFill="1" applyBorder="1" applyAlignment="1" applyProtection="1">
      <alignment horizontal="left" vertical="top" wrapText="1"/>
      <protection locked="0"/>
    </xf>
    <xf numFmtId="0" fontId="12" fillId="2" borderId="5" xfId="30" applyFont="1" applyFill="1" applyBorder="1" applyAlignment="1" applyProtection="1">
      <alignment horizontal="left" vertical="top" wrapText="1"/>
      <protection locked="0"/>
    </xf>
    <xf numFmtId="0" fontId="22" fillId="37" borderId="1" xfId="0" applyNumberFormat="1" applyFont="1" applyFill="1" applyBorder="1" applyAlignment="1">
      <alignment horizontal="left"/>
    </xf>
    <xf numFmtId="0" fontId="80" fillId="0" borderId="1" xfId="0" applyFont="1" applyBorder="1" applyAlignment="1"/>
    <xf numFmtId="0" fontId="31" fillId="37" borderId="1" xfId="0" applyNumberFormat="1" applyFont="1" applyFill="1" applyBorder="1" applyAlignment="1">
      <alignment horizontal="left"/>
    </xf>
    <xf numFmtId="0" fontId="0" fillId="0" borderId="1" xfId="0" applyBorder="1" applyAlignment="1"/>
    <xf numFmtId="0" fontId="31" fillId="2" borderId="1" xfId="3" applyFont="1" applyFill="1" applyBorder="1" applyAlignment="1" applyProtection="1">
      <alignment horizontal="left"/>
      <protection locked="0"/>
    </xf>
    <xf numFmtId="0" fontId="9" fillId="0" borderId="7" xfId="0" applyFont="1" applyBorder="1" applyAlignment="1" applyProtection="1">
      <alignment horizontal="center"/>
      <protection locked="0"/>
    </xf>
    <xf numFmtId="0" fontId="80" fillId="0" borderId="0" xfId="81" applyFont="1" applyFill="1" applyBorder="1" applyAlignment="1" applyProtection="1">
      <alignment horizontal="center"/>
      <protection locked="0"/>
    </xf>
    <xf numFmtId="0" fontId="9" fillId="0" borderId="0" xfId="0" applyFont="1" applyFill="1" applyBorder="1" applyAlignment="1" applyProtection="1">
      <alignment horizontal="center"/>
      <protection locked="0"/>
    </xf>
    <xf numFmtId="0" fontId="9" fillId="0" borderId="0" xfId="0" applyFont="1" applyBorder="1" applyAlignment="1" applyProtection="1">
      <alignment horizontal="center"/>
      <protection locked="0"/>
    </xf>
    <xf numFmtId="0" fontId="80" fillId="0" borderId="7" xfId="81" applyFont="1" applyFill="1" applyBorder="1" applyAlignment="1" applyProtection="1">
      <alignment horizontal="center"/>
      <protection locked="0"/>
    </xf>
    <xf numFmtId="0" fontId="0" fillId="0" borderId="0" xfId="0" applyAlignment="1">
      <alignment horizontal="center" vertical="top" wrapText="1"/>
    </xf>
    <xf numFmtId="0" fontId="80" fillId="0" borderId="7" xfId="81" applyFont="1" applyBorder="1" applyAlignment="1" applyProtection="1">
      <alignment horizontal="center"/>
      <protection locked="0"/>
    </xf>
    <xf numFmtId="0" fontId="31" fillId="0" borderId="0" xfId="0" applyFont="1" applyAlignment="1" applyProtection="1"/>
    <xf numFmtId="0" fontId="0" fillId="0" borderId="0" xfId="0" applyAlignment="1"/>
  </cellXfs>
  <cellStyles count="1366">
    <cellStyle name=" 1" xfId="303" xr:uid="{00000000-0005-0000-0000-000000000000}"/>
    <cellStyle name="%" xfId="5" xr:uid="{00000000-0005-0000-0000-000001000000}"/>
    <cellStyle name="% 2" xfId="6" xr:uid="{00000000-0005-0000-0000-000002000000}"/>
    <cellStyle name="% 2 2" xfId="1" xr:uid="{00000000-0005-0000-0000-000003000000}"/>
    <cellStyle name="% 2 3" xfId="78" xr:uid="{00000000-0005-0000-0000-000004000000}"/>
    <cellStyle name="% 2 3 2" xfId="1139" xr:uid="{00000000-0005-0000-0000-000005000000}"/>
    <cellStyle name="% 3" xfId="378" xr:uid="{00000000-0005-0000-0000-000006000000}"/>
    <cellStyle name="%_RRP Rec" xfId="7" xr:uid="{00000000-0005-0000-0000-000007000000}"/>
    <cellStyle name="%_Section 5" xfId="8" xr:uid="{00000000-0005-0000-0000-000008000000}"/>
    <cellStyle name="%_Section 5 2" xfId="79" xr:uid="{00000000-0005-0000-0000-000009000000}"/>
    <cellStyle name="%_Section 5 2 2" xfId="1140" xr:uid="{00000000-0005-0000-0000-00000A000000}"/>
    <cellStyle name="_AS&amp;I Q3 Forecast workings v2" xfId="377" xr:uid="{00000000-0005-0000-0000-00000B000000}"/>
    <cellStyle name="_Aug to Nov heads" xfId="376" xr:uid="{00000000-0005-0000-0000-00000C000000}"/>
    <cellStyle name="_CCs" xfId="375" xr:uid="{00000000-0005-0000-0000-00000D000000}"/>
    <cellStyle name="_FM Data &amp; Mappings" xfId="374" xr:uid="{00000000-0005-0000-0000-00000E000000}"/>
    <cellStyle name="_GTAM budget tracker Template" xfId="373" xr:uid="{00000000-0005-0000-0000-00000F000000}"/>
    <cellStyle name="_Manpower Model" xfId="372" xr:uid="{00000000-0005-0000-0000-000010000000}"/>
    <cellStyle name="_Metering" xfId="371" xr:uid="{00000000-0005-0000-0000-000011000000}"/>
    <cellStyle name="_Metering 2" xfId="370" xr:uid="{00000000-0005-0000-0000-000012000000}"/>
    <cellStyle name="_Metering 3" xfId="369" xr:uid="{00000000-0005-0000-0000-000013000000}"/>
    <cellStyle name="_Sheet1" xfId="368" xr:uid="{00000000-0005-0000-0000-000014000000}"/>
    <cellStyle name="_Sheet2" xfId="367" xr:uid="{00000000-0005-0000-0000-000015000000}"/>
    <cellStyle name="=C:\WINNT\SYSTEM32\COMMAND.COM" xfId="366" xr:uid="{00000000-0005-0000-0000-000016000000}"/>
    <cellStyle name="=C:\WINNT\SYSTEM32\COMMAND.COM 2" xfId="365" xr:uid="{00000000-0005-0000-0000-000017000000}"/>
    <cellStyle name="=C:\WINNT\SYSTEM32\COMMAND.COM 3" xfId="364" xr:uid="{00000000-0005-0000-0000-000018000000}"/>
    <cellStyle name="=C:\WINNT\SYSTEM32\COMMAND.COM 3 2" xfId="363" xr:uid="{00000000-0005-0000-0000-000019000000}"/>
    <cellStyle name="=C:\WINNT\SYSTEM32\COMMAND.COM 4" xfId="362" xr:uid="{00000000-0005-0000-0000-00001A000000}"/>
    <cellStyle name="20% - Accent1 2" xfId="360" xr:uid="{00000000-0005-0000-0000-00001B000000}"/>
    <cellStyle name="20% - Accent1 2 2" xfId="359" xr:uid="{00000000-0005-0000-0000-00001C000000}"/>
    <cellStyle name="20% - Accent1 2 3" xfId="358" xr:uid="{00000000-0005-0000-0000-00001D000000}"/>
    <cellStyle name="20% - Accent1 3" xfId="357" xr:uid="{00000000-0005-0000-0000-00001E000000}"/>
    <cellStyle name="20% - Accent1 4" xfId="903" xr:uid="{00000000-0005-0000-0000-00001F000000}"/>
    <cellStyle name="20% - Accent1 5" xfId="989" xr:uid="{00000000-0005-0000-0000-000020000000}"/>
    <cellStyle name="20% - Accent1 6" xfId="361" xr:uid="{00000000-0005-0000-0000-000021000000}"/>
    <cellStyle name="20% - Accent1 7" xfId="163" xr:uid="{00000000-0005-0000-0000-000022000000}"/>
    <cellStyle name="20% - Accent1 8" xfId="82" xr:uid="{00000000-0005-0000-0000-000023000000}"/>
    <cellStyle name="20% - Accent2 2" xfId="355" xr:uid="{00000000-0005-0000-0000-000024000000}"/>
    <cellStyle name="20% - Accent2 2 2" xfId="354" xr:uid="{00000000-0005-0000-0000-000025000000}"/>
    <cellStyle name="20% - Accent2 2 3" xfId="353" xr:uid="{00000000-0005-0000-0000-000026000000}"/>
    <cellStyle name="20% - Accent2 3" xfId="352" xr:uid="{00000000-0005-0000-0000-000027000000}"/>
    <cellStyle name="20% - Accent2 4" xfId="907" xr:uid="{00000000-0005-0000-0000-000028000000}"/>
    <cellStyle name="20% - Accent2 5" xfId="992" xr:uid="{00000000-0005-0000-0000-000029000000}"/>
    <cellStyle name="20% - Accent2 6" xfId="356" xr:uid="{00000000-0005-0000-0000-00002A000000}"/>
    <cellStyle name="20% - Accent2 7" xfId="167" xr:uid="{00000000-0005-0000-0000-00002B000000}"/>
    <cellStyle name="20% - Accent2 8" xfId="83" xr:uid="{00000000-0005-0000-0000-00002C000000}"/>
    <cellStyle name="20% - Accent3 2" xfId="350" xr:uid="{00000000-0005-0000-0000-00002D000000}"/>
    <cellStyle name="20% - Accent3 2 2" xfId="302" xr:uid="{00000000-0005-0000-0000-00002E000000}"/>
    <cellStyle name="20% - Accent3 2 3" xfId="349" xr:uid="{00000000-0005-0000-0000-00002F000000}"/>
    <cellStyle name="20% - Accent3 3" xfId="348" xr:uid="{00000000-0005-0000-0000-000030000000}"/>
    <cellStyle name="20% - Accent3 4" xfId="911" xr:uid="{00000000-0005-0000-0000-000031000000}"/>
    <cellStyle name="20% - Accent3 5" xfId="995" xr:uid="{00000000-0005-0000-0000-000032000000}"/>
    <cellStyle name="20% - Accent3 6" xfId="351" xr:uid="{00000000-0005-0000-0000-000033000000}"/>
    <cellStyle name="20% - Accent3 7" xfId="171" xr:uid="{00000000-0005-0000-0000-000034000000}"/>
    <cellStyle name="20% - Accent3 8" xfId="84" xr:uid="{00000000-0005-0000-0000-000035000000}"/>
    <cellStyle name="20% - Accent4 2" xfId="346" xr:uid="{00000000-0005-0000-0000-000036000000}"/>
    <cellStyle name="20% - Accent4 2 2" xfId="402" xr:uid="{00000000-0005-0000-0000-000037000000}"/>
    <cellStyle name="20% - Accent4 2 3" xfId="403" xr:uid="{00000000-0005-0000-0000-000038000000}"/>
    <cellStyle name="20% - Accent4 3" xfId="409" xr:uid="{00000000-0005-0000-0000-000039000000}"/>
    <cellStyle name="20% - Accent4 4" xfId="915" xr:uid="{00000000-0005-0000-0000-00003A000000}"/>
    <cellStyle name="20% - Accent4 5" xfId="998" xr:uid="{00000000-0005-0000-0000-00003B000000}"/>
    <cellStyle name="20% - Accent4 6" xfId="347" xr:uid="{00000000-0005-0000-0000-00003C000000}"/>
    <cellStyle name="20% - Accent4 7" xfId="175" xr:uid="{00000000-0005-0000-0000-00003D000000}"/>
    <cellStyle name="20% - Accent4 8" xfId="85" xr:uid="{00000000-0005-0000-0000-00003E000000}"/>
    <cellStyle name="20% - Accent5 2" xfId="392" xr:uid="{00000000-0005-0000-0000-00003F000000}"/>
    <cellStyle name="20% - Accent5 2 2" xfId="300" xr:uid="{00000000-0005-0000-0000-000040000000}"/>
    <cellStyle name="20% - Accent5 2 3" xfId="345" xr:uid="{00000000-0005-0000-0000-000041000000}"/>
    <cellStyle name="20% - Accent5 3" xfId="344" xr:uid="{00000000-0005-0000-0000-000042000000}"/>
    <cellStyle name="20% - Accent5 4" xfId="919" xr:uid="{00000000-0005-0000-0000-000043000000}"/>
    <cellStyle name="20% - Accent5 5" xfId="1001" xr:uid="{00000000-0005-0000-0000-000044000000}"/>
    <cellStyle name="20% - Accent5 6" xfId="406" xr:uid="{00000000-0005-0000-0000-000045000000}"/>
    <cellStyle name="20% - Accent5 7" xfId="179" xr:uid="{00000000-0005-0000-0000-000046000000}"/>
    <cellStyle name="20% - Accent5 8" xfId="86" xr:uid="{00000000-0005-0000-0000-000047000000}"/>
    <cellStyle name="20% - Accent6 2" xfId="307" xr:uid="{00000000-0005-0000-0000-000048000000}"/>
    <cellStyle name="20% - Accent6 2 2" xfId="399" xr:uid="{00000000-0005-0000-0000-000049000000}"/>
    <cellStyle name="20% - Accent6 2 3" xfId="407" xr:uid="{00000000-0005-0000-0000-00004A000000}"/>
    <cellStyle name="20% - Accent6 3" xfId="393" xr:uid="{00000000-0005-0000-0000-00004B000000}"/>
    <cellStyle name="20% - Accent6 4" xfId="923" xr:uid="{00000000-0005-0000-0000-00004C000000}"/>
    <cellStyle name="20% - Accent6 5" xfId="1004" xr:uid="{00000000-0005-0000-0000-00004D000000}"/>
    <cellStyle name="20% - Accent6 6" xfId="408" xr:uid="{00000000-0005-0000-0000-00004E000000}"/>
    <cellStyle name="20% - Accent6 7" xfId="183" xr:uid="{00000000-0005-0000-0000-00004F000000}"/>
    <cellStyle name="20% - Accent6 8" xfId="87" xr:uid="{00000000-0005-0000-0000-000050000000}"/>
    <cellStyle name="40% - Accent1 2" xfId="401" xr:uid="{00000000-0005-0000-0000-000051000000}"/>
    <cellStyle name="40% - Accent1 2 2" xfId="400" xr:uid="{00000000-0005-0000-0000-000052000000}"/>
    <cellStyle name="40% - Accent1 2 3" xfId="404" xr:uid="{00000000-0005-0000-0000-000053000000}"/>
    <cellStyle name="40% - Accent1 3" xfId="306" xr:uid="{00000000-0005-0000-0000-000054000000}"/>
    <cellStyle name="40% - Accent1 4" xfId="904" xr:uid="{00000000-0005-0000-0000-000055000000}"/>
    <cellStyle name="40% - Accent1 5" xfId="990" xr:uid="{00000000-0005-0000-0000-000056000000}"/>
    <cellStyle name="40% - Accent1 6" xfId="308" xr:uid="{00000000-0005-0000-0000-000057000000}"/>
    <cellStyle name="40% - Accent1 7" xfId="164" xr:uid="{00000000-0005-0000-0000-000058000000}"/>
    <cellStyle name="40% - Accent1 8" xfId="88" xr:uid="{00000000-0005-0000-0000-000059000000}"/>
    <cellStyle name="40% - Accent2 2" xfId="343" xr:uid="{00000000-0005-0000-0000-00005A000000}"/>
    <cellStyle name="40% - Accent2 2 2" xfId="342" xr:uid="{00000000-0005-0000-0000-00005B000000}"/>
    <cellStyle name="40% - Accent2 2 3" xfId="341" xr:uid="{00000000-0005-0000-0000-00005C000000}"/>
    <cellStyle name="40% - Accent2 3" xfId="405" xr:uid="{00000000-0005-0000-0000-00005D000000}"/>
    <cellStyle name="40% - Accent2 4" xfId="908" xr:uid="{00000000-0005-0000-0000-00005E000000}"/>
    <cellStyle name="40% - Accent2 5" xfId="993" xr:uid="{00000000-0005-0000-0000-00005F000000}"/>
    <cellStyle name="40% - Accent2 6" xfId="301" xr:uid="{00000000-0005-0000-0000-000060000000}"/>
    <cellStyle name="40% - Accent2 7" xfId="168" xr:uid="{00000000-0005-0000-0000-000061000000}"/>
    <cellStyle name="40% - Accent2 8" xfId="89" xr:uid="{00000000-0005-0000-0000-000062000000}"/>
    <cellStyle name="40% - Accent3 2" xfId="340" xr:uid="{00000000-0005-0000-0000-000063000000}"/>
    <cellStyle name="40% - Accent3 2 2" xfId="339" xr:uid="{00000000-0005-0000-0000-000064000000}"/>
    <cellStyle name="40% - Accent3 3" xfId="912" xr:uid="{00000000-0005-0000-0000-000065000000}"/>
    <cellStyle name="40% - Accent3 4" xfId="996" xr:uid="{00000000-0005-0000-0000-000066000000}"/>
    <cellStyle name="40% - Accent3 5" xfId="391" xr:uid="{00000000-0005-0000-0000-000067000000}"/>
    <cellStyle name="40% - Accent3 6" xfId="172" xr:uid="{00000000-0005-0000-0000-000068000000}"/>
    <cellStyle name="40% - Accent3 7" xfId="90" xr:uid="{00000000-0005-0000-0000-000069000000}"/>
    <cellStyle name="40% - Accent4 2" xfId="337" xr:uid="{00000000-0005-0000-0000-00006A000000}"/>
    <cellStyle name="40% - Accent4 2 2" xfId="336" xr:uid="{00000000-0005-0000-0000-00006B000000}"/>
    <cellStyle name="40% - Accent4 2 3" xfId="335" xr:uid="{00000000-0005-0000-0000-00006C000000}"/>
    <cellStyle name="40% - Accent4 3" xfId="334" xr:uid="{00000000-0005-0000-0000-00006D000000}"/>
    <cellStyle name="40% - Accent4 4" xfId="916" xr:uid="{00000000-0005-0000-0000-00006E000000}"/>
    <cellStyle name="40% - Accent4 5" xfId="999" xr:uid="{00000000-0005-0000-0000-00006F000000}"/>
    <cellStyle name="40% - Accent4 6" xfId="338" xr:uid="{00000000-0005-0000-0000-000070000000}"/>
    <cellStyle name="40% - Accent4 7" xfId="176" xr:uid="{00000000-0005-0000-0000-000071000000}"/>
    <cellStyle name="40% - Accent4 8" xfId="91" xr:uid="{00000000-0005-0000-0000-000072000000}"/>
    <cellStyle name="40% - Accent5 2" xfId="332" xr:uid="{00000000-0005-0000-0000-000073000000}"/>
    <cellStyle name="40% - Accent5 2 2" xfId="331" xr:uid="{00000000-0005-0000-0000-000074000000}"/>
    <cellStyle name="40% - Accent5 3" xfId="920" xr:uid="{00000000-0005-0000-0000-000075000000}"/>
    <cellStyle name="40% - Accent5 4" xfId="1002" xr:uid="{00000000-0005-0000-0000-000076000000}"/>
    <cellStyle name="40% - Accent5 5" xfId="333" xr:uid="{00000000-0005-0000-0000-000077000000}"/>
    <cellStyle name="40% - Accent5 6" xfId="180" xr:uid="{00000000-0005-0000-0000-000078000000}"/>
    <cellStyle name="40% - Accent5 7" xfId="92" xr:uid="{00000000-0005-0000-0000-000079000000}"/>
    <cellStyle name="40% - Accent6 2" xfId="398" xr:uid="{00000000-0005-0000-0000-00007A000000}"/>
    <cellStyle name="40% - Accent6 2 2" xfId="385" xr:uid="{00000000-0005-0000-0000-00007B000000}"/>
    <cellStyle name="40% - Accent6 3" xfId="924" xr:uid="{00000000-0005-0000-0000-00007C000000}"/>
    <cellStyle name="40% - Accent6 4" xfId="1005" xr:uid="{00000000-0005-0000-0000-00007D000000}"/>
    <cellStyle name="40% - Accent6 5" xfId="330" xr:uid="{00000000-0005-0000-0000-00007E000000}"/>
    <cellStyle name="40% - Accent6 6" xfId="184" xr:uid="{00000000-0005-0000-0000-00007F000000}"/>
    <cellStyle name="40% - Accent6 7" xfId="93" xr:uid="{00000000-0005-0000-0000-000080000000}"/>
    <cellStyle name="60% - Accent1 2" xfId="326" xr:uid="{00000000-0005-0000-0000-000081000000}"/>
    <cellStyle name="60% - Accent1 2 2" xfId="329" xr:uid="{00000000-0005-0000-0000-000082000000}"/>
    <cellStyle name="60% - Accent1 2 3" xfId="328" xr:uid="{00000000-0005-0000-0000-000083000000}"/>
    <cellStyle name="60% - Accent1 3" xfId="327" xr:uid="{00000000-0005-0000-0000-000084000000}"/>
    <cellStyle name="60% - Accent1 4" xfId="905" xr:uid="{00000000-0005-0000-0000-000085000000}"/>
    <cellStyle name="60% - Accent1 5" xfId="384" xr:uid="{00000000-0005-0000-0000-000086000000}"/>
    <cellStyle name="60% - Accent1 6" xfId="165" xr:uid="{00000000-0005-0000-0000-000087000000}"/>
    <cellStyle name="60% - Accent1 7" xfId="94" xr:uid="{00000000-0005-0000-0000-000088000000}"/>
    <cellStyle name="60% - Accent2 2" xfId="386" xr:uid="{00000000-0005-0000-0000-000089000000}"/>
    <cellStyle name="60% - Accent2 2 2" xfId="383" xr:uid="{00000000-0005-0000-0000-00008A000000}"/>
    <cellStyle name="60% - Accent2 2 3" xfId="322" xr:uid="{00000000-0005-0000-0000-00008B000000}"/>
    <cellStyle name="60% - Accent2 3" xfId="325" xr:uid="{00000000-0005-0000-0000-00008C000000}"/>
    <cellStyle name="60% - Accent2 4" xfId="909" xr:uid="{00000000-0005-0000-0000-00008D000000}"/>
    <cellStyle name="60% - Accent2 5" xfId="397" xr:uid="{00000000-0005-0000-0000-00008E000000}"/>
    <cellStyle name="60% - Accent2 6" xfId="169" xr:uid="{00000000-0005-0000-0000-00008F000000}"/>
    <cellStyle name="60% - Accent2 7" xfId="95" xr:uid="{00000000-0005-0000-0000-000090000000}"/>
    <cellStyle name="60% - Accent3 2" xfId="323" xr:uid="{00000000-0005-0000-0000-000091000000}"/>
    <cellStyle name="60% - Accent3 2 2" xfId="396" xr:uid="{00000000-0005-0000-0000-000092000000}"/>
    <cellStyle name="60% - Accent3 3" xfId="913" xr:uid="{00000000-0005-0000-0000-000093000000}"/>
    <cellStyle name="60% - Accent3 4" xfId="324" xr:uid="{00000000-0005-0000-0000-000094000000}"/>
    <cellStyle name="60% - Accent3 5" xfId="173" xr:uid="{00000000-0005-0000-0000-000095000000}"/>
    <cellStyle name="60% - Accent3 6" xfId="96" xr:uid="{00000000-0005-0000-0000-000096000000}"/>
    <cellStyle name="60% - Accent4 2" xfId="382" xr:uid="{00000000-0005-0000-0000-000097000000}"/>
    <cellStyle name="60% - Accent4 2 2" xfId="318" xr:uid="{00000000-0005-0000-0000-000098000000}"/>
    <cellStyle name="60% - Accent4 2 3" xfId="321" xr:uid="{00000000-0005-0000-0000-000099000000}"/>
    <cellStyle name="60% - Accent4 3" xfId="320" xr:uid="{00000000-0005-0000-0000-00009A000000}"/>
    <cellStyle name="60% - Accent4 4" xfId="917" xr:uid="{00000000-0005-0000-0000-00009B000000}"/>
    <cellStyle name="60% - Accent4 5" xfId="387" xr:uid="{00000000-0005-0000-0000-00009C000000}"/>
    <cellStyle name="60% - Accent4 6" xfId="177" xr:uid="{00000000-0005-0000-0000-00009D000000}"/>
    <cellStyle name="60% - Accent4 7" xfId="97" xr:uid="{00000000-0005-0000-0000-00009E000000}"/>
    <cellStyle name="60% - Accent5 2" xfId="395" xr:uid="{00000000-0005-0000-0000-00009F000000}"/>
    <cellStyle name="60% - Accent5 2 2" xfId="388" xr:uid="{00000000-0005-0000-0000-0000A0000000}"/>
    <cellStyle name="60% - Accent5 2 3" xfId="381" xr:uid="{00000000-0005-0000-0000-0000A1000000}"/>
    <cellStyle name="60% - Accent5 3" xfId="314" xr:uid="{00000000-0005-0000-0000-0000A2000000}"/>
    <cellStyle name="60% - Accent5 4" xfId="921" xr:uid="{00000000-0005-0000-0000-0000A3000000}"/>
    <cellStyle name="60% - Accent5 5" xfId="319" xr:uid="{00000000-0005-0000-0000-0000A4000000}"/>
    <cellStyle name="60% - Accent5 6" xfId="181" xr:uid="{00000000-0005-0000-0000-0000A5000000}"/>
    <cellStyle name="60% - Accent5 7" xfId="98" xr:uid="{00000000-0005-0000-0000-0000A6000000}"/>
    <cellStyle name="60% - Accent6 2" xfId="316" xr:uid="{00000000-0005-0000-0000-0000A7000000}"/>
    <cellStyle name="60% - Accent6 2 2" xfId="315" xr:uid="{00000000-0005-0000-0000-0000A8000000}"/>
    <cellStyle name="60% - Accent6 2 3" xfId="394" xr:uid="{00000000-0005-0000-0000-0000A9000000}"/>
    <cellStyle name="60% - Accent6 3" xfId="389" xr:uid="{00000000-0005-0000-0000-0000AA000000}"/>
    <cellStyle name="60% - Accent6 4" xfId="925" xr:uid="{00000000-0005-0000-0000-0000AB000000}"/>
    <cellStyle name="60% - Accent6 5" xfId="317" xr:uid="{00000000-0005-0000-0000-0000AC000000}"/>
    <cellStyle name="60% - Accent6 6" xfId="185" xr:uid="{00000000-0005-0000-0000-0000AD000000}"/>
    <cellStyle name="60% - Accent6 7" xfId="99" xr:uid="{00000000-0005-0000-0000-0000AE000000}"/>
    <cellStyle name="Accent1 - 20%" xfId="9" xr:uid="{00000000-0005-0000-0000-0000AF000000}"/>
    <cellStyle name="Accent1 - 20% 2" xfId="313" xr:uid="{00000000-0005-0000-0000-0000B0000000}"/>
    <cellStyle name="Accent1 - 20% 3" xfId="197" xr:uid="{00000000-0005-0000-0000-0000B1000000}"/>
    <cellStyle name="Accent1 - 40%" xfId="10" xr:uid="{00000000-0005-0000-0000-0000B2000000}"/>
    <cellStyle name="Accent1 - 40% 2" xfId="312" xr:uid="{00000000-0005-0000-0000-0000B3000000}"/>
    <cellStyle name="Accent1 - 40% 3" xfId="198" xr:uid="{00000000-0005-0000-0000-0000B4000000}"/>
    <cellStyle name="Accent1 - 60%" xfId="11" xr:uid="{00000000-0005-0000-0000-0000B5000000}"/>
    <cellStyle name="Accent1 - 60% 2" xfId="390" xr:uid="{00000000-0005-0000-0000-0000B6000000}"/>
    <cellStyle name="Accent1 - 60% 3" xfId="199" xr:uid="{00000000-0005-0000-0000-0000B7000000}"/>
    <cellStyle name="Accent1 10" xfId="1070" xr:uid="{00000000-0005-0000-0000-0000B8000000}"/>
    <cellStyle name="Accent1 11" xfId="1080" xr:uid="{00000000-0005-0000-0000-0000B9000000}"/>
    <cellStyle name="Accent1 12" xfId="1075" xr:uid="{00000000-0005-0000-0000-0000BA000000}"/>
    <cellStyle name="Accent1 13" xfId="1064" xr:uid="{00000000-0005-0000-0000-0000BB000000}"/>
    <cellStyle name="Accent1 14" xfId="1083" xr:uid="{00000000-0005-0000-0000-0000BC000000}"/>
    <cellStyle name="Accent1 15" xfId="100" xr:uid="{00000000-0005-0000-0000-0000BD000000}"/>
    <cellStyle name="Accent1 16" xfId="125" xr:uid="{00000000-0005-0000-0000-0000BE000000}"/>
    <cellStyle name="Accent1 17" xfId="1105" xr:uid="{00000000-0005-0000-0000-0000BF000000}"/>
    <cellStyle name="Accent1 18" xfId="1098" xr:uid="{00000000-0005-0000-0000-0000C0000000}"/>
    <cellStyle name="Accent1 2" xfId="196" xr:uid="{00000000-0005-0000-0000-0000C1000000}"/>
    <cellStyle name="Accent1 2 2" xfId="309" xr:uid="{00000000-0005-0000-0000-0000C2000000}"/>
    <cellStyle name="Accent1 2 3" xfId="379" xr:uid="{00000000-0005-0000-0000-0000C3000000}"/>
    <cellStyle name="Accent1 3" xfId="269" xr:uid="{00000000-0005-0000-0000-0000C4000000}"/>
    <cellStyle name="Accent1 3 2" xfId="902" xr:uid="{00000000-0005-0000-0000-0000C5000000}"/>
    <cellStyle name="Accent1 4" xfId="280" xr:uid="{00000000-0005-0000-0000-0000C6000000}"/>
    <cellStyle name="Accent1 4 2" xfId="988" xr:uid="{00000000-0005-0000-0000-0000C7000000}"/>
    <cellStyle name="Accent1 5" xfId="283" xr:uid="{00000000-0005-0000-0000-0000C8000000}"/>
    <cellStyle name="Accent1 5 2" xfId="1006" xr:uid="{00000000-0005-0000-0000-0000C9000000}"/>
    <cellStyle name="Accent1 6" xfId="380" xr:uid="{00000000-0005-0000-0000-0000CA000000}"/>
    <cellStyle name="Accent1 7" xfId="162" xr:uid="{00000000-0005-0000-0000-0000CB000000}"/>
    <cellStyle name="Accent1 8" xfId="1054" xr:uid="{00000000-0005-0000-0000-0000CC000000}"/>
    <cellStyle name="Accent1 9" xfId="1089" xr:uid="{00000000-0005-0000-0000-0000CD000000}"/>
    <cellStyle name="Accent2 - 20%" xfId="12" xr:uid="{00000000-0005-0000-0000-0000CE000000}"/>
    <cellStyle name="Accent2 - 20% 2" xfId="310" xr:uid="{00000000-0005-0000-0000-0000CF000000}"/>
    <cellStyle name="Accent2 - 20% 3" xfId="201" xr:uid="{00000000-0005-0000-0000-0000D0000000}"/>
    <cellStyle name="Accent2 - 40%" xfId="13" xr:uid="{00000000-0005-0000-0000-0000D1000000}"/>
    <cellStyle name="Accent2 - 40% 2" xfId="410" xr:uid="{00000000-0005-0000-0000-0000D2000000}"/>
    <cellStyle name="Accent2 - 40% 3" xfId="202" xr:uid="{00000000-0005-0000-0000-0000D3000000}"/>
    <cellStyle name="Accent2 - 60%" xfId="14" xr:uid="{00000000-0005-0000-0000-0000D4000000}"/>
    <cellStyle name="Accent2 - 60% 2" xfId="411" xr:uid="{00000000-0005-0000-0000-0000D5000000}"/>
    <cellStyle name="Accent2 - 60% 3" xfId="203" xr:uid="{00000000-0005-0000-0000-0000D6000000}"/>
    <cellStyle name="Accent2 10" xfId="1094" xr:uid="{00000000-0005-0000-0000-0000D7000000}"/>
    <cellStyle name="Accent2 11" xfId="1066" xr:uid="{00000000-0005-0000-0000-0000D8000000}"/>
    <cellStyle name="Accent2 12" xfId="1092" xr:uid="{00000000-0005-0000-0000-0000D9000000}"/>
    <cellStyle name="Accent2 13" xfId="1091" xr:uid="{00000000-0005-0000-0000-0000DA000000}"/>
    <cellStyle name="Accent2 14" xfId="1069" xr:uid="{00000000-0005-0000-0000-0000DB000000}"/>
    <cellStyle name="Accent2 15" xfId="101" xr:uid="{00000000-0005-0000-0000-0000DC000000}"/>
    <cellStyle name="Accent2 16" xfId="124" xr:uid="{00000000-0005-0000-0000-0000DD000000}"/>
    <cellStyle name="Accent2 17" xfId="1104" xr:uid="{00000000-0005-0000-0000-0000DE000000}"/>
    <cellStyle name="Accent2 18" xfId="1096" xr:uid="{00000000-0005-0000-0000-0000DF000000}"/>
    <cellStyle name="Accent2 2" xfId="200" xr:uid="{00000000-0005-0000-0000-0000E0000000}"/>
    <cellStyle name="Accent2 2 2" xfId="413" xr:uid="{00000000-0005-0000-0000-0000E1000000}"/>
    <cellStyle name="Accent2 2 3" xfId="412" xr:uid="{00000000-0005-0000-0000-0000E2000000}"/>
    <cellStyle name="Accent2 3" xfId="270" xr:uid="{00000000-0005-0000-0000-0000E3000000}"/>
    <cellStyle name="Accent2 3 2" xfId="906" xr:uid="{00000000-0005-0000-0000-0000E4000000}"/>
    <cellStyle name="Accent2 4" xfId="279" xr:uid="{00000000-0005-0000-0000-0000E5000000}"/>
    <cellStyle name="Accent2 4 2" xfId="991" xr:uid="{00000000-0005-0000-0000-0000E6000000}"/>
    <cellStyle name="Accent2 5" xfId="284" xr:uid="{00000000-0005-0000-0000-0000E7000000}"/>
    <cellStyle name="Accent2 5 2" xfId="1007" xr:uid="{00000000-0005-0000-0000-0000E8000000}"/>
    <cellStyle name="Accent2 6" xfId="311" xr:uid="{00000000-0005-0000-0000-0000E9000000}"/>
    <cellStyle name="Accent2 7" xfId="166" xr:uid="{00000000-0005-0000-0000-0000EA000000}"/>
    <cellStyle name="Accent2 8" xfId="1055" xr:uid="{00000000-0005-0000-0000-0000EB000000}"/>
    <cellStyle name="Accent2 9" xfId="1088" xr:uid="{00000000-0005-0000-0000-0000EC000000}"/>
    <cellStyle name="Accent3 - 20%" xfId="15" xr:uid="{00000000-0005-0000-0000-0000ED000000}"/>
    <cellStyle name="Accent3 - 20% 2" xfId="415" xr:uid="{00000000-0005-0000-0000-0000EE000000}"/>
    <cellStyle name="Accent3 - 20% 3" xfId="205" xr:uid="{00000000-0005-0000-0000-0000EF000000}"/>
    <cellStyle name="Accent3 - 40%" xfId="16" xr:uid="{00000000-0005-0000-0000-0000F0000000}"/>
    <cellStyle name="Accent3 - 40% 2" xfId="416" xr:uid="{00000000-0005-0000-0000-0000F1000000}"/>
    <cellStyle name="Accent3 - 40% 3" xfId="206" xr:uid="{00000000-0005-0000-0000-0000F2000000}"/>
    <cellStyle name="Accent3 - 60%" xfId="17" xr:uid="{00000000-0005-0000-0000-0000F3000000}"/>
    <cellStyle name="Accent3 - 60% 2" xfId="417" xr:uid="{00000000-0005-0000-0000-0000F4000000}"/>
    <cellStyle name="Accent3 - 60% 3" xfId="207" xr:uid="{00000000-0005-0000-0000-0000F5000000}"/>
    <cellStyle name="Accent3 10" xfId="418" xr:uid="{00000000-0005-0000-0000-0000F6000000}"/>
    <cellStyle name="Accent3 11" xfId="419" xr:uid="{00000000-0005-0000-0000-0000F7000000}"/>
    <cellStyle name="Accent3 12" xfId="420" xr:uid="{00000000-0005-0000-0000-0000F8000000}"/>
    <cellStyle name="Accent3 13" xfId="421" xr:uid="{00000000-0005-0000-0000-0000F9000000}"/>
    <cellStyle name="Accent3 14" xfId="422" xr:uid="{00000000-0005-0000-0000-0000FA000000}"/>
    <cellStyle name="Accent3 15" xfId="423" xr:uid="{00000000-0005-0000-0000-0000FB000000}"/>
    <cellStyle name="Accent3 16" xfId="424" xr:uid="{00000000-0005-0000-0000-0000FC000000}"/>
    <cellStyle name="Accent3 17" xfId="425" xr:uid="{00000000-0005-0000-0000-0000FD000000}"/>
    <cellStyle name="Accent3 18" xfId="426" xr:uid="{00000000-0005-0000-0000-0000FE000000}"/>
    <cellStyle name="Accent3 19" xfId="427" xr:uid="{00000000-0005-0000-0000-0000FF000000}"/>
    <cellStyle name="Accent3 2" xfId="204" xr:uid="{00000000-0005-0000-0000-000000010000}"/>
    <cellStyle name="Accent3 2 2" xfId="429" xr:uid="{00000000-0005-0000-0000-000001010000}"/>
    <cellStyle name="Accent3 2 3" xfId="430" xr:uid="{00000000-0005-0000-0000-000002010000}"/>
    <cellStyle name="Accent3 2 4" xfId="428" xr:uid="{00000000-0005-0000-0000-000003010000}"/>
    <cellStyle name="Accent3 20" xfId="431" xr:uid="{00000000-0005-0000-0000-000004010000}"/>
    <cellStyle name="Accent3 21" xfId="432" xr:uid="{00000000-0005-0000-0000-000005010000}"/>
    <cellStyle name="Accent3 22" xfId="433" xr:uid="{00000000-0005-0000-0000-000006010000}"/>
    <cellStyle name="Accent3 23" xfId="434" xr:uid="{00000000-0005-0000-0000-000007010000}"/>
    <cellStyle name="Accent3 24" xfId="435" xr:uid="{00000000-0005-0000-0000-000008010000}"/>
    <cellStyle name="Accent3 25" xfId="436" xr:uid="{00000000-0005-0000-0000-000009010000}"/>
    <cellStyle name="Accent3 26" xfId="437" xr:uid="{00000000-0005-0000-0000-00000A010000}"/>
    <cellStyle name="Accent3 27" xfId="438" xr:uid="{00000000-0005-0000-0000-00000B010000}"/>
    <cellStyle name="Accent3 28" xfId="910" xr:uid="{00000000-0005-0000-0000-00000C010000}"/>
    <cellStyle name="Accent3 29" xfId="994" xr:uid="{00000000-0005-0000-0000-00000D010000}"/>
    <cellStyle name="Accent3 3" xfId="271" xr:uid="{00000000-0005-0000-0000-00000E010000}"/>
    <cellStyle name="Accent3 3 2" xfId="439" xr:uid="{00000000-0005-0000-0000-00000F010000}"/>
    <cellStyle name="Accent3 30" xfId="1008" xr:uid="{00000000-0005-0000-0000-000010010000}"/>
    <cellStyle name="Accent3 31" xfId="414" xr:uid="{00000000-0005-0000-0000-000011010000}"/>
    <cellStyle name="Accent3 32" xfId="170" xr:uid="{00000000-0005-0000-0000-000012010000}"/>
    <cellStyle name="Accent3 33" xfId="1056" xr:uid="{00000000-0005-0000-0000-000013010000}"/>
    <cellStyle name="Accent3 34" xfId="1087" xr:uid="{00000000-0005-0000-0000-000014010000}"/>
    <cellStyle name="Accent3 35" xfId="1061" xr:uid="{00000000-0005-0000-0000-000015010000}"/>
    <cellStyle name="Accent3 36" xfId="1084" xr:uid="{00000000-0005-0000-0000-000016010000}"/>
    <cellStyle name="Accent3 37" xfId="1072" xr:uid="{00000000-0005-0000-0000-000017010000}"/>
    <cellStyle name="Accent3 38" xfId="1078" xr:uid="{00000000-0005-0000-0000-000018010000}"/>
    <cellStyle name="Accent3 39" xfId="1073" xr:uid="{00000000-0005-0000-0000-000019010000}"/>
    <cellStyle name="Accent3 4" xfId="278" xr:uid="{00000000-0005-0000-0000-00001A010000}"/>
    <cellStyle name="Accent3 4 2" xfId="440" xr:uid="{00000000-0005-0000-0000-00001B010000}"/>
    <cellStyle name="Accent3 40" xfId="102" xr:uid="{00000000-0005-0000-0000-00001C010000}"/>
    <cellStyle name="Accent3 41" xfId="123" xr:uid="{00000000-0005-0000-0000-00001D010000}"/>
    <cellStyle name="Accent3 42" xfId="1103" xr:uid="{00000000-0005-0000-0000-00001E010000}"/>
    <cellStyle name="Accent3 43" xfId="1099" xr:uid="{00000000-0005-0000-0000-00001F010000}"/>
    <cellStyle name="Accent3 5" xfId="285" xr:uid="{00000000-0005-0000-0000-000020010000}"/>
    <cellStyle name="Accent3 5 2" xfId="441" xr:uid="{00000000-0005-0000-0000-000021010000}"/>
    <cellStyle name="Accent3 6" xfId="442" xr:uid="{00000000-0005-0000-0000-000022010000}"/>
    <cellStyle name="Accent3 7" xfId="443" xr:uid="{00000000-0005-0000-0000-000023010000}"/>
    <cellStyle name="Accent3 8" xfId="444" xr:uid="{00000000-0005-0000-0000-000024010000}"/>
    <cellStyle name="Accent3 9" xfId="445" xr:uid="{00000000-0005-0000-0000-000025010000}"/>
    <cellStyle name="Accent4 - 20%" xfId="18" xr:uid="{00000000-0005-0000-0000-000026010000}"/>
    <cellStyle name="Accent4 - 20% 2" xfId="447" xr:uid="{00000000-0005-0000-0000-000027010000}"/>
    <cellStyle name="Accent4 - 20% 3" xfId="209" xr:uid="{00000000-0005-0000-0000-000028010000}"/>
    <cellStyle name="Accent4 - 40%" xfId="19" xr:uid="{00000000-0005-0000-0000-000029010000}"/>
    <cellStyle name="Accent4 - 40% 2" xfId="448" xr:uid="{00000000-0005-0000-0000-00002A010000}"/>
    <cellStyle name="Accent4 - 40% 3" xfId="210" xr:uid="{00000000-0005-0000-0000-00002B010000}"/>
    <cellStyle name="Accent4 - 60%" xfId="20" xr:uid="{00000000-0005-0000-0000-00002C010000}"/>
    <cellStyle name="Accent4 - 60% 2" xfId="449" xr:uid="{00000000-0005-0000-0000-00002D010000}"/>
    <cellStyle name="Accent4 - 60% 3" xfId="211" xr:uid="{00000000-0005-0000-0000-00002E010000}"/>
    <cellStyle name="Accent4 10" xfId="450" xr:uid="{00000000-0005-0000-0000-00002F010000}"/>
    <cellStyle name="Accent4 11" xfId="451" xr:uid="{00000000-0005-0000-0000-000030010000}"/>
    <cellStyle name="Accent4 12" xfId="452" xr:uid="{00000000-0005-0000-0000-000031010000}"/>
    <cellStyle name="Accent4 13" xfId="453" xr:uid="{00000000-0005-0000-0000-000032010000}"/>
    <cellStyle name="Accent4 14" xfId="454" xr:uid="{00000000-0005-0000-0000-000033010000}"/>
    <cellStyle name="Accent4 15" xfId="455" xr:uid="{00000000-0005-0000-0000-000034010000}"/>
    <cellStyle name="Accent4 16" xfId="456" xr:uid="{00000000-0005-0000-0000-000035010000}"/>
    <cellStyle name="Accent4 17" xfId="457" xr:uid="{00000000-0005-0000-0000-000036010000}"/>
    <cellStyle name="Accent4 18" xfId="458" xr:uid="{00000000-0005-0000-0000-000037010000}"/>
    <cellStyle name="Accent4 19" xfId="459" xr:uid="{00000000-0005-0000-0000-000038010000}"/>
    <cellStyle name="Accent4 2" xfId="208" xr:uid="{00000000-0005-0000-0000-000039010000}"/>
    <cellStyle name="Accent4 2 2" xfId="461" xr:uid="{00000000-0005-0000-0000-00003A010000}"/>
    <cellStyle name="Accent4 2 3" xfId="462" xr:uid="{00000000-0005-0000-0000-00003B010000}"/>
    <cellStyle name="Accent4 2 4" xfId="460" xr:uid="{00000000-0005-0000-0000-00003C010000}"/>
    <cellStyle name="Accent4 20" xfId="463" xr:uid="{00000000-0005-0000-0000-00003D010000}"/>
    <cellStyle name="Accent4 21" xfId="464" xr:uid="{00000000-0005-0000-0000-00003E010000}"/>
    <cellStyle name="Accent4 22" xfId="465" xr:uid="{00000000-0005-0000-0000-00003F010000}"/>
    <cellStyle name="Accent4 23" xfId="466" xr:uid="{00000000-0005-0000-0000-000040010000}"/>
    <cellStyle name="Accent4 24" xfId="467" xr:uid="{00000000-0005-0000-0000-000041010000}"/>
    <cellStyle name="Accent4 25" xfId="468" xr:uid="{00000000-0005-0000-0000-000042010000}"/>
    <cellStyle name="Accent4 26" xfId="469" xr:uid="{00000000-0005-0000-0000-000043010000}"/>
    <cellStyle name="Accent4 27" xfId="470" xr:uid="{00000000-0005-0000-0000-000044010000}"/>
    <cellStyle name="Accent4 28" xfId="914" xr:uid="{00000000-0005-0000-0000-000045010000}"/>
    <cellStyle name="Accent4 29" xfId="997" xr:uid="{00000000-0005-0000-0000-000046010000}"/>
    <cellStyle name="Accent4 3" xfId="272" xr:uid="{00000000-0005-0000-0000-000047010000}"/>
    <cellStyle name="Accent4 3 2" xfId="471" xr:uid="{00000000-0005-0000-0000-000048010000}"/>
    <cellStyle name="Accent4 30" xfId="1009" xr:uid="{00000000-0005-0000-0000-000049010000}"/>
    <cellStyle name="Accent4 31" xfId="446" xr:uid="{00000000-0005-0000-0000-00004A010000}"/>
    <cellStyle name="Accent4 32" xfId="174" xr:uid="{00000000-0005-0000-0000-00004B010000}"/>
    <cellStyle name="Accent4 33" xfId="1057" xr:uid="{00000000-0005-0000-0000-00004C010000}"/>
    <cellStyle name="Accent4 34" xfId="1086" xr:uid="{00000000-0005-0000-0000-00004D010000}"/>
    <cellStyle name="Accent4 35" xfId="1062" xr:uid="{00000000-0005-0000-0000-00004E010000}"/>
    <cellStyle name="Accent4 36" xfId="1093" xr:uid="{00000000-0005-0000-0000-00004F010000}"/>
    <cellStyle name="Accent4 37" xfId="1068" xr:uid="{00000000-0005-0000-0000-000050010000}"/>
    <cellStyle name="Accent4 38" xfId="1081" xr:uid="{00000000-0005-0000-0000-000051010000}"/>
    <cellStyle name="Accent4 39" xfId="1074" xr:uid="{00000000-0005-0000-0000-000052010000}"/>
    <cellStyle name="Accent4 4" xfId="277" xr:uid="{00000000-0005-0000-0000-000053010000}"/>
    <cellStyle name="Accent4 4 2" xfId="472" xr:uid="{00000000-0005-0000-0000-000054010000}"/>
    <cellStyle name="Accent4 40" xfId="103" xr:uid="{00000000-0005-0000-0000-000055010000}"/>
    <cellStyle name="Accent4 41" xfId="122" xr:uid="{00000000-0005-0000-0000-000056010000}"/>
    <cellStyle name="Accent4 42" xfId="1102" xr:uid="{00000000-0005-0000-0000-000057010000}"/>
    <cellStyle name="Accent4 43" xfId="1107" xr:uid="{00000000-0005-0000-0000-000058010000}"/>
    <cellStyle name="Accent4 5" xfId="286" xr:uid="{00000000-0005-0000-0000-000059010000}"/>
    <cellStyle name="Accent4 5 2" xfId="473" xr:uid="{00000000-0005-0000-0000-00005A010000}"/>
    <cellStyle name="Accent4 6" xfId="474" xr:uid="{00000000-0005-0000-0000-00005B010000}"/>
    <cellStyle name="Accent4 7" xfId="475" xr:uid="{00000000-0005-0000-0000-00005C010000}"/>
    <cellStyle name="Accent4 8" xfId="476" xr:uid="{00000000-0005-0000-0000-00005D010000}"/>
    <cellStyle name="Accent4 9" xfId="477" xr:uid="{00000000-0005-0000-0000-00005E010000}"/>
    <cellStyle name="Accent5 - 20%" xfId="21" xr:uid="{00000000-0005-0000-0000-00005F010000}"/>
    <cellStyle name="Accent5 - 20% 2" xfId="479" xr:uid="{00000000-0005-0000-0000-000060010000}"/>
    <cellStyle name="Accent5 - 20% 3" xfId="213" xr:uid="{00000000-0005-0000-0000-000061010000}"/>
    <cellStyle name="Accent5 - 40%" xfId="22" xr:uid="{00000000-0005-0000-0000-000062010000}"/>
    <cellStyle name="Accent5 - 60%" xfId="23" xr:uid="{00000000-0005-0000-0000-000063010000}"/>
    <cellStyle name="Accent5 - 60% 2" xfId="480" xr:uid="{00000000-0005-0000-0000-000064010000}"/>
    <cellStyle name="Accent5 - 60% 3" xfId="214" xr:uid="{00000000-0005-0000-0000-000065010000}"/>
    <cellStyle name="Accent5 10" xfId="481" xr:uid="{00000000-0005-0000-0000-000066010000}"/>
    <cellStyle name="Accent5 11" xfId="482" xr:uid="{00000000-0005-0000-0000-000067010000}"/>
    <cellStyle name="Accent5 12" xfId="483" xr:uid="{00000000-0005-0000-0000-000068010000}"/>
    <cellStyle name="Accent5 13" xfId="484" xr:uid="{00000000-0005-0000-0000-000069010000}"/>
    <cellStyle name="Accent5 14" xfId="485" xr:uid="{00000000-0005-0000-0000-00006A010000}"/>
    <cellStyle name="Accent5 15" xfId="486" xr:uid="{00000000-0005-0000-0000-00006B010000}"/>
    <cellStyle name="Accent5 16" xfId="487" xr:uid="{00000000-0005-0000-0000-00006C010000}"/>
    <cellStyle name="Accent5 17" xfId="488" xr:uid="{00000000-0005-0000-0000-00006D010000}"/>
    <cellStyle name="Accent5 18" xfId="489" xr:uid="{00000000-0005-0000-0000-00006E010000}"/>
    <cellStyle name="Accent5 19" xfId="490" xr:uid="{00000000-0005-0000-0000-00006F010000}"/>
    <cellStyle name="Accent5 2" xfId="212" xr:uid="{00000000-0005-0000-0000-000070010000}"/>
    <cellStyle name="Accent5 2 2" xfId="492" xr:uid="{00000000-0005-0000-0000-000071010000}"/>
    <cellStyle name="Accent5 2 3" xfId="493" xr:uid="{00000000-0005-0000-0000-000072010000}"/>
    <cellStyle name="Accent5 2 4" xfId="491" xr:uid="{00000000-0005-0000-0000-000073010000}"/>
    <cellStyle name="Accent5 20" xfId="494" xr:uid="{00000000-0005-0000-0000-000074010000}"/>
    <cellStyle name="Accent5 21" xfId="495" xr:uid="{00000000-0005-0000-0000-000075010000}"/>
    <cellStyle name="Accent5 22" xfId="496" xr:uid="{00000000-0005-0000-0000-000076010000}"/>
    <cellStyle name="Accent5 23" xfId="497" xr:uid="{00000000-0005-0000-0000-000077010000}"/>
    <cellStyle name="Accent5 24" xfId="498" xr:uid="{00000000-0005-0000-0000-000078010000}"/>
    <cellStyle name="Accent5 25" xfId="499" xr:uid="{00000000-0005-0000-0000-000079010000}"/>
    <cellStyle name="Accent5 26" xfId="500" xr:uid="{00000000-0005-0000-0000-00007A010000}"/>
    <cellStyle name="Accent5 27" xfId="501" xr:uid="{00000000-0005-0000-0000-00007B010000}"/>
    <cellStyle name="Accent5 28" xfId="918" xr:uid="{00000000-0005-0000-0000-00007C010000}"/>
    <cellStyle name="Accent5 29" xfId="1000" xr:uid="{00000000-0005-0000-0000-00007D010000}"/>
    <cellStyle name="Accent5 3" xfId="273" xr:uid="{00000000-0005-0000-0000-00007E010000}"/>
    <cellStyle name="Accent5 3 2" xfId="502" xr:uid="{00000000-0005-0000-0000-00007F010000}"/>
    <cellStyle name="Accent5 30" xfId="1010" xr:uid="{00000000-0005-0000-0000-000080010000}"/>
    <cellStyle name="Accent5 31" xfId="478" xr:uid="{00000000-0005-0000-0000-000081010000}"/>
    <cellStyle name="Accent5 32" xfId="178" xr:uid="{00000000-0005-0000-0000-000082010000}"/>
    <cellStyle name="Accent5 33" xfId="1059" xr:uid="{00000000-0005-0000-0000-000083010000}"/>
    <cellStyle name="Accent5 34" xfId="1095" xr:uid="{00000000-0005-0000-0000-000084010000}"/>
    <cellStyle name="Accent5 35" xfId="1067" xr:uid="{00000000-0005-0000-0000-000085010000}"/>
    <cellStyle name="Accent5 36" xfId="1082" xr:uid="{00000000-0005-0000-0000-000086010000}"/>
    <cellStyle name="Accent5 37" xfId="1090" xr:uid="{00000000-0005-0000-0000-000087010000}"/>
    <cellStyle name="Accent5 38" xfId="1058" xr:uid="{00000000-0005-0000-0000-000088010000}"/>
    <cellStyle name="Accent5 39" xfId="1065" xr:uid="{00000000-0005-0000-0000-000089010000}"/>
    <cellStyle name="Accent5 4" xfId="276" xr:uid="{00000000-0005-0000-0000-00008A010000}"/>
    <cellStyle name="Accent5 4 2" xfId="503" xr:uid="{00000000-0005-0000-0000-00008B010000}"/>
    <cellStyle name="Accent5 40" xfId="104" xr:uid="{00000000-0005-0000-0000-00008C010000}"/>
    <cellStyle name="Accent5 41" xfId="121" xr:uid="{00000000-0005-0000-0000-00008D010000}"/>
    <cellStyle name="Accent5 42" xfId="1106" xr:uid="{00000000-0005-0000-0000-00008E010000}"/>
    <cellStyle name="Accent5 43" xfId="1097" xr:uid="{00000000-0005-0000-0000-00008F010000}"/>
    <cellStyle name="Accent5 5" xfId="287" xr:uid="{00000000-0005-0000-0000-000090010000}"/>
    <cellStyle name="Accent5 5 2" xfId="504" xr:uid="{00000000-0005-0000-0000-000091010000}"/>
    <cellStyle name="Accent5 6" xfId="505" xr:uid="{00000000-0005-0000-0000-000092010000}"/>
    <cellStyle name="Accent5 7" xfId="506" xr:uid="{00000000-0005-0000-0000-000093010000}"/>
    <cellStyle name="Accent5 8" xfId="507" xr:uid="{00000000-0005-0000-0000-000094010000}"/>
    <cellStyle name="Accent5 9" xfId="508" xr:uid="{00000000-0005-0000-0000-000095010000}"/>
    <cellStyle name="Accent6 - 20%" xfId="24" xr:uid="{00000000-0005-0000-0000-000096010000}"/>
    <cellStyle name="Accent6 - 40%" xfId="25" xr:uid="{00000000-0005-0000-0000-000097010000}"/>
    <cellStyle name="Accent6 - 40% 2" xfId="510" xr:uid="{00000000-0005-0000-0000-000098010000}"/>
    <cellStyle name="Accent6 - 40% 3" xfId="216" xr:uid="{00000000-0005-0000-0000-000099010000}"/>
    <cellStyle name="Accent6 - 60%" xfId="26" xr:uid="{00000000-0005-0000-0000-00009A010000}"/>
    <cellStyle name="Accent6 - 60% 2" xfId="511" xr:uid="{00000000-0005-0000-0000-00009B010000}"/>
    <cellStyle name="Accent6 - 60% 3" xfId="217" xr:uid="{00000000-0005-0000-0000-00009C010000}"/>
    <cellStyle name="Accent6 10" xfId="512" xr:uid="{00000000-0005-0000-0000-00009D010000}"/>
    <cellStyle name="Accent6 11" xfId="513" xr:uid="{00000000-0005-0000-0000-00009E010000}"/>
    <cellStyle name="Accent6 12" xfId="514" xr:uid="{00000000-0005-0000-0000-00009F010000}"/>
    <cellStyle name="Accent6 13" xfId="515" xr:uid="{00000000-0005-0000-0000-0000A0010000}"/>
    <cellStyle name="Accent6 14" xfId="516" xr:uid="{00000000-0005-0000-0000-0000A1010000}"/>
    <cellStyle name="Accent6 15" xfId="517" xr:uid="{00000000-0005-0000-0000-0000A2010000}"/>
    <cellStyle name="Accent6 16" xfId="518" xr:uid="{00000000-0005-0000-0000-0000A3010000}"/>
    <cellStyle name="Accent6 17" xfId="519" xr:uid="{00000000-0005-0000-0000-0000A4010000}"/>
    <cellStyle name="Accent6 18" xfId="520" xr:uid="{00000000-0005-0000-0000-0000A5010000}"/>
    <cellStyle name="Accent6 19" xfId="521" xr:uid="{00000000-0005-0000-0000-0000A6010000}"/>
    <cellStyle name="Accent6 2" xfId="215" xr:uid="{00000000-0005-0000-0000-0000A7010000}"/>
    <cellStyle name="Accent6 2 2" xfId="523" xr:uid="{00000000-0005-0000-0000-0000A8010000}"/>
    <cellStyle name="Accent6 2 3" xfId="524" xr:uid="{00000000-0005-0000-0000-0000A9010000}"/>
    <cellStyle name="Accent6 2 4" xfId="522" xr:uid="{00000000-0005-0000-0000-0000AA010000}"/>
    <cellStyle name="Accent6 20" xfId="525" xr:uid="{00000000-0005-0000-0000-0000AB010000}"/>
    <cellStyle name="Accent6 21" xfId="526" xr:uid="{00000000-0005-0000-0000-0000AC010000}"/>
    <cellStyle name="Accent6 22" xfId="527" xr:uid="{00000000-0005-0000-0000-0000AD010000}"/>
    <cellStyle name="Accent6 23" xfId="528" xr:uid="{00000000-0005-0000-0000-0000AE010000}"/>
    <cellStyle name="Accent6 24" xfId="529" xr:uid="{00000000-0005-0000-0000-0000AF010000}"/>
    <cellStyle name="Accent6 25" xfId="530" xr:uid="{00000000-0005-0000-0000-0000B0010000}"/>
    <cellStyle name="Accent6 26" xfId="531" xr:uid="{00000000-0005-0000-0000-0000B1010000}"/>
    <cellStyle name="Accent6 27" xfId="532" xr:uid="{00000000-0005-0000-0000-0000B2010000}"/>
    <cellStyle name="Accent6 28" xfId="922" xr:uid="{00000000-0005-0000-0000-0000B3010000}"/>
    <cellStyle name="Accent6 29" xfId="1003" xr:uid="{00000000-0005-0000-0000-0000B4010000}"/>
    <cellStyle name="Accent6 3" xfId="274" xr:uid="{00000000-0005-0000-0000-0000B5010000}"/>
    <cellStyle name="Accent6 3 2" xfId="533" xr:uid="{00000000-0005-0000-0000-0000B6010000}"/>
    <cellStyle name="Accent6 30" xfId="1011" xr:uid="{00000000-0005-0000-0000-0000B7010000}"/>
    <cellStyle name="Accent6 31" xfId="509" xr:uid="{00000000-0005-0000-0000-0000B8010000}"/>
    <cellStyle name="Accent6 32" xfId="182" xr:uid="{00000000-0005-0000-0000-0000B9010000}"/>
    <cellStyle name="Accent6 33" xfId="1060" xr:uid="{00000000-0005-0000-0000-0000BA010000}"/>
    <cellStyle name="Accent6 34" xfId="1085" xr:uid="{00000000-0005-0000-0000-0000BB010000}"/>
    <cellStyle name="Accent6 35" xfId="1071" xr:uid="{00000000-0005-0000-0000-0000BC010000}"/>
    <cellStyle name="Accent6 36" xfId="1079" xr:uid="{00000000-0005-0000-0000-0000BD010000}"/>
    <cellStyle name="Accent6 37" xfId="1076" xr:uid="{00000000-0005-0000-0000-0000BE010000}"/>
    <cellStyle name="Accent6 38" xfId="1077" xr:uid="{00000000-0005-0000-0000-0000BF010000}"/>
    <cellStyle name="Accent6 39" xfId="1063" xr:uid="{00000000-0005-0000-0000-0000C0010000}"/>
    <cellStyle name="Accent6 4" xfId="275" xr:uid="{00000000-0005-0000-0000-0000C1010000}"/>
    <cellStyle name="Accent6 4 2" xfId="534" xr:uid="{00000000-0005-0000-0000-0000C2010000}"/>
    <cellStyle name="Accent6 40" xfId="105" xr:uid="{00000000-0005-0000-0000-0000C3010000}"/>
    <cellStyle name="Accent6 41" xfId="120" xr:uid="{00000000-0005-0000-0000-0000C4010000}"/>
    <cellStyle name="Accent6 42" xfId="1101" xr:uid="{00000000-0005-0000-0000-0000C5010000}"/>
    <cellStyle name="Accent6 43" xfId="1100" xr:uid="{00000000-0005-0000-0000-0000C6010000}"/>
    <cellStyle name="Accent6 5" xfId="288" xr:uid="{00000000-0005-0000-0000-0000C7010000}"/>
    <cellStyle name="Accent6 5 2" xfId="535" xr:uid="{00000000-0005-0000-0000-0000C8010000}"/>
    <cellStyle name="Accent6 6" xfId="536" xr:uid="{00000000-0005-0000-0000-0000C9010000}"/>
    <cellStyle name="Accent6 7" xfId="537" xr:uid="{00000000-0005-0000-0000-0000CA010000}"/>
    <cellStyle name="Accent6 8" xfId="538" xr:uid="{00000000-0005-0000-0000-0000CB010000}"/>
    <cellStyle name="Accent6 9" xfId="539" xr:uid="{00000000-0005-0000-0000-0000CC010000}"/>
    <cellStyle name="Bad 2" xfId="218" xr:uid="{00000000-0005-0000-0000-0000CD010000}"/>
    <cellStyle name="Bad 2 2" xfId="541" xr:uid="{00000000-0005-0000-0000-0000CE010000}"/>
    <cellStyle name="Bad 2 3" xfId="542" xr:uid="{00000000-0005-0000-0000-0000CF010000}"/>
    <cellStyle name="Bad 2 4" xfId="540" xr:uid="{00000000-0005-0000-0000-0000D0010000}"/>
    <cellStyle name="Bad 3" xfId="543" xr:uid="{00000000-0005-0000-0000-0000D1010000}"/>
    <cellStyle name="Bad 4" xfId="891" xr:uid="{00000000-0005-0000-0000-0000D2010000}"/>
    <cellStyle name="Bad 5" xfId="151" xr:uid="{00000000-0005-0000-0000-0000D3010000}"/>
    <cellStyle name="Bad 6" xfId="106" xr:uid="{00000000-0005-0000-0000-0000D4010000}"/>
    <cellStyle name="Calculation 2" xfId="219" xr:uid="{00000000-0005-0000-0000-0000D5010000}"/>
    <cellStyle name="Calculation 2 2" xfId="545" xr:uid="{00000000-0005-0000-0000-0000D6010000}"/>
    <cellStyle name="Calculation 2 2 2" xfId="1188" xr:uid="{00000000-0005-0000-0000-0000D7010000}"/>
    <cellStyle name="Calculation 2 3" xfId="546" xr:uid="{00000000-0005-0000-0000-0000D8010000}"/>
    <cellStyle name="Calculation 2 3 2" xfId="1189" xr:uid="{00000000-0005-0000-0000-0000D9010000}"/>
    <cellStyle name="Calculation 2 4" xfId="544" xr:uid="{00000000-0005-0000-0000-0000DA010000}"/>
    <cellStyle name="Calculation 2 4 2" xfId="1187" xr:uid="{00000000-0005-0000-0000-0000DB010000}"/>
    <cellStyle name="Calculation 2 5" xfId="1152" xr:uid="{00000000-0005-0000-0000-0000DC010000}"/>
    <cellStyle name="Calculation 3" xfId="547" xr:uid="{00000000-0005-0000-0000-0000DD010000}"/>
    <cellStyle name="Calculation 3 2" xfId="1190" xr:uid="{00000000-0005-0000-0000-0000DE010000}"/>
    <cellStyle name="Calculation 4" xfId="895" xr:uid="{00000000-0005-0000-0000-0000DF010000}"/>
    <cellStyle name="Calculation 5" xfId="155" xr:uid="{00000000-0005-0000-0000-0000E0010000}"/>
    <cellStyle name="Calculation 6" xfId="107" xr:uid="{00000000-0005-0000-0000-0000E1010000}"/>
    <cellStyle name="Calculation 6 2" xfId="1141" xr:uid="{00000000-0005-0000-0000-0000E2010000}"/>
    <cellStyle name="Check Cell 2" xfId="220" xr:uid="{00000000-0005-0000-0000-0000E3010000}"/>
    <cellStyle name="Check Cell 2 2" xfId="549" xr:uid="{00000000-0005-0000-0000-0000E4010000}"/>
    <cellStyle name="Check Cell 2 3" xfId="550" xr:uid="{00000000-0005-0000-0000-0000E5010000}"/>
    <cellStyle name="Check Cell 2 4" xfId="548" xr:uid="{00000000-0005-0000-0000-0000E6010000}"/>
    <cellStyle name="Check Cell 3" xfId="551" xr:uid="{00000000-0005-0000-0000-0000E7010000}"/>
    <cellStyle name="Check Cell 4" xfId="897" xr:uid="{00000000-0005-0000-0000-0000E8010000}"/>
    <cellStyle name="Check Cell 5" xfId="157" xr:uid="{00000000-0005-0000-0000-0000E9010000}"/>
    <cellStyle name="Check Cell 6" xfId="108" xr:uid="{00000000-0005-0000-0000-0000EA010000}"/>
    <cellStyle name="column Head Underlined" xfId="552" xr:uid="{00000000-0005-0000-0000-0000EB010000}"/>
    <cellStyle name="Column Heading" xfId="553" xr:uid="{00000000-0005-0000-0000-0000EC010000}"/>
    <cellStyle name="Comma [1]" xfId="555" xr:uid="{00000000-0005-0000-0000-0000ED010000}"/>
    <cellStyle name="Comma 10" xfId="1363" xr:uid="{00000000-0005-0000-0000-0000EE010000}"/>
    <cellStyle name="Comma 19 4" xfId="1364" xr:uid="{00000000-0005-0000-0000-0000EF010000}"/>
    <cellStyle name="Comma 2" xfId="4" xr:uid="{00000000-0005-0000-0000-0000F0010000}"/>
    <cellStyle name="Comma 2 2" xfId="80" xr:uid="{00000000-0005-0000-0000-0000F1010000}"/>
    <cellStyle name="Comma 2 2 2" xfId="557" xr:uid="{00000000-0005-0000-0000-0000F2010000}"/>
    <cellStyle name="Comma 2 3" xfId="558" xr:uid="{00000000-0005-0000-0000-0000F3010000}"/>
    <cellStyle name="Comma 2 4" xfId="556" xr:uid="{00000000-0005-0000-0000-0000F4010000}"/>
    <cellStyle name="Comma 3" xfId="559" xr:uid="{00000000-0005-0000-0000-0000F5010000}"/>
    <cellStyle name="Comma 3 2" xfId="1365" xr:uid="{00000000-0005-0000-0000-0000F6010000}"/>
    <cellStyle name="Comma 4" xfId="560" xr:uid="{00000000-0005-0000-0000-0000F7010000}"/>
    <cellStyle name="Comma 5" xfId="561" xr:uid="{00000000-0005-0000-0000-0000F8010000}"/>
    <cellStyle name="Comma 6" xfId="562" xr:uid="{00000000-0005-0000-0000-0000F9010000}"/>
    <cellStyle name="Comma 6 2" xfId="563" xr:uid="{00000000-0005-0000-0000-0000FA010000}"/>
    <cellStyle name="Comma 7" xfId="564" xr:uid="{00000000-0005-0000-0000-0000FB010000}"/>
    <cellStyle name="Comma 7 2" xfId="565" xr:uid="{00000000-0005-0000-0000-0000FC010000}"/>
    <cellStyle name="Comma 8" xfId="566" xr:uid="{00000000-0005-0000-0000-0000FD010000}"/>
    <cellStyle name="Comma 9" xfId="554" xr:uid="{00000000-0005-0000-0000-0000FE010000}"/>
    <cellStyle name="Currency 2" xfId="567" xr:uid="{00000000-0005-0000-0000-0000FF010000}"/>
    <cellStyle name="Date" xfId="568" xr:uid="{00000000-0005-0000-0000-000000020000}"/>
    <cellStyle name="Date 2" xfId="569" xr:uid="{00000000-0005-0000-0000-000001020000}"/>
    <cellStyle name="Date 2 2" xfId="570" xr:uid="{00000000-0005-0000-0000-000002020000}"/>
    <cellStyle name="Dezimal [0]_Compiling Utility Macros" xfId="571" xr:uid="{00000000-0005-0000-0000-000003020000}"/>
    <cellStyle name="Dezimal_Compiling Utility Macros" xfId="572" xr:uid="{00000000-0005-0000-0000-000004020000}"/>
    <cellStyle name="DOWNFOOT" xfId="573" xr:uid="{00000000-0005-0000-0000-000005020000}"/>
    <cellStyle name="Emphasis 1" xfId="27" xr:uid="{00000000-0005-0000-0000-000006020000}"/>
    <cellStyle name="Emphasis 1 2" xfId="574" xr:uid="{00000000-0005-0000-0000-000007020000}"/>
    <cellStyle name="Emphasis 1 3" xfId="221" xr:uid="{00000000-0005-0000-0000-000008020000}"/>
    <cellStyle name="Emphasis 2" xfId="28" xr:uid="{00000000-0005-0000-0000-000009020000}"/>
    <cellStyle name="Emphasis 2 2" xfId="575" xr:uid="{00000000-0005-0000-0000-00000A020000}"/>
    <cellStyle name="Emphasis 2 3" xfId="222" xr:uid="{00000000-0005-0000-0000-00000B020000}"/>
    <cellStyle name="Emphasis 3" xfId="29" xr:uid="{00000000-0005-0000-0000-00000C020000}"/>
    <cellStyle name="Euro" xfId="576" xr:uid="{00000000-0005-0000-0000-00000D020000}"/>
    <cellStyle name="Euro 10" xfId="577" xr:uid="{00000000-0005-0000-0000-00000E020000}"/>
    <cellStyle name="Euro 11" xfId="578" xr:uid="{00000000-0005-0000-0000-00000F020000}"/>
    <cellStyle name="Euro 12" xfId="579" xr:uid="{00000000-0005-0000-0000-000010020000}"/>
    <cellStyle name="Euro 13" xfId="580" xr:uid="{00000000-0005-0000-0000-000011020000}"/>
    <cellStyle name="Euro 2" xfId="581" xr:uid="{00000000-0005-0000-0000-000012020000}"/>
    <cellStyle name="Euro 2 2" xfId="582" xr:uid="{00000000-0005-0000-0000-000013020000}"/>
    <cellStyle name="Euro 2 3" xfId="583" xr:uid="{00000000-0005-0000-0000-000014020000}"/>
    <cellStyle name="Euro 3" xfId="584" xr:uid="{00000000-0005-0000-0000-000015020000}"/>
    <cellStyle name="Euro 3 2" xfId="585" xr:uid="{00000000-0005-0000-0000-000016020000}"/>
    <cellStyle name="Euro 4" xfId="586" xr:uid="{00000000-0005-0000-0000-000017020000}"/>
    <cellStyle name="Euro 4 2" xfId="587" xr:uid="{00000000-0005-0000-0000-000018020000}"/>
    <cellStyle name="Euro 5" xfId="588" xr:uid="{00000000-0005-0000-0000-000019020000}"/>
    <cellStyle name="Euro 6" xfId="589" xr:uid="{00000000-0005-0000-0000-00001A020000}"/>
    <cellStyle name="Euro 7" xfId="590" xr:uid="{00000000-0005-0000-0000-00001B020000}"/>
    <cellStyle name="Euro 8" xfId="591" xr:uid="{00000000-0005-0000-0000-00001C020000}"/>
    <cellStyle name="Euro 9" xfId="592" xr:uid="{00000000-0005-0000-0000-00001D020000}"/>
    <cellStyle name="Explanatory Text 2" xfId="594" xr:uid="{00000000-0005-0000-0000-00001E020000}"/>
    <cellStyle name="Explanatory Text 2 2" xfId="595" xr:uid="{00000000-0005-0000-0000-00001F020000}"/>
    <cellStyle name="Explanatory Text 2 3" xfId="596" xr:uid="{00000000-0005-0000-0000-000020020000}"/>
    <cellStyle name="Explanatory Text 3" xfId="597" xr:uid="{00000000-0005-0000-0000-000021020000}"/>
    <cellStyle name="Explanatory Text 4" xfId="900" xr:uid="{00000000-0005-0000-0000-000022020000}"/>
    <cellStyle name="Explanatory Text 5" xfId="593" xr:uid="{00000000-0005-0000-0000-000023020000}"/>
    <cellStyle name="Explanatory Text 6" xfId="160" xr:uid="{00000000-0005-0000-0000-000024020000}"/>
    <cellStyle name="Explanatory Text 7" xfId="109" xr:uid="{00000000-0005-0000-0000-000025020000}"/>
    <cellStyle name="Good 2" xfId="223" xr:uid="{00000000-0005-0000-0000-000026020000}"/>
    <cellStyle name="Good 2 2" xfId="599" xr:uid="{00000000-0005-0000-0000-000027020000}"/>
    <cellStyle name="Good 2 3" xfId="600" xr:uid="{00000000-0005-0000-0000-000028020000}"/>
    <cellStyle name="Good 2 4" xfId="598" xr:uid="{00000000-0005-0000-0000-000029020000}"/>
    <cellStyle name="Good 3" xfId="601" xr:uid="{00000000-0005-0000-0000-00002A020000}"/>
    <cellStyle name="Good 4" xfId="890" xr:uid="{00000000-0005-0000-0000-00002B020000}"/>
    <cellStyle name="Good 5" xfId="150" xr:uid="{00000000-0005-0000-0000-00002C020000}"/>
    <cellStyle name="Good 6" xfId="110" xr:uid="{00000000-0005-0000-0000-00002D020000}"/>
    <cellStyle name="GreyOrWhite" xfId="602" xr:uid="{00000000-0005-0000-0000-00002E020000}"/>
    <cellStyle name="Heading 1 2" xfId="224" xr:uid="{00000000-0005-0000-0000-00002F020000}"/>
    <cellStyle name="Heading 1 2 2" xfId="604" xr:uid="{00000000-0005-0000-0000-000030020000}"/>
    <cellStyle name="Heading 1 2 3" xfId="603" xr:uid="{00000000-0005-0000-0000-000031020000}"/>
    <cellStyle name="Heading 1 3" xfId="886" xr:uid="{00000000-0005-0000-0000-000032020000}"/>
    <cellStyle name="Heading 1 4" xfId="146" xr:uid="{00000000-0005-0000-0000-000033020000}"/>
    <cellStyle name="Heading 1 5" xfId="111" xr:uid="{00000000-0005-0000-0000-000034020000}"/>
    <cellStyle name="Heading 2 2" xfId="225" xr:uid="{00000000-0005-0000-0000-000035020000}"/>
    <cellStyle name="Heading 2 2 2" xfId="606" xr:uid="{00000000-0005-0000-0000-000036020000}"/>
    <cellStyle name="Heading 2 2 3" xfId="607" xr:uid="{00000000-0005-0000-0000-000037020000}"/>
    <cellStyle name="Heading 2 2 4" xfId="605" xr:uid="{00000000-0005-0000-0000-000038020000}"/>
    <cellStyle name="Heading 2 3" xfId="608" xr:uid="{00000000-0005-0000-0000-000039020000}"/>
    <cellStyle name="Heading 2 4" xfId="887" xr:uid="{00000000-0005-0000-0000-00003A020000}"/>
    <cellStyle name="Heading 2 5" xfId="147" xr:uid="{00000000-0005-0000-0000-00003B020000}"/>
    <cellStyle name="Heading 2 6" xfId="112" xr:uid="{00000000-0005-0000-0000-00003C020000}"/>
    <cellStyle name="Heading 3 2" xfId="226" xr:uid="{00000000-0005-0000-0000-00003D020000}"/>
    <cellStyle name="Heading 3 2 2" xfId="610" xr:uid="{00000000-0005-0000-0000-00003E020000}"/>
    <cellStyle name="Heading 3 2 3" xfId="611" xr:uid="{00000000-0005-0000-0000-00003F020000}"/>
    <cellStyle name="Heading 3 2 4" xfId="609" xr:uid="{00000000-0005-0000-0000-000040020000}"/>
    <cellStyle name="Heading 3 3" xfId="612" xr:uid="{00000000-0005-0000-0000-000041020000}"/>
    <cellStyle name="Heading 3 4" xfId="888" xr:uid="{00000000-0005-0000-0000-000042020000}"/>
    <cellStyle name="Heading 3 5" xfId="148" xr:uid="{00000000-0005-0000-0000-000043020000}"/>
    <cellStyle name="Heading 3 6" xfId="113" xr:uid="{00000000-0005-0000-0000-000044020000}"/>
    <cellStyle name="Heading 4 2" xfId="227" xr:uid="{00000000-0005-0000-0000-000045020000}"/>
    <cellStyle name="Heading 4 2 2" xfId="614" xr:uid="{00000000-0005-0000-0000-000046020000}"/>
    <cellStyle name="Heading 4 2 3" xfId="613" xr:uid="{00000000-0005-0000-0000-000047020000}"/>
    <cellStyle name="Heading 4 3" xfId="889" xr:uid="{00000000-0005-0000-0000-000048020000}"/>
    <cellStyle name="Heading 4 4" xfId="149" xr:uid="{00000000-0005-0000-0000-000049020000}"/>
    <cellStyle name="Heading 4 5" xfId="114" xr:uid="{00000000-0005-0000-0000-00004A020000}"/>
    <cellStyle name="Hyperlink 10" xfId="615" xr:uid="{00000000-0005-0000-0000-00004B020000}"/>
    <cellStyle name="Hyperlink 11" xfId="616" xr:uid="{00000000-0005-0000-0000-00004C020000}"/>
    <cellStyle name="Hyperlink 12" xfId="617" xr:uid="{00000000-0005-0000-0000-00004D020000}"/>
    <cellStyle name="Hyperlink 2" xfId="295" xr:uid="{00000000-0005-0000-0000-00004E020000}"/>
    <cellStyle name="Hyperlink 2 2" xfId="618" xr:uid="{00000000-0005-0000-0000-00004F020000}"/>
    <cellStyle name="Hyperlink 3" xfId="619" xr:uid="{00000000-0005-0000-0000-000050020000}"/>
    <cellStyle name="Hyperlink 4" xfId="620" xr:uid="{00000000-0005-0000-0000-000051020000}"/>
    <cellStyle name="Hyperlink 5" xfId="621" xr:uid="{00000000-0005-0000-0000-000052020000}"/>
    <cellStyle name="Hyperlink 6" xfId="622" xr:uid="{00000000-0005-0000-0000-000053020000}"/>
    <cellStyle name="Hyperlink 7" xfId="623" xr:uid="{00000000-0005-0000-0000-000054020000}"/>
    <cellStyle name="Hyperlink 8" xfId="624" xr:uid="{00000000-0005-0000-0000-000055020000}"/>
    <cellStyle name="Hyperlink 9" xfId="625" xr:uid="{00000000-0005-0000-0000-000056020000}"/>
    <cellStyle name="Input 2" xfId="228" xr:uid="{00000000-0005-0000-0000-000057020000}"/>
    <cellStyle name="Input 2 2" xfId="627" xr:uid="{00000000-0005-0000-0000-000058020000}"/>
    <cellStyle name="Input 2 2 2" xfId="1192" xr:uid="{00000000-0005-0000-0000-000059020000}"/>
    <cellStyle name="Input 2 3" xfId="628" xr:uid="{00000000-0005-0000-0000-00005A020000}"/>
    <cellStyle name="Input 2 3 2" xfId="1193" xr:uid="{00000000-0005-0000-0000-00005B020000}"/>
    <cellStyle name="Input 2 4" xfId="626" xr:uid="{00000000-0005-0000-0000-00005C020000}"/>
    <cellStyle name="Input 2 4 2" xfId="1191" xr:uid="{00000000-0005-0000-0000-00005D020000}"/>
    <cellStyle name="Input 2 5" xfId="1153" xr:uid="{00000000-0005-0000-0000-00005E020000}"/>
    <cellStyle name="Input 3" xfId="629" xr:uid="{00000000-0005-0000-0000-00005F020000}"/>
    <cellStyle name="Input 3 2" xfId="1194" xr:uid="{00000000-0005-0000-0000-000060020000}"/>
    <cellStyle name="Input 4" xfId="893" xr:uid="{00000000-0005-0000-0000-000061020000}"/>
    <cellStyle name="Input 5" xfId="153" xr:uid="{00000000-0005-0000-0000-000062020000}"/>
    <cellStyle name="Input 6" xfId="115" xr:uid="{00000000-0005-0000-0000-000063020000}"/>
    <cellStyle name="Input 6 2" xfId="1142" xr:uid="{00000000-0005-0000-0000-000064020000}"/>
    <cellStyle name="Linked Cell 2" xfId="229" xr:uid="{00000000-0005-0000-0000-000065020000}"/>
    <cellStyle name="Linked Cell 2 2" xfId="631" xr:uid="{00000000-0005-0000-0000-000066020000}"/>
    <cellStyle name="Linked Cell 2 3" xfId="632" xr:uid="{00000000-0005-0000-0000-000067020000}"/>
    <cellStyle name="Linked Cell 2 4" xfId="630" xr:uid="{00000000-0005-0000-0000-000068020000}"/>
    <cellStyle name="Linked Cell 3" xfId="633" xr:uid="{00000000-0005-0000-0000-000069020000}"/>
    <cellStyle name="Linked Cell 4" xfId="896" xr:uid="{00000000-0005-0000-0000-00006A020000}"/>
    <cellStyle name="Linked Cell 5" xfId="156" xr:uid="{00000000-0005-0000-0000-00006B020000}"/>
    <cellStyle name="Linked Cell 6" xfId="116" xr:uid="{00000000-0005-0000-0000-00006C020000}"/>
    <cellStyle name="Main Heading" xfId="634" xr:uid="{00000000-0005-0000-0000-00006D020000}"/>
    <cellStyle name="Neutral 2" xfId="230" xr:uid="{00000000-0005-0000-0000-00006E020000}"/>
    <cellStyle name="Neutral 2 2" xfId="636" xr:uid="{00000000-0005-0000-0000-00006F020000}"/>
    <cellStyle name="Neutral 2 3" xfId="637" xr:uid="{00000000-0005-0000-0000-000070020000}"/>
    <cellStyle name="Neutral 2 4" xfId="635" xr:uid="{00000000-0005-0000-0000-000071020000}"/>
    <cellStyle name="Neutral 3" xfId="638" xr:uid="{00000000-0005-0000-0000-000072020000}"/>
    <cellStyle name="Neutral 4" xfId="892" xr:uid="{00000000-0005-0000-0000-000073020000}"/>
    <cellStyle name="Neutral 5" xfId="152" xr:uid="{00000000-0005-0000-0000-000074020000}"/>
    <cellStyle name="Neutral 6" xfId="117" xr:uid="{00000000-0005-0000-0000-000075020000}"/>
    <cellStyle name="Normal" xfId="0" builtinId="0"/>
    <cellStyle name="Normal 10" xfId="639" xr:uid="{00000000-0005-0000-0000-000077020000}"/>
    <cellStyle name="Normal 11" xfId="640" xr:uid="{00000000-0005-0000-0000-000078020000}"/>
    <cellStyle name="Normal 12" xfId="641" xr:uid="{00000000-0005-0000-0000-000079020000}"/>
    <cellStyle name="Normal 13" xfId="642" xr:uid="{00000000-0005-0000-0000-00007A020000}"/>
    <cellStyle name="Normal 14" xfId="926" xr:uid="{00000000-0005-0000-0000-00007B020000}"/>
    <cellStyle name="Normal 15" xfId="949" xr:uid="{00000000-0005-0000-0000-00007C020000}"/>
    <cellStyle name="Normal 16" xfId="1051" xr:uid="{00000000-0005-0000-0000-00007D020000}"/>
    <cellStyle name="Normal 17" xfId="143" xr:uid="{00000000-0005-0000-0000-00007E020000}"/>
    <cellStyle name="Normal 18" xfId="1362" xr:uid="{00000000-0005-0000-0000-00007F020000}"/>
    <cellStyle name="Normal 2" xfId="3" xr:uid="{00000000-0005-0000-0000-000080020000}"/>
    <cellStyle name="Normal 2 2" xfId="2" xr:uid="{00000000-0005-0000-0000-000081020000}"/>
    <cellStyle name="Normal 2 2 2" xfId="134" xr:uid="{00000000-0005-0000-0000-000082020000}"/>
    <cellStyle name="Normal 2 2 2 2" xfId="140" xr:uid="{00000000-0005-0000-0000-000083020000}"/>
    <cellStyle name="Normal 2 2 2 3" xfId="644" xr:uid="{00000000-0005-0000-0000-000084020000}"/>
    <cellStyle name="Normal 2 2 3" xfId="136" xr:uid="{00000000-0005-0000-0000-000085020000}"/>
    <cellStyle name="Normal 2 2 3 2" xfId="142" xr:uid="{00000000-0005-0000-0000-000086020000}"/>
    <cellStyle name="Normal 2 2 3 3" xfId="643" xr:uid="{00000000-0005-0000-0000-000087020000}"/>
    <cellStyle name="Normal 2 2 4" xfId="138" xr:uid="{00000000-0005-0000-0000-000088020000}"/>
    <cellStyle name="Normal 2 2 5" xfId="294" xr:uid="{00000000-0005-0000-0000-000089020000}"/>
    <cellStyle name="Normal 2 2 6" xfId="132" xr:uid="{00000000-0005-0000-0000-00008A020000}"/>
    <cellStyle name="Normal 2 3" xfId="133" xr:uid="{00000000-0005-0000-0000-00008B020000}"/>
    <cellStyle name="Normal 2 3 2" xfId="139" xr:uid="{00000000-0005-0000-0000-00008C020000}"/>
    <cellStyle name="Normal 2 3 3" xfId="290" xr:uid="{00000000-0005-0000-0000-00008D020000}"/>
    <cellStyle name="Normal 2 4" xfId="135" xr:uid="{00000000-0005-0000-0000-00008E020000}"/>
    <cellStyle name="Normal 2 4 2" xfId="141" xr:uid="{00000000-0005-0000-0000-00008F020000}"/>
    <cellStyle name="Normal 2 5" xfId="137" xr:uid="{00000000-0005-0000-0000-000090020000}"/>
    <cellStyle name="Normal 2 6" xfId="193" xr:uid="{00000000-0005-0000-0000-000091020000}"/>
    <cellStyle name="Normal 2 7" xfId="129" xr:uid="{00000000-0005-0000-0000-000092020000}"/>
    <cellStyle name="Normal 24" xfId="291" xr:uid="{00000000-0005-0000-0000-000093020000}"/>
    <cellStyle name="Normal 3" xfId="73" xr:uid="{00000000-0005-0000-0000-000094020000}"/>
    <cellStyle name="Normal 3 2" xfId="645" xr:uid="{00000000-0005-0000-0000-000095020000}"/>
    <cellStyle name="Normal 3 3" xfId="195" xr:uid="{00000000-0005-0000-0000-000096020000}"/>
    <cellStyle name="Normal 4" xfId="77" xr:uid="{00000000-0005-0000-0000-000097020000}"/>
    <cellStyle name="Normal 4 2" xfId="81" xr:uid="{00000000-0005-0000-0000-000098020000}"/>
    <cellStyle name="Normal 4 2 2" xfId="647" xr:uid="{00000000-0005-0000-0000-000099020000}"/>
    <cellStyle name="Normal 4 2 3" xfId="297" xr:uid="{00000000-0005-0000-0000-00009A020000}"/>
    <cellStyle name="Normal 4 3" xfId="646" xr:uid="{00000000-0005-0000-0000-00009B020000}"/>
    <cellStyle name="Normal 4 4" xfId="282" xr:uid="{00000000-0005-0000-0000-00009C020000}"/>
    <cellStyle name="Normal 5" xfId="289" xr:uid="{00000000-0005-0000-0000-00009D020000}"/>
    <cellStyle name="Normal 5 2" xfId="304" xr:uid="{00000000-0005-0000-0000-00009E020000}"/>
    <cellStyle name="Normal 6" xfId="648" xr:uid="{00000000-0005-0000-0000-00009F020000}"/>
    <cellStyle name="Normal 7" xfId="194" xr:uid="{00000000-0005-0000-0000-0000A0020000}"/>
    <cellStyle name="Normal 7 2" xfId="298" xr:uid="{00000000-0005-0000-0000-0000A1020000}"/>
    <cellStyle name="Normal 8" xfId="649" xr:uid="{00000000-0005-0000-0000-0000A2020000}"/>
    <cellStyle name="Normal 9" xfId="650" xr:uid="{00000000-0005-0000-0000-0000A3020000}"/>
    <cellStyle name="Normal U" xfId="651" xr:uid="{00000000-0005-0000-0000-0000A4020000}"/>
    <cellStyle name="Normal_3E(9) proforma 2000-01" xfId="30" xr:uid="{00000000-0005-0000-0000-0000A5020000}"/>
    <cellStyle name="Normal_EMExls" xfId="31" xr:uid="{00000000-0005-0000-0000-0000A6020000}"/>
    <cellStyle name="Normal_risk table" xfId="74" xr:uid="{00000000-0005-0000-0000-0000A7020000}"/>
    <cellStyle name="Note 2" xfId="231" xr:uid="{00000000-0005-0000-0000-0000A8020000}"/>
    <cellStyle name="Note 2 2" xfId="653" xr:uid="{00000000-0005-0000-0000-0000A9020000}"/>
    <cellStyle name="Note 2 2 2" xfId="1196" xr:uid="{00000000-0005-0000-0000-0000AA020000}"/>
    <cellStyle name="Note 2 3" xfId="654" xr:uid="{00000000-0005-0000-0000-0000AB020000}"/>
    <cellStyle name="Note 2 3 2" xfId="1197" xr:uid="{00000000-0005-0000-0000-0000AC020000}"/>
    <cellStyle name="Note 2 4" xfId="652" xr:uid="{00000000-0005-0000-0000-0000AD020000}"/>
    <cellStyle name="Note 2 4 2" xfId="1195" xr:uid="{00000000-0005-0000-0000-0000AE020000}"/>
    <cellStyle name="Note 2 5" xfId="1154" xr:uid="{00000000-0005-0000-0000-0000AF020000}"/>
    <cellStyle name="Note 3" xfId="655" xr:uid="{00000000-0005-0000-0000-0000B0020000}"/>
    <cellStyle name="Note 3 2" xfId="656" xr:uid="{00000000-0005-0000-0000-0000B1020000}"/>
    <cellStyle name="Note 3 2 2" xfId="1199" xr:uid="{00000000-0005-0000-0000-0000B2020000}"/>
    <cellStyle name="Note 3 3" xfId="1198" xr:uid="{00000000-0005-0000-0000-0000B3020000}"/>
    <cellStyle name="Note 4" xfId="899" xr:uid="{00000000-0005-0000-0000-0000B4020000}"/>
    <cellStyle name="Note 5" xfId="987" xr:uid="{00000000-0005-0000-0000-0000B5020000}"/>
    <cellStyle name="Note 6" xfId="159" xr:uid="{00000000-0005-0000-0000-0000B6020000}"/>
    <cellStyle name="Note 7" xfId="118" xr:uid="{00000000-0005-0000-0000-0000B7020000}"/>
    <cellStyle name="Note 7 2" xfId="1143" xr:uid="{00000000-0005-0000-0000-0000B8020000}"/>
    <cellStyle name="Output 2" xfId="232" xr:uid="{00000000-0005-0000-0000-0000B9020000}"/>
    <cellStyle name="Output 2 2" xfId="658" xr:uid="{00000000-0005-0000-0000-0000BA020000}"/>
    <cellStyle name="Output 2 3" xfId="659" xr:uid="{00000000-0005-0000-0000-0000BB020000}"/>
    <cellStyle name="Output 2 4" xfId="657" xr:uid="{00000000-0005-0000-0000-0000BC020000}"/>
    <cellStyle name="Output 3" xfId="660" xr:uid="{00000000-0005-0000-0000-0000BD020000}"/>
    <cellStyle name="Output 4" xfId="894" xr:uid="{00000000-0005-0000-0000-0000BE020000}"/>
    <cellStyle name="Output 5" xfId="154" xr:uid="{00000000-0005-0000-0000-0000BF020000}"/>
    <cellStyle name="Output 6" xfId="119" xr:uid="{00000000-0005-0000-0000-0000C0020000}"/>
    <cellStyle name="Percent" xfId="76" builtinId="5"/>
    <cellStyle name="Percent 2" xfId="32" xr:uid="{00000000-0005-0000-0000-0000C2020000}"/>
    <cellStyle name="Percent 2 2" xfId="296" xr:uid="{00000000-0005-0000-0000-0000C3020000}"/>
    <cellStyle name="Percent 2 2 10 2" xfId="299" xr:uid="{00000000-0005-0000-0000-0000C4020000}"/>
    <cellStyle name="Percent 2 3" xfId="293" xr:uid="{00000000-0005-0000-0000-0000C5020000}"/>
    <cellStyle name="Percent 2 4" xfId="281" xr:uid="{00000000-0005-0000-0000-0000C6020000}"/>
    <cellStyle name="Percent 3" xfId="75" xr:uid="{00000000-0005-0000-0000-0000C7020000}"/>
    <cellStyle name="Percent 3 2" xfId="661" xr:uid="{00000000-0005-0000-0000-0000C8020000}"/>
    <cellStyle name="Percent 3 3" xfId="305" xr:uid="{00000000-0005-0000-0000-0000C9020000}"/>
    <cellStyle name="Percent 3 4" xfId="292" xr:uid="{00000000-0005-0000-0000-0000CA020000}"/>
    <cellStyle name="Percent 4" xfId="662" xr:uid="{00000000-0005-0000-0000-0000CB020000}"/>
    <cellStyle name="Percent 4 2" xfId="663" xr:uid="{00000000-0005-0000-0000-0000CC020000}"/>
    <cellStyle name="Percent 5" xfId="664" xr:uid="{00000000-0005-0000-0000-0000CD020000}"/>
    <cellStyle name="Percent 6" xfId="144" xr:uid="{00000000-0005-0000-0000-0000CE020000}"/>
    <cellStyle name="PSChar" xfId="665" xr:uid="{00000000-0005-0000-0000-0000CF020000}"/>
    <cellStyle name="PSChar 2" xfId="666" xr:uid="{00000000-0005-0000-0000-0000D0020000}"/>
    <cellStyle name="PSChar 2 2" xfId="667" xr:uid="{00000000-0005-0000-0000-0000D1020000}"/>
    <cellStyle name="SAPBEXaggData" xfId="33" xr:uid="{00000000-0005-0000-0000-0000D2020000}"/>
    <cellStyle name="SAPBEXaggData 2" xfId="668" xr:uid="{00000000-0005-0000-0000-0000D3020000}"/>
    <cellStyle name="SAPBEXaggData 2 2" xfId="669" xr:uid="{00000000-0005-0000-0000-0000D4020000}"/>
    <cellStyle name="SAPBEXaggData 2 2 2" xfId="1201" xr:uid="{00000000-0005-0000-0000-0000D5020000}"/>
    <cellStyle name="SAPBEXaggData 2 3" xfId="1200" xr:uid="{00000000-0005-0000-0000-0000D6020000}"/>
    <cellStyle name="SAPBEXaggData 3" xfId="670" xr:uid="{00000000-0005-0000-0000-0000D7020000}"/>
    <cellStyle name="SAPBEXaggData 3 2" xfId="671" xr:uid="{00000000-0005-0000-0000-0000D8020000}"/>
    <cellStyle name="SAPBEXaggData 3 2 2" xfId="1203" xr:uid="{00000000-0005-0000-0000-0000D9020000}"/>
    <cellStyle name="SAPBEXaggData 3 3" xfId="1202" xr:uid="{00000000-0005-0000-0000-0000DA020000}"/>
    <cellStyle name="SAPBEXaggData 4" xfId="672" xr:uid="{00000000-0005-0000-0000-0000DB020000}"/>
    <cellStyle name="SAPBEXaggData 4 2" xfId="1204" xr:uid="{00000000-0005-0000-0000-0000DC020000}"/>
    <cellStyle name="SAPBEXaggData 5" xfId="927" xr:uid="{00000000-0005-0000-0000-0000DD020000}"/>
    <cellStyle name="SAPBEXaggData 5 2" xfId="1335" xr:uid="{00000000-0005-0000-0000-0000DE020000}"/>
    <cellStyle name="SAPBEXaggData 6" xfId="950" xr:uid="{00000000-0005-0000-0000-0000DF020000}"/>
    <cellStyle name="SAPBEXaggData 7" xfId="1047" xr:uid="{00000000-0005-0000-0000-0000E0020000}"/>
    <cellStyle name="SAPBEXaggData 8" xfId="233" xr:uid="{00000000-0005-0000-0000-0000E1020000}"/>
    <cellStyle name="SAPBEXaggData 8 2" xfId="1155" xr:uid="{00000000-0005-0000-0000-0000E2020000}"/>
    <cellStyle name="SAPBEXaggData 9" xfId="1108" xr:uid="{00000000-0005-0000-0000-0000E3020000}"/>
    <cellStyle name="SAPBEXaggData_East 1415 Budget model v1" xfId="673" xr:uid="{00000000-0005-0000-0000-0000E4020000}"/>
    <cellStyle name="SAPBEXaggDataEmph" xfId="34" xr:uid="{00000000-0005-0000-0000-0000E5020000}"/>
    <cellStyle name="SAPBEXaggDataEmph 2" xfId="674" xr:uid="{00000000-0005-0000-0000-0000E6020000}"/>
    <cellStyle name="SAPBEXaggDataEmph 2 2" xfId="675" xr:uid="{00000000-0005-0000-0000-0000E7020000}"/>
    <cellStyle name="SAPBEXaggDataEmph 2 2 2" xfId="1206" xr:uid="{00000000-0005-0000-0000-0000E8020000}"/>
    <cellStyle name="SAPBEXaggDataEmph 2 3" xfId="1205" xr:uid="{00000000-0005-0000-0000-0000E9020000}"/>
    <cellStyle name="SAPBEXaggDataEmph 3" xfId="676" xr:uid="{00000000-0005-0000-0000-0000EA020000}"/>
    <cellStyle name="SAPBEXaggDataEmph 3 2" xfId="677" xr:uid="{00000000-0005-0000-0000-0000EB020000}"/>
    <cellStyle name="SAPBEXaggDataEmph 3 2 2" xfId="1208" xr:uid="{00000000-0005-0000-0000-0000EC020000}"/>
    <cellStyle name="SAPBEXaggDataEmph 3 3" xfId="1207" xr:uid="{00000000-0005-0000-0000-0000ED020000}"/>
    <cellStyle name="SAPBEXaggDataEmph 4" xfId="951" xr:uid="{00000000-0005-0000-0000-0000EE020000}"/>
    <cellStyle name="SAPBEXaggDataEmph 5" xfId="1046" xr:uid="{00000000-0005-0000-0000-0000EF020000}"/>
    <cellStyle name="SAPBEXaggDataEmph 6" xfId="234" xr:uid="{00000000-0005-0000-0000-0000F0020000}"/>
    <cellStyle name="SAPBEXaggDataEmph 6 2" xfId="1156" xr:uid="{00000000-0005-0000-0000-0000F1020000}"/>
    <cellStyle name="SAPBEXaggDataEmph 7" xfId="1109" xr:uid="{00000000-0005-0000-0000-0000F2020000}"/>
    <cellStyle name="SAPBEXaggItem" xfId="35" xr:uid="{00000000-0005-0000-0000-0000F3020000}"/>
    <cellStyle name="SAPBEXaggItem 2" xfId="678" xr:uid="{00000000-0005-0000-0000-0000F4020000}"/>
    <cellStyle name="SAPBEXaggItem 2 2" xfId="679" xr:uid="{00000000-0005-0000-0000-0000F5020000}"/>
    <cellStyle name="SAPBEXaggItem 2 2 2" xfId="1210" xr:uid="{00000000-0005-0000-0000-0000F6020000}"/>
    <cellStyle name="SAPBEXaggItem 2 3" xfId="1209" xr:uid="{00000000-0005-0000-0000-0000F7020000}"/>
    <cellStyle name="SAPBEXaggItem 3" xfId="680" xr:uid="{00000000-0005-0000-0000-0000F8020000}"/>
    <cellStyle name="SAPBEXaggItem 3 2" xfId="681" xr:uid="{00000000-0005-0000-0000-0000F9020000}"/>
    <cellStyle name="SAPBEXaggItem 3 2 2" xfId="1212" xr:uid="{00000000-0005-0000-0000-0000FA020000}"/>
    <cellStyle name="SAPBEXaggItem 3 3" xfId="1211" xr:uid="{00000000-0005-0000-0000-0000FB020000}"/>
    <cellStyle name="SAPBEXaggItem 4" xfId="682" xr:uid="{00000000-0005-0000-0000-0000FC020000}"/>
    <cellStyle name="SAPBEXaggItem 4 2" xfId="1213" xr:uid="{00000000-0005-0000-0000-0000FD020000}"/>
    <cellStyle name="SAPBEXaggItem 5" xfId="928" xr:uid="{00000000-0005-0000-0000-0000FE020000}"/>
    <cellStyle name="SAPBEXaggItem 5 2" xfId="1336" xr:uid="{00000000-0005-0000-0000-0000FF020000}"/>
    <cellStyle name="SAPBEXaggItem 6" xfId="952" xr:uid="{00000000-0005-0000-0000-000000030000}"/>
    <cellStyle name="SAPBEXaggItem 7" xfId="1045" xr:uid="{00000000-0005-0000-0000-000001030000}"/>
    <cellStyle name="SAPBEXaggItem 8" xfId="235" xr:uid="{00000000-0005-0000-0000-000002030000}"/>
    <cellStyle name="SAPBEXaggItem 8 2" xfId="1157" xr:uid="{00000000-0005-0000-0000-000003030000}"/>
    <cellStyle name="SAPBEXaggItem 9" xfId="1110" xr:uid="{00000000-0005-0000-0000-000004030000}"/>
    <cellStyle name="SAPBEXaggItem_East 1415 Budget model v1" xfId="683" xr:uid="{00000000-0005-0000-0000-000005030000}"/>
    <cellStyle name="SAPBEXaggItemX" xfId="36" xr:uid="{00000000-0005-0000-0000-000006030000}"/>
    <cellStyle name="SAPBEXaggItemX 2" xfId="684" xr:uid="{00000000-0005-0000-0000-000007030000}"/>
    <cellStyle name="SAPBEXaggItemX 2 2" xfId="1214" xr:uid="{00000000-0005-0000-0000-000008030000}"/>
    <cellStyle name="SAPBEXaggItemX 3" xfId="953" xr:uid="{00000000-0005-0000-0000-000009030000}"/>
    <cellStyle name="SAPBEXaggItemX 4" xfId="1048" xr:uid="{00000000-0005-0000-0000-00000A030000}"/>
    <cellStyle name="SAPBEXaggItemX 4 2" xfId="1357" xr:uid="{00000000-0005-0000-0000-00000B030000}"/>
    <cellStyle name="SAPBEXaggItemX 5" xfId="1044" xr:uid="{00000000-0005-0000-0000-00000C030000}"/>
    <cellStyle name="SAPBEXaggItemX 6" xfId="236" xr:uid="{00000000-0005-0000-0000-00000D030000}"/>
    <cellStyle name="SAPBEXaggItemX 6 2" xfId="1158" xr:uid="{00000000-0005-0000-0000-00000E030000}"/>
    <cellStyle name="SAPBEXaggItemX 7" xfId="1111" xr:uid="{00000000-0005-0000-0000-00000F030000}"/>
    <cellStyle name="SAPBEXchaText" xfId="37" xr:uid="{00000000-0005-0000-0000-000010030000}"/>
    <cellStyle name="SAPBEXchaText 2" xfId="685" xr:uid="{00000000-0005-0000-0000-000011030000}"/>
    <cellStyle name="SAPBEXchaText 2 2" xfId="686" xr:uid="{00000000-0005-0000-0000-000012030000}"/>
    <cellStyle name="SAPBEXchaText 3" xfId="687" xr:uid="{00000000-0005-0000-0000-000013030000}"/>
    <cellStyle name="SAPBEXchaText 3 2" xfId="688" xr:uid="{00000000-0005-0000-0000-000014030000}"/>
    <cellStyle name="SAPBEXchaText 4" xfId="689" xr:uid="{00000000-0005-0000-0000-000015030000}"/>
    <cellStyle name="SAPBEXchaText 5" xfId="929" xr:uid="{00000000-0005-0000-0000-000016030000}"/>
    <cellStyle name="SAPBEXchaText 5 2" xfId="1337" xr:uid="{00000000-0005-0000-0000-000017030000}"/>
    <cellStyle name="SAPBEXchaText 6" xfId="186" xr:uid="{00000000-0005-0000-0000-000018030000}"/>
    <cellStyle name="SAPBEXchaText 6 2" xfId="1145" xr:uid="{00000000-0005-0000-0000-000019030000}"/>
    <cellStyle name="SAPBEXchaText_East 1415 Budget model v1" xfId="690" xr:uid="{00000000-0005-0000-0000-00001A030000}"/>
    <cellStyle name="SAPBEXexcBad7" xfId="38" xr:uid="{00000000-0005-0000-0000-00001B030000}"/>
    <cellStyle name="SAPBEXexcBad7 2" xfId="691" xr:uid="{00000000-0005-0000-0000-00001C030000}"/>
    <cellStyle name="SAPBEXexcBad7 2 2" xfId="692" xr:uid="{00000000-0005-0000-0000-00001D030000}"/>
    <cellStyle name="SAPBEXexcBad7 2 2 2" xfId="1216" xr:uid="{00000000-0005-0000-0000-00001E030000}"/>
    <cellStyle name="SAPBEXexcBad7 2 3" xfId="1215" xr:uid="{00000000-0005-0000-0000-00001F030000}"/>
    <cellStyle name="SAPBEXexcBad7 3" xfId="693" xr:uid="{00000000-0005-0000-0000-000020030000}"/>
    <cellStyle name="SAPBEXexcBad7 3 2" xfId="694" xr:uid="{00000000-0005-0000-0000-000021030000}"/>
    <cellStyle name="SAPBEXexcBad7 3 2 2" xfId="1218" xr:uid="{00000000-0005-0000-0000-000022030000}"/>
    <cellStyle name="SAPBEXexcBad7 3 3" xfId="1217" xr:uid="{00000000-0005-0000-0000-000023030000}"/>
    <cellStyle name="SAPBEXexcBad7 4" xfId="695" xr:uid="{00000000-0005-0000-0000-000024030000}"/>
    <cellStyle name="SAPBEXexcBad7 4 2" xfId="1219" xr:uid="{00000000-0005-0000-0000-000025030000}"/>
    <cellStyle name="SAPBEXexcBad7 5" xfId="930" xr:uid="{00000000-0005-0000-0000-000026030000}"/>
    <cellStyle name="SAPBEXexcBad7 5 2" xfId="1338" xr:uid="{00000000-0005-0000-0000-000027030000}"/>
    <cellStyle name="SAPBEXexcBad7 6" xfId="954" xr:uid="{00000000-0005-0000-0000-000028030000}"/>
    <cellStyle name="SAPBEXexcBad7 7" xfId="1043" xr:uid="{00000000-0005-0000-0000-000029030000}"/>
    <cellStyle name="SAPBEXexcBad7 8" xfId="237" xr:uid="{00000000-0005-0000-0000-00002A030000}"/>
    <cellStyle name="SAPBEXexcBad7 8 2" xfId="1159" xr:uid="{00000000-0005-0000-0000-00002B030000}"/>
    <cellStyle name="SAPBEXexcBad7 9" xfId="1112" xr:uid="{00000000-0005-0000-0000-00002C030000}"/>
    <cellStyle name="SAPBEXexcBad7_East 1415 Budget model v1" xfId="696" xr:uid="{00000000-0005-0000-0000-00002D030000}"/>
    <cellStyle name="SAPBEXexcBad8" xfId="39" xr:uid="{00000000-0005-0000-0000-00002E030000}"/>
    <cellStyle name="SAPBEXexcBad8 2" xfId="697" xr:uid="{00000000-0005-0000-0000-00002F030000}"/>
    <cellStyle name="SAPBEXexcBad8 2 2" xfId="698" xr:uid="{00000000-0005-0000-0000-000030030000}"/>
    <cellStyle name="SAPBEXexcBad8 2 2 2" xfId="1221" xr:uid="{00000000-0005-0000-0000-000031030000}"/>
    <cellStyle name="SAPBEXexcBad8 2 3" xfId="1220" xr:uid="{00000000-0005-0000-0000-000032030000}"/>
    <cellStyle name="SAPBEXexcBad8 3" xfId="699" xr:uid="{00000000-0005-0000-0000-000033030000}"/>
    <cellStyle name="SAPBEXexcBad8 3 2" xfId="700" xr:uid="{00000000-0005-0000-0000-000034030000}"/>
    <cellStyle name="SAPBEXexcBad8 3 2 2" xfId="1223" xr:uid="{00000000-0005-0000-0000-000035030000}"/>
    <cellStyle name="SAPBEXexcBad8 3 3" xfId="1222" xr:uid="{00000000-0005-0000-0000-000036030000}"/>
    <cellStyle name="SAPBEXexcBad8 4" xfId="701" xr:uid="{00000000-0005-0000-0000-000037030000}"/>
    <cellStyle name="SAPBEXexcBad8 4 2" xfId="1224" xr:uid="{00000000-0005-0000-0000-000038030000}"/>
    <cellStyle name="SAPBEXexcBad8 5" xfId="931" xr:uid="{00000000-0005-0000-0000-000039030000}"/>
    <cellStyle name="SAPBEXexcBad8 5 2" xfId="1339" xr:uid="{00000000-0005-0000-0000-00003A030000}"/>
    <cellStyle name="SAPBEXexcBad8 6" xfId="955" xr:uid="{00000000-0005-0000-0000-00003B030000}"/>
    <cellStyle name="SAPBEXexcBad8 7" xfId="1042" xr:uid="{00000000-0005-0000-0000-00003C030000}"/>
    <cellStyle name="SAPBEXexcBad8 8" xfId="238" xr:uid="{00000000-0005-0000-0000-00003D030000}"/>
    <cellStyle name="SAPBEXexcBad8 8 2" xfId="1160" xr:uid="{00000000-0005-0000-0000-00003E030000}"/>
    <cellStyle name="SAPBEXexcBad8 9" xfId="1113" xr:uid="{00000000-0005-0000-0000-00003F030000}"/>
    <cellStyle name="SAPBEXexcBad8_East 1415 Budget model v1" xfId="702" xr:uid="{00000000-0005-0000-0000-000040030000}"/>
    <cellStyle name="SAPBEXexcBad9" xfId="40" xr:uid="{00000000-0005-0000-0000-000041030000}"/>
    <cellStyle name="SAPBEXexcBad9 2" xfId="703" xr:uid="{00000000-0005-0000-0000-000042030000}"/>
    <cellStyle name="SAPBEXexcBad9 2 2" xfId="704" xr:uid="{00000000-0005-0000-0000-000043030000}"/>
    <cellStyle name="SAPBEXexcBad9 2 2 2" xfId="1226" xr:uid="{00000000-0005-0000-0000-000044030000}"/>
    <cellStyle name="SAPBEXexcBad9 2 3" xfId="1225" xr:uid="{00000000-0005-0000-0000-000045030000}"/>
    <cellStyle name="SAPBEXexcBad9 3" xfId="705" xr:uid="{00000000-0005-0000-0000-000046030000}"/>
    <cellStyle name="SAPBEXexcBad9 3 2" xfId="706" xr:uid="{00000000-0005-0000-0000-000047030000}"/>
    <cellStyle name="SAPBEXexcBad9 3 2 2" xfId="1228" xr:uid="{00000000-0005-0000-0000-000048030000}"/>
    <cellStyle name="SAPBEXexcBad9 3 3" xfId="1227" xr:uid="{00000000-0005-0000-0000-000049030000}"/>
    <cellStyle name="SAPBEXexcBad9 4" xfId="707" xr:uid="{00000000-0005-0000-0000-00004A030000}"/>
    <cellStyle name="SAPBEXexcBad9 4 2" xfId="1229" xr:uid="{00000000-0005-0000-0000-00004B030000}"/>
    <cellStyle name="SAPBEXexcBad9 5" xfId="932" xr:uid="{00000000-0005-0000-0000-00004C030000}"/>
    <cellStyle name="SAPBEXexcBad9 5 2" xfId="1340" xr:uid="{00000000-0005-0000-0000-00004D030000}"/>
    <cellStyle name="SAPBEXexcBad9 6" xfId="956" xr:uid="{00000000-0005-0000-0000-00004E030000}"/>
    <cellStyle name="SAPBEXexcBad9 7" xfId="1041" xr:uid="{00000000-0005-0000-0000-00004F030000}"/>
    <cellStyle name="SAPBEXexcBad9 8" xfId="239" xr:uid="{00000000-0005-0000-0000-000050030000}"/>
    <cellStyle name="SAPBEXexcBad9 8 2" xfId="1161" xr:uid="{00000000-0005-0000-0000-000051030000}"/>
    <cellStyle name="SAPBEXexcBad9 9" xfId="1114" xr:uid="{00000000-0005-0000-0000-000052030000}"/>
    <cellStyle name="SAPBEXexcBad9_East 1415 Budget model v1" xfId="708" xr:uid="{00000000-0005-0000-0000-000053030000}"/>
    <cellStyle name="SAPBEXexcCritical4" xfId="41" xr:uid="{00000000-0005-0000-0000-000054030000}"/>
    <cellStyle name="SAPBEXexcCritical4 2" xfId="709" xr:uid="{00000000-0005-0000-0000-000055030000}"/>
    <cellStyle name="SAPBEXexcCritical4 2 2" xfId="710" xr:uid="{00000000-0005-0000-0000-000056030000}"/>
    <cellStyle name="SAPBEXexcCritical4 2 2 2" xfId="1231" xr:uid="{00000000-0005-0000-0000-000057030000}"/>
    <cellStyle name="SAPBEXexcCritical4 2 3" xfId="1230" xr:uid="{00000000-0005-0000-0000-000058030000}"/>
    <cellStyle name="SAPBEXexcCritical4 3" xfId="711" xr:uid="{00000000-0005-0000-0000-000059030000}"/>
    <cellStyle name="SAPBEXexcCritical4 3 2" xfId="712" xr:uid="{00000000-0005-0000-0000-00005A030000}"/>
    <cellStyle name="SAPBEXexcCritical4 3 2 2" xfId="1233" xr:uid="{00000000-0005-0000-0000-00005B030000}"/>
    <cellStyle name="SAPBEXexcCritical4 3 3" xfId="1232" xr:uid="{00000000-0005-0000-0000-00005C030000}"/>
    <cellStyle name="SAPBEXexcCritical4 4" xfId="713" xr:uid="{00000000-0005-0000-0000-00005D030000}"/>
    <cellStyle name="SAPBEXexcCritical4 4 2" xfId="1234" xr:uid="{00000000-0005-0000-0000-00005E030000}"/>
    <cellStyle name="SAPBEXexcCritical4 5" xfId="933" xr:uid="{00000000-0005-0000-0000-00005F030000}"/>
    <cellStyle name="SAPBEXexcCritical4 5 2" xfId="1341" xr:uid="{00000000-0005-0000-0000-000060030000}"/>
    <cellStyle name="SAPBEXexcCritical4 6" xfId="957" xr:uid="{00000000-0005-0000-0000-000061030000}"/>
    <cellStyle name="SAPBEXexcCritical4 7" xfId="1040" xr:uid="{00000000-0005-0000-0000-000062030000}"/>
    <cellStyle name="SAPBEXexcCritical4 8" xfId="240" xr:uid="{00000000-0005-0000-0000-000063030000}"/>
    <cellStyle name="SAPBEXexcCritical4 8 2" xfId="1162" xr:uid="{00000000-0005-0000-0000-000064030000}"/>
    <cellStyle name="SAPBEXexcCritical4 9" xfId="1115" xr:uid="{00000000-0005-0000-0000-000065030000}"/>
    <cellStyle name="SAPBEXexcCritical4_East 1415 Budget model v1" xfId="714" xr:uid="{00000000-0005-0000-0000-000066030000}"/>
    <cellStyle name="SAPBEXexcCritical5" xfId="42" xr:uid="{00000000-0005-0000-0000-000067030000}"/>
    <cellStyle name="SAPBEXexcCritical5 2" xfId="715" xr:uid="{00000000-0005-0000-0000-000068030000}"/>
    <cellStyle name="SAPBEXexcCritical5 2 2" xfId="716" xr:uid="{00000000-0005-0000-0000-000069030000}"/>
    <cellStyle name="SAPBEXexcCritical5 2 2 2" xfId="1236" xr:uid="{00000000-0005-0000-0000-00006A030000}"/>
    <cellStyle name="SAPBEXexcCritical5 2 3" xfId="1235" xr:uid="{00000000-0005-0000-0000-00006B030000}"/>
    <cellStyle name="SAPBEXexcCritical5 3" xfId="717" xr:uid="{00000000-0005-0000-0000-00006C030000}"/>
    <cellStyle name="SAPBEXexcCritical5 3 2" xfId="718" xr:uid="{00000000-0005-0000-0000-00006D030000}"/>
    <cellStyle name="SAPBEXexcCritical5 3 2 2" xfId="1238" xr:uid="{00000000-0005-0000-0000-00006E030000}"/>
    <cellStyle name="SAPBEXexcCritical5 3 3" xfId="1237" xr:uid="{00000000-0005-0000-0000-00006F030000}"/>
    <cellStyle name="SAPBEXexcCritical5 4" xfId="719" xr:uid="{00000000-0005-0000-0000-000070030000}"/>
    <cellStyle name="SAPBEXexcCritical5 4 2" xfId="1239" xr:uid="{00000000-0005-0000-0000-000071030000}"/>
    <cellStyle name="SAPBEXexcCritical5 5" xfId="934" xr:uid="{00000000-0005-0000-0000-000072030000}"/>
    <cellStyle name="SAPBEXexcCritical5 5 2" xfId="1342" xr:uid="{00000000-0005-0000-0000-000073030000}"/>
    <cellStyle name="SAPBEXexcCritical5 6" xfId="958" xr:uid="{00000000-0005-0000-0000-000074030000}"/>
    <cellStyle name="SAPBEXexcCritical5 7" xfId="1039" xr:uid="{00000000-0005-0000-0000-000075030000}"/>
    <cellStyle name="SAPBEXexcCritical5 8" xfId="241" xr:uid="{00000000-0005-0000-0000-000076030000}"/>
    <cellStyle name="SAPBEXexcCritical5 8 2" xfId="1163" xr:uid="{00000000-0005-0000-0000-000077030000}"/>
    <cellStyle name="SAPBEXexcCritical5 9" xfId="1116" xr:uid="{00000000-0005-0000-0000-000078030000}"/>
    <cellStyle name="SAPBEXexcCritical5_East 1415 Budget model v1" xfId="720" xr:uid="{00000000-0005-0000-0000-000079030000}"/>
    <cellStyle name="SAPBEXexcCritical6" xfId="43" xr:uid="{00000000-0005-0000-0000-00007A030000}"/>
    <cellStyle name="SAPBEXexcCritical6 2" xfId="721" xr:uid="{00000000-0005-0000-0000-00007B030000}"/>
    <cellStyle name="SAPBEXexcCritical6 2 2" xfId="722" xr:uid="{00000000-0005-0000-0000-00007C030000}"/>
    <cellStyle name="SAPBEXexcCritical6 2 2 2" xfId="1241" xr:uid="{00000000-0005-0000-0000-00007D030000}"/>
    <cellStyle name="SAPBEXexcCritical6 2 3" xfId="1240" xr:uid="{00000000-0005-0000-0000-00007E030000}"/>
    <cellStyle name="SAPBEXexcCritical6 3" xfId="723" xr:uid="{00000000-0005-0000-0000-00007F030000}"/>
    <cellStyle name="SAPBEXexcCritical6 3 2" xfId="724" xr:uid="{00000000-0005-0000-0000-000080030000}"/>
    <cellStyle name="SAPBEXexcCritical6 3 2 2" xfId="1243" xr:uid="{00000000-0005-0000-0000-000081030000}"/>
    <cellStyle name="SAPBEXexcCritical6 3 3" xfId="1242" xr:uid="{00000000-0005-0000-0000-000082030000}"/>
    <cellStyle name="SAPBEXexcCritical6 4" xfId="725" xr:uid="{00000000-0005-0000-0000-000083030000}"/>
    <cellStyle name="SAPBEXexcCritical6 4 2" xfId="1244" xr:uid="{00000000-0005-0000-0000-000084030000}"/>
    <cellStyle name="SAPBEXexcCritical6 5" xfId="935" xr:uid="{00000000-0005-0000-0000-000085030000}"/>
    <cellStyle name="SAPBEXexcCritical6 5 2" xfId="1343" xr:uid="{00000000-0005-0000-0000-000086030000}"/>
    <cellStyle name="SAPBEXexcCritical6 6" xfId="959" xr:uid="{00000000-0005-0000-0000-000087030000}"/>
    <cellStyle name="SAPBEXexcCritical6 7" xfId="1038" xr:uid="{00000000-0005-0000-0000-000088030000}"/>
    <cellStyle name="SAPBEXexcCritical6 8" xfId="242" xr:uid="{00000000-0005-0000-0000-000089030000}"/>
    <cellStyle name="SAPBEXexcCritical6 8 2" xfId="1164" xr:uid="{00000000-0005-0000-0000-00008A030000}"/>
    <cellStyle name="SAPBEXexcCritical6 9" xfId="1117" xr:uid="{00000000-0005-0000-0000-00008B030000}"/>
    <cellStyle name="SAPBEXexcCritical6_East 1415 Budget model v1" xfId="726" xr:uid="{00000000-0005-0000-0000-00008C030000}"/>
    <cellStyle name="SAPBEXexcGood1" xfId="44" xr:uid="{00000000-0005-0000-0000-00008D030000}"/>
    <cellStyle name="SAPBEXexcGood1 2" xfId="727" xr:uid="{00000000-0005-0000-0000-00008E030000}"/>
    <cellStyle name="SAPBEXexcGood1 2 2" xfId="728" xr:uid="{00000000-0005-0000-0000-00008F030000}"/>
    <cellStyle name="SAPBEXexcGood1 2 2 2" xfId="1246" xr:uid="{00000000-0005-0000-0000-000090030000}"/>
    <cellStyle name="SAPBEXexcGood1 2 3" xfId="1245" xr:uid="{00000000-0005-0000-0000-000091030000}"/>
    <cellStyle name="SAPBEXexcGood1 3" xfId="729" xr:uid="{00000000-0005-0000-0000-000092030000}"/>
    <cellStyle name="SAPBEXexcGood1 3 2" xfId="730" xr:uid="{00000000-0005-0000-0000-000093030000}"/>
    <cellStyle name="SAPBEXexcGood1 3 2 2" xfId="1248" xr:uid="{00000000-0005-0000-0000-000094030000}"/>
    <cellStyle name="SAPBEXexcGood1 3 3" xfId="1247" xr:uid="{00000000-0005-0000-0000-000095030000}"/>
    <cellStyle name="SAPBEXexcGood1 4" xfId="731" xr:uid="{00000000-0005-0000-0000-000096030000}"/>
    <cellStyle name="SAPBEXexcGood1 4 2" xfId="1249" xr:uid="{00000000-0005-0000-0000-000097030000}"/>
    <cellStyle name="SAPBEXexcGood1 5" xfId="936" xr:uid="{00000000-0005-0000-0000-000098030000}"/>
    <cellStyle name="SAPBEXexcGood1 5 2" xfId="1344" xr:uid="{00000000-0005-0000-0000-000099030000}"/>
    <cellStyle name="SAPBEXexcGood1 6" xfId="960" xr:uid="{00000000-0005-0000-0000-00009A030000}"/>
    <cellStyle name="SAPBEXexcGood1 7" xfId="1037" xr:uid="{00000000-0005-0000-0000-00009B030000}"/>
    <cellStyle name="SAPBEXexcGood1 8" xfId="243" xr:uid="{00000000-0005-0000-0000-00009C030000}"/>
    <cellStyle name="SAPBEXexcGood1 8 2" xfId="1165" xr:uid="{00000000-0005-0000-0000-00009D030000}"/>
    <cellStyle name="SAPBEXexcGood1 9" xfId="1118" xr:uid="{00000000-0005-0000-0000-00009E030000}"/>
    <cellStyle name="SAPBEXexcGood1_East 1415 Budget model v1" xfId="732" xr:uid="{00000000-0005-0000-0000-00009F030000}"/>
    <cellStyle name="SAPBEXexcGood2" xfId="45" xr:uid="{00000000-0005-0000-0000-0000A0030000}"/>
    <cellStyle name="SAPBEXexcGood2 2" xfId="733" xr:uid="{00000000-0005-0000-0000-0000A1030000}"/>
    <cellStyle name="SAPBEXexcGood2 2 2" xfId="734" xr:uid="{00000000-0005-0000-0000-0000A2030000}"/>
    <cellStyle name="SAPBEXexcGood2 2 2 2" xfId="1251" xr:uid="{00000000-0005-0000-0000-0000A3030000}"/>
    <cellStyle name="SAPBEXexcGood2 2 3" xfId="1250" xr:uid="{00000000-0005-0000-0000-0000A4030000}"/>
    <cellStyle name="SAPBEXexcGood2 3" xfId="735" xr:uid="{00000000-0005-0000-0000-0000A5030000}"/>
    <cellStyle name="SAPBEXexcGood2 3 2" xfId="736" xr:uid="{00000000-0005-0000-0000-0000A6030000}"/>
    <cellStyle name="SAPBEXexcGood2 3 2 2" xfId="1253" xr:uid="{00000000-0005-0000-0000-0000A7030000}"/>
    <cellStyle name="SAPBEXexcGood2 3 3" xfId="1252" xr:uid="{00000000-0005-0000-0000-0000A8030000}"/>
    <cellStyle name="SAPBEXexcGood2 4" xfId="737" xr:uid="{00000000-0005-0000-0000-0000A9030000}"/>
    <cellStyle name="SAPBEXexcGood2 4 2" xfId="1254" xr:uid="{00000000-0005-0000-0000-0000AA030000}"/>
    <cellStyle name="SAPBEXexcGood2 5" xfId="937" xr:uid="{00000000-0005-0000-0000-0000AB030000}"/>
    <cellStyle name="SAPBEXexcGood2 5 2" xfId="1345" xr:uid="{00000000-0005-0000-0000-0000AC030000}"/>
    <cellStyle name="SAPBEXexcGood2 6" xfId="961" xr:uid="{00000000-0005-0000-0000-0000AD030000}"/>
    <cellStyle name="SAPBEXexcGood2 7" xfId="1036" xr:uid="{00000000-0005-0000-0000-0000AE030000}"/>
    <cellStyle name="SAPBEXexcGood2 8" xfId="244" xr:uid="{00000000-0005-0000-0000-0000AF030000}"/>
    <cellStyle name="SAPBEXexcGood2 8 2" xfId="1166" xr:uid="{00000000-0005-0000-0000-0000B0030000}"/>
    <cellStyle name="SAPBEXexcGood2 9" xfId="1119" xr:uid="{00000000-0005-0000-0000-0000B1030000}"/>
    <cellStyle name="SAPBEXexcGood2_East 1415 Budget model v1" xfId="738" xr:uid="{00000000-0005-0000-0000-0000B2030000}"/>
    <cellStyle name="SAPBEXexcGood3" xfId="46" xr:uid="{00000000-0005-0000-0000-0000B3030000}"/>
    <cellStyle name="SAPBEXexcGood3 2" xfId="739" xr:uid="{00000000-0005-0000-0000-0000B4030000}"/>
    <cellStyle name="SAPBEXexcGood3 2 2" xfId="740" xr:uid="{00000000-0005-0000-0000-0000B5030000}"/>
    <cellStyle name="SAPBEXexcGood3 2 2 2" xfId="1256" xr:uid="{00000000-0005-0000-0000-0000B6030000}"/>
    <cellStyle name="SAPBEXexcGood3 2 3" xfId="1255" xr:uid="{00000000-0005-0000-0000-0000B7030000}"/>
    <cellStyle name="SAPBEXexcGood3 3" xfId="741" xr:uid="{00000000-0005-0000-0000-0000B8030000}"/>
    <cellStyle name="SAPBEXexcGood3 3 2" xfId="742" xr:uid="{00000000-0005-0000-0000-0000B9030000}"/>
    <cellStyle name="SAPBEXexcGood3 3 2 2" xfId="1258" xr:uid="{00000000-0005-0000-0000-0000BA030000}"/>
    <cellStyle name="SAPBEXexcGood3 3 3" xfId="1257" xr:uid="{00000000-0005-0000-0000-0000BB030000}"/>
    <cellStyle name="SAPBEXexcGood3 4" xfId="743" xr:uid="{00000000-0005-0000-0000-0000BC030000}"/>
    <cellStyle name="SAPBEXexcGood3 4 2" xfId="1259" xr:uid="{00000000-0005-0000-0000-0000BD030000}"/>
    <cellStyle name="SAPBEXexcGood3 5" xfId="938" xr:uid="{00000000-0005-0000-0000-0000BE030000}"/>
    <cellStyle name="SAPBEXexcGood3 5 2" xfId="1346" xr:uid="{00000000-0005-0000-0000-0000BF030000}"/>
    <cellStyle name="SAPBEXexcGood3 6" xfId="962" xr:uid="{00000000-0005-0000-0000-0000C0030000}"/>
    <cellStyle name="SAPBEXexcGood3 7" xfId="1035" xr:uid="{00000000-0005-0000-0000-0000C1030000}"/>
    <cellStyle name="SAPBEXexcGood3 8" xfId="245" xr:uid="{00000000-0005-0000-0000-0000C2030000}"/>
    <cellStyle name="SAPBEXexcGood3 8 2" xfId="1167" xr:uid="{00000000-0005-0000-0000-0000C3030000}"/>
    <cellStyle name="SAPBEXexcGood3 9" xfId="1120" xr:uid="{00000000-0005-0000-0000-0000C4030000}"/>
    <cellStyle name="SAPBEXexcGood3_East 1415 Budget model v1" xfId="744" xr:uid="{00000000-0005-0000-0000-0000C5030000}"/>
    <cellStyle name="SAPBEXfilterDrill" xfId="47" xr:uid="{00000000-0005-0000-0000-0000C6030000}"/>
    <cellStyle name="SAPBEXfilterDrill 2" xfId="745" xr:uid="{00000000-0005-0000-0000-0000C7030000}"/>
    <cellStyle name="SAPBEXfilterDrill 2 2" xfId="746" xr:uid="{00000000-0005-0000-0000-0000C8030000}"/>
    <cellStyle name="SAPBEXfilterDrill 3" xfId="747" xr:uid="{00000000-0005-0000-0000-0000C9030000}"/>
    <cellStyle name="SAPBEXfilterDrill 3 2" xfId="748" xr:uid="{00000000-0005-0000-0000-0000CA030000}"/>
    <cellStyle name="SAPBEXfilterDrill 4" xfId="749" xr:uid="{00000000-0005-0000-0000-0000CB030000}"/>
    <cellStyle name="SAPBEXfilterDrill 5" xfId="939" xr:uid="{00000000-0005-0000-0000-0000CC030000}"/>
    <cellStyle name="SAPBEXfilterDrill 5 2" xfId="1347" xr:uid="{00000000-0005-0000-0000-0000CD030000}"/>
    <cellStyle name="SAPBEXfilterDrill 6" xfId="963" xr:uid="{00000000-0005-0000-0000-0000CE030000}"/>
    <cellStyle name="SAPBEXfilterDrill 7" xfId="1034" xr:uid="{00000000-0005-0000-0000-0000CF030000}"/>
    <cellStyle name="SAPBEXfilterDrill 8" xfId="246" xr:uid="{00000000-0005-0000-0000-0000D0030000}"/>
    <cellStyle name="SAPBEXfilterDrill 8 2" xfId="1168" xr:uid="{00000000-0005-0000-0000-0000D1030000}"/>
    <cellStyle name="SAPBEXfilterDrill_East 1415 Budget model v1" xfId="750" xr:uid="{00000000-0005-0000-0000-0000D2030000}"/>
    <cellStyle name="SAPBEXfilterItem" xfId="48" xr:uid="{00000000-0005-0000-0000-0000D3030000}"/>
    <cellStyle name="SAPBEXfilterItem 2" xfId="751" xr:uid="{00000000-0005-0000-0000-0000D4030000}"/>
    <cellStyle name="SAPBEXfilterItem 2 2" xfId="752" xr:uid="{00000000-0005-0000-0000-0000D5030000}"/>
    <cellStyle name="SAPBEXfilterItem 3" xfId="753" xr:uid="{00000000-0005-0000-0000-0000D6030000}"/>
    <cellStyle name="SAPBEXfilterItem 3 2" xfId="754" xr:uid="{00000000-0005-0000-0000-0000D7030000}"/>
    <cellStyle name="SAPBEXfilterItem 4" xfId="964" xr:uid="{00000000-0005-0000-0000-0000D8030000}"/>
    <cellStyle name="SAPBEXfilterItem 5" xfId="1033" xr:uid="{00000000-0005-0000-0000-0000D9030000}"/>
    <cellStyle name="SAPBEXfilterItem 6" xfId="1052" xr:uid="{00000000-0005-0000-0000-0000DA030000}"/>
    <cellStyle name="SAPBEXfilterItem 6 2" xfId="1360" xr:uid="{00000000-0005-0000-0000-0000DB030000}"/>
    <cellStyle name="SAPBEXfilterItem 7" xfId="247" xr:uid="{00000000-0005-0000-0000-0000DC030000}"/>
    <cellStyle name="SAPBEXfilterItem 7 2" xfId="1169" xr:uid="{00000000-0005-0000-0000-0000DD030000}"/>
    <cellStyle name="SAPBEXfilterText" xfId="49" xr:uid="{00000000-0005-0000-0000-0000DE030000}"/>
    <cellStyle name="SAPBEXfilterText 2" xfId="755" xr:uid="{00000000-0005-0000-0000-0000DF030000}"/>
    <cellStyle name="SAPBEXfilterText 2 2" xfId="756" xr:uid="{00000000-0005-0000-0000-0000E0030000}"/>
    <cellStyle name="SAPBEXfilterText 3" xfId="757" xr:uid="{00000000-0005-0000-0000-0000E1030000}"/>
    <cellStyle name="SAPBEXfilterText 3 2" xfId="758" xr:uid="{00000000-0005-0000-0000-0000E2030000}"/>
    <cellStyle name="SAPBEXfilterText 4" xfId="965" xr:uid="{00000000-0005-0000-0000-0000E3030000}"/>
    <cellStyle name="SAPBEXfilterText 5" xfId="1032" xr:uid="{00000000-0005-0000-0000-0000E4030000}"/>
    <cellStyle name="SAPBEXfilterText 6" xfId="1053" xr:uid="{00000000-0005-0000-0000-0000E5030000}"/>
    <cellStyle name="SAPBEXfilterText 6 2" xfId="1361" xr:uid="{00000000-0005-0000-0000-0000E6030000}"/>
    <cellStyle name="SAPBEXfilterText 7" xfId="248" xr:uid="{00000000-0005-0000-0000-0000E7030000}"/>
    <cellStyle name="SAPBEXfilterText 7 2" xfId="1170" xr:uid="{00000000-0005-0000-0000-0000E8030000}"/>
    <cellStyle name="SAPBEXformats" xfId="50" xr:uid="{00000000-0005-0000-0000-0000E9030000}"/>
    <cellStyle name="SAPBEXformats 2" xfId="759" xr:uid="{00000000-0005-0000-0000-0000EA030000}"/>
    <cellStyle name="SAPBEXformats 2 2" xfId="760" xr:uid="{00000000-0005-0000-0000-0000EB030000}"/>
    <cellStyle name="SAPBEXformats 2 2 2" xfId="1261" xr:uid="{00000000-0005-0000-0000-0000EC030000}"/>
    <cellStyle name="SAPBEXformats 2 3" xfId="1260" xr:uid="{00000000-0005-0000-0000-0000ED030000}"/>
    <cellStyle name="SAPBEXformats 3" xfId="761" xr:uid="{00000000-0005-0000-0000-0000EE030000}"/>
    <cellStyle name="SAPBEXformats 3 2" xfId="762" xr:uid="{00000000-0005-0000-0000-0000EF030000}"/>
    <cellStyle name="SAPBEXformats 3 2 2" xfId="1263" xr:uid="{00000000-0005-0000-0000-0000F0030000}"/>
    <cellStyle name="SAPBEXformats 3 3" xfId="1262" xr:uid="{00000000-0005-0000-0000-0000F1030000}"/>
    <cellStyle name="SAPBEXformats 4" xfId="763" xr:uid="{00000000-0005-0000-0000-0000F2030000}"/>
    <cellStyle name="SAPBEXformats 4 2" xfId="1264" xr:uid="{00000000-0005-0000-0000-0000F3030000}"/>
    <cellStyle name="SAPBEXformats 5" xfId="940" xr:uid="{00000000-0005-0000-0000-0000F4030000}"/>
    <cellStyle name="SAPBEXformats 5 2" xfId="1348" xr:uid="{00000000-0005-0000-0000-0000F5030000}"/>
    <cellStyle name="SAPBEXformats 6" xfId="966" xr:uid="{00000000-0005-0000-0000-0000F6030000}"/>
    <cellStyle name="SAPBEXformats 7" xfId="1031" xr:uid="{00000000-0005-0000-0000-0000F7030000}"/>
    <cellStyle name="SAPBEXformats 8" xfId="249" xr:uid="{00000000-0005-0000-0000-0000F8030000}"/>
    <cellStyle name="SAPBEXformats 8 2" xfId="1171" xr:uid="{00000000-0005-0000-0000-0000F9030000}"/>
    <cellStyle name="SAPBEXformats 9" xfId="1121" xr:uid="{00000000-0005-0000-0000-0000FA030000}"/>
    <cellStyle name="SAPBEXformats_East 1415 Budget model v1" xfId="764" xr:uid="{00000000-0005-0000-0000-0000FB030000}"/>
    <cellStyle name="SAPBEXheaderItem" xfId="51" xr:uid="{00000000-0005-0000-0000-0000FC030000}"/>
    <cellStyle name="SAPBEXheaderItem 2" xfId="130" xr:uid="{00000000-0005-0000-0000-0000FD030000}"/>
    <cellStyle name="SAPBEXheaderItem 2 2" xfId="765" xr:uid="{00000000-0005-0000-0000-0000FE030000}"/>
    <cellStyle name="SAPBEXheaderItem 3" xfId="766" xr:uid="{00000000-0005-0000-0000-0000FF030000}"/>
    <cellStyle name="SAPBEXheaderItem 3 2" xfId="767" xr:uid="{00000000-0005-0000-0000-000000040000}"/>
    <cellStyle name="SAPBEXheaderItem 4" xfId="768" xr:uid="{00000000-0005-0000-0000-000001040000}"/>
    <cellStyle name="SAPBEXheaderItem 4 2" xfId="769" xr:uid="{00000000-0005-0000-0000-000002040000}"/>
    <cellStyle name="SAPBEXheaderItem 5" xfId="941" xr:uid="{00000000-0005-0000-0000-000003040000}"/>
    <cellStyle name="SAPBEXheaderItem 5 2" xfId="1349" xr:uid="{00000000-0005-0000-0000-000004040000}"/>
    <cellStyle name="SAPBEXheaderItem 6" xfId="967" xr:uid="{00000000-0005-0000-0000-000005040000}"/>
    <cellStyle name="SAPBEXheaderItem 7" xfId="1030" xr:uid="{00000000-0005-0000-0000-000006040000}"/>
    <cellStyle name="SAPBEXheaderItem 8" xfId="250" xr:uid="{00000000-0005-0000-0000-000007040000}"/>
    <cellStyle name="SAPBEXheaderItem 8 2" xfId="1172" xr:uid="{00000000-0005-0000-0000-000008040000}"/>
    <cellStyle name="SAPBEXheaderItem_East 1415 Budget model v1" xfId="770" xr:uid="{00000000-0005-0000-0000-000009040000}"/>
    <cellStyle name="SAPBEXheaderText" xfId="52" xr:uid="{00000000-0005-0000-0000-00000A040000}"/>
    <cellStyle name="SAPBEXheaderText 2" xfId="131" xr:uid="{00000000-0005-0000-0000-00000B040000}"/>
    <cellStyle name="SAPBEXheaderText 2 2" xfId="771" xr:uid="{00000000-0005-0000-0000-00000C040000}"/>
    <cellStyle name="SAPBEXheaderText 3" xfId="772" xr:uid="{00000000-0005-0000-0000-00000D040000}"/>
    <cellStyle name="SAPBEXheaderText 3 2" xfId="773" xr:uid="{00000000-0005-0000-0000-00000E040000}"/>
    <cellStyle name="SAPBEXheaderText 4" xfId="774" xr:uid="{00000000-0005-0000-0000-00000F040000}"/>
    <cellStyle name="SAPBEXheaderText 4 2" xfId="775" xr:uid="{00000000-0005-0000-0000-000010040000}"/>
    <cellStyle name="SAPBEXheaderText 5" xfId="942" xr:uid="{00000000-0005-0000-0000-000011040000}"/>
    <cellStyle name="SAPBEXheaderText 5 2" xfId="1350" xr:uid="{00000000-0005-0000-0000-000012040000}"/>
    <cellStyle name="SAPBEXheaderText 6" xfId="968" xr:uid="{00000000-0005-0000-0000-000013040000}"/>
    <cellStyle name="SAPBEXheaderText 7" xfId="1029" xr:uid="{00000000-0005-0000-0000-000014040000}"/>
    <cellStyle name="SAPBEXheaderText 8" xfId="251" xr:uid="{00000000-0005-0000-0000-000015040000}"/>
    <cellStyle name="SAPBEXheaderText 8 2" xfId="1173" xr:uid="{00000000-0005-0000-0000-000016040000}"/>
    <cellStyle name="SAPBEXheaderText_East 1415 Budget model v1" xfId="776" xr:uid="{00000000-0005-0000-0000-000017040000}"/>
    <cellStyle name="SAPBEXHLevel0" xfId="53" xr:uid="{00000000-0005-0000-0000-000018040000}"/>
    <cellStyle name="SAPBEXHLevel0 2" xfId="777" xr:uid="{00000000-0005-0000-0000-000019040000}"/>
    <cellStyle name="SAPBEXHLevel0 2 2" xfId="1265" xr:uid="{00000000-0005-0000-0000-00001A040000}"/>
    <cellStyle name="SAPBEXHLevel0 3" xfId="778" xr:uid="{00000000-0005-0000-0000-00001B040000}"/>
    <cellStyle name="SAPBEXHLevel0 3 2" xfId="1266" xr:uid="{00000000-0005-0000-0000-00001C040000}"/>
    <cellStyle name="SAPBEXHLevel0 4" xfId="779" xr:uid="{00000000-0005-0000-0000-00001D040000}"/>
    <cellStyle name="SAPBEXHLevel0 4 2" xfId="780" xr:uid="{00000000-0005-0000-0000-00001E040000}"/>
    <cellStyle name="SAPBEXHLevel0 4 2 2" xfId="1268" xr:uid="{00000000-0005-0000-0000-00001F040000}"/>
    <cellStyle name="SAPBEXHLevel0 4 3" xfId="1267" xr:uid="{00000000-0005-0000-0000-000020040000}"/>
    <cellStyle name="SAPBEXHLevel0 5" xfId="943" xr:uid="{00000000-0005-0000-0000-000021040000}"/>
    <cellStyle name="SAPBEXHLevel0 5 2" xfId="1351" xr:uid="{00000000-0005-0000-0000-000022040000}"/>
    <cellStyle name="SAPBEXHLevel0 6" xfId="969" xr:uid="{00000000-0005-0000-0000-000023040000}"/>
    <cellStyle name="SAPBEXHLevel0 7" xfId="1028" xr:uid="{00000000-0005-0000-0000-000024040000}"/>
    <cellStyle name="SAPBEXHLevel0 8" xfId="252" xr:uid="{00000000-0005-0000-0000-000025040000}"/>
    <cellStyle name="SAPBEXHLevel0 8 2" xfId="1174" xr:uid="{00000000-0005-0000-0000-000026040000}"/>
    <cellStyle name="SAPBEXHLevel0 9" xfId="1122" xr:uid="{00000000-0005-0000-0000-000027040000}"/>
    <cellStyle name="SAPBEXHLevel0_East 1415 Budget model v1" xfId="781" xr:uid="{00000000-0005-0000-0000-000028040000}"/>
    <cellStyle name="SAPBEXHLevel0X" xfId="54" xr:uid="{00000000-0005-0000-0000-000029040000}"/>
    <cellStyle name="SAPBEXHLevel0X 2" xfId="782" xr:uid="{00000000-0005-0000-0000-00002A040000}"/>
    <cellStyle name="SAPBEXHLevel0X 2 2" xfId="783" xr:uid="{00000000-0005-0000-0000-00002B040000}"/>
    <cellStyle name="SAPBEXHLevel0X 2 2 2" xfId="1270" xr:uid="{00000000-0005-0000-0000-00002C040000}"/>
    <cellStyle name="SAPBEXHLevel0X 2 3" xfId="1269" xr:uid="{00000000-0005-0000-0000-00002D040000}"/>
    <cellStyle name="SAPBEXHLevel0X 3" xfId="784" xr:uid="{00000000-0005-0000-0000-00002E040000}"/>
    <cellStyle name="SAPBEXHLevel0X 3 2" xfId="785" xr:uid="{00000000-0005-0000-0000-00002F040000}"/>
    <cellStyle name="SAPBEXHLevel0X 3 2 2" xfId="1272" xr:uid="{00000000-0005-0000-0000-000030040000}"/>
    <cellStyle name="SAPBEXHLevel0X 3 3" xfId="1271" xr:uid="{00000000-0005-0000-0000-000031040000}"/>
    <cellStyle name="SAPBEXHLevel0X 4" xfId="970" xr:uid="{00000000-0005-0000-0000-000032040000}"/>
    <cellStyle name="SAPBEXHLevel0X 5" xfId="1027" xr:uid="{00000000-0005-0000-0000-000033040000}"/>
    <cellStyle name="SAPBEXHLevel0X 6" xfId="188" xr:uid="{00000000-0005-0000-0000-000034040000}"/>
    <cellStyle name="SAPBEXHLevel0X 6 2" xfId="1147" xr:uid="{00000000-0005-0000-0000-000035040000}"/>
    <cellStyle name="SAPBEXHLevel0X 7" xfId="1123" xr:uid="{00000000-0005-0000-0000-000036040000}"/>
    <cellStyle name="SAPBEXHLevel1" xfId="55" xr:uid="{00000000-0005-0000-0000-000037040000}"/>
    <cellStyle name="SAPBEXHLevel1 2" xfId="786" xr:uid="{00000000-0005-0000-0000-000038040000}"/>
    <cellStyle name="SAPBEXHLevel1 2 2" xfId="1273" xr:uid="{00000000-0005-0000-0000-000039040000}"/>
    <cellStyle name="SAPBEXHLevel1 3" xfId="787" xr:uid="{00000000-0005-0000-0000-00003A040000}"/>
    <cellStyle name="SAPBEXHLevel1 3 2" xfId="1274" xr:uid="{00000000-0005-0000-0000-00003B040000}"/>
    <cellStyle name="SAPBEXHLevel1 4" xfId="788" xr:uid="{00000000-0005-0000-0000-00003C040000}"/>
    <cellStyle name="SAPBEXHLevel1 4 2" xfId="789" xr:uid="{00000000-0005-0000-0000-00003D040000}"/>
    <cellStyle name="SAPBEXHLevel1 4 2 2" xfId="1276" xr:uid="{00000000-0005-0000-0000-00003E040000}"/>
    <cellStyle name="SAPBEXHLevel1 4 3" xfId="1275" xr:uid="{00000000-0005-0000-0000-00003F040000}"/>
    <cellStyle name="SAPBEXHLevel1 5" xfId="944" xr:uid="{00000000-0005-0000-0000-000040040000}"/>
    <cellStyle name="SAPBEXHLevel1 5 2" xfId="1352" xr:uid="{00000000-0005-0000-0000-000041040000}"/>
    <cellStyle name="SAPBEXHLevel1 6" xfId="971" xr:uid="{00000000-0005-0000-0000-000042040000}"/>
    <cellStyle name="SAPBEXHLevel1 7" xfId="1026" xr:uid="{00000000-0005-0000-0000-000043040000}"/>
    <cellStyle name="SAPBEXHLevel1 8" xfId="253" xr:uid="{00000000-0005-0000-0000-000044040000}"/>
    <cellStyle name="SAPBEXHLevel1 8 2" xfId="1175" xr:uid="{00000000-0005-0000-0000-000045040000}"/>
    <cellStyle name="SAPBEXHLevel1 9" xfId="1124" xr:uid="{00000000-0005-0000-0000-000046040000}"/>
    <cellStyle name="SAPBEXHLevel1_East 1415 Budget model v1" xfId="790" xr:uid="{00000000-0005-0000-0000-000047040000}"/>
    <cellStyle name="SAPBEXHLevel1X" xfId="56" xr:uid="{00000000-0005-0000-0000-000048040000}"/>
    <cellStyle name="SAPBEXHLevel1X 2" xfId="791" xr:uid="{00000000-0005-0000-0000-000049040000}"/>
    <cellStyle name="SAPBEXHLevel1X 2 2" xfId="792" xr:uid="{00000000-0005-0000-0000-00004A040000}"/>
    <cellStyle name="SAPBEXHLevel1X 2 2 2" xfId="1278" xr:uid="{00000000-0005-0000-0000-00004B040000}"/>
    <cellStyle name="SAPBEXHLevel1X 2 3" xfId="1277" xr:uid="{00000000-0005-0000-0000-00004C040000}"/>
    <cellStyle name="SAPBEXHLevel1X 3" xfId="793" xr:uid="{00000000-0005-0000-0000-00004D040000}"/>
    <cellStyle name="SAPBEXHLevel1X 3 2" xfId="794" xr:uid="{00000000-0005-0000-0000-00004E040000}"/>
    <cellStyle name="SAPBEXHLevel1X 3 2 2" xfId="1280" xr:uid="{00000000-0005-0000-0000-00004F040000}"/>
    <cellStyle name="SAPBEXHLevel1X 3 3" xfId="1279" xr:uid="{00000000-0005-0000-0000-000050040000}"/>
    <cellStyle name="SAPBEXHLevel1X 4" xfId="972" xr:uid="{00000000-0005-0000-0000-000051040000}"/>
    <cellStyle name="SAPBEXHLevel1X 5" xfId="1025" xr:uid="{00000000-0005-0000-0000-000052040000}"/>
    <cellStyle name="SAPBEXHLevel1X 6" xfId="189" xr:uid="{00000000-0005-0000-0000-000053040000}"/>
    <cellStyle name="SAPBEXHLevel1X 6 2" xfId="1148" xr:uid="{00000000-0005-0000-0000-000054040000}"/>
    <cellStyle name="SAPBEXHLevel1X 7" xfId="1125" xr:uid="{00000000-0005-0000-0000-000055040000}"/>
    <cellStyle name="SAPBEXHLevel2" xfId="57" xr:uid="{00000000-0005-0000-0000-000056040000}"/>
    <cellStyle name="SAPBEXHLevel2 2" xfId="795" xr:uid="{00000000-0005-0000-0000-000057040000}"/>
    <cellStyle name="SAPBEXHLevel2 2 2" xfId="1281" xr:uid="{00000000-0005-0000-0000-000058040000}"/>
    <cellStyle name="SAPBEXHLevel2 3" xfId="796" xr:uid="{00000000-0005-0000-0000-000059040000}"/>
    <cellStyle name="SAPBEXHLevel2 3 2" xfId="1282" xr:uid="{00000000-0005-0000-0000-00005A040000}"/>
    <cellStyle name="SAPBEXHLevel2 4" xfId="797" xr:uid="{00000000-0005-0000-0000-00005B040000}"/>
    <cellStyle name="SAPBEXHLevel2 4 2" xfId="798" xr:uid="{00000000-0005-0000-0000-00005C040000}"/>
    <cellStyle name="SAPBEXHLevel2 4 2 2" xfId="1284" xr:uid="{00000000-0005-0000-0000-00005D040000}"/>
    <cellStyle name="SAPBEXHLevel2 4 3" xfId="1283" xr:uid="{00000000-0005-0000-0000-00005E040000}"/>
    <cellStyle name="SAPBEXHLevel2 5" xfId="945" xr:uid="{00000000-0005-0000-0000-00005F040000}"/>
    <cellStyle name="SAPBEXHLevel2 5 2" xfId="1353" xr:uid="{00000000-0005-0000-0000-000060040000}"/>
    <cellStyle name="SAPBEXHLevel2 6" xfId="973" xr:uid="{00000000-0005-0000-0000-000061040000}"/>
    <cellStyle name="SAPBEXHLevel2 7" xfId="1024" xr:uid="{00000000-0005-0000-0000-000062040000}"/>
    <cellStyle name="SAPBEXHLevel2 8" xfId="254" xr:uid="{00000000-0005-0000-0000-000063040000}"/>
    <cellStyle name="SAPBEXHLevel2 8 2" xfId="1176" xr:uid="{00000000-0005-0000-0000-000064040000}"/>
    <cellStyle name="SAPBEXHLevel2 9" xfId="1126" xr:uid="{00000000-0005-0000-0000-000065040000}"/>
    <cellStyle name="SAPBEXHLevel2_East 1415 Budget model v1" xfId="799" xr:uid="{00000000-0005-0000-0000-000066040000}"/>
    <cellStyle name="SAPBEXHLevel2X" xfId="58" xr:uid="{00000000-0005-0000-0000-000067040000}"/>
    <cellStyle name="SAPBEXHLevel2X 2" xfId="800" xr:uid="{00000000-0005-0000-0000-000068040000}"/>
    <cellStyle name="SAPBEXHLevel2X 2 2" xfId="801" xr:uid="{00000000-0005-0000-0000-000069040000}"/>
    <cellStyle name="SAPBEXHLevel2X 2 2 2" xfId="1286" xr:uid="{00000000-0005-0000-0000-00006A040000}"/>
    <cellStyle name="SAPBEXHLevel2X 2 3" xfId="1285" xr:uid="{00000000-0005-0000-0000-00006B040000}"/>
    <cellStyle name="SAPBEXHLevel2X 3" xfId="802" xr:uid="{00000000-0005-0000-0000-00006C040000}"/>
    <cellStyle name="SAPBEXHLevel2X 3 2" xfId="803" xr:uid="{00000000-0005-0000-0000-00006D040000}"/>
    <cellStyle name="SAPBEXHLevel2X 3 2 2" xfId="1288" xr:uid="{00000000-0005-0000-0000-00006E040000}"/>
    <cellStyle name="SAPBEXHLevel2X 3 3" xfId="1287" xr:uid="{00000000-0005-0000-0000-00006F040000}"/>
    <cellStyle name="SAPBEXHLevel2X 4" xfId="974" xr:uid="{00000000-0005-0000-0000-000070040000}"/>
    <cellStyle name="SAPBEXHLevel2X 5" xfId="1023" xr:uid="{00000000-0005-0000-0000-000071040000}"/>
    <cellStyle name="SAPBEXHLevel2X 6" xfId="190" xr:uid="{00000000-0005-0000-0000-000072040000}"/>
    <cellStyle name="SAPBEXHLevel2X 6 2" xfId="1149" xr:uid="{00000000-0005-0000-0000-000073040000}"/>
    <cellStyle name="SAPBEXHLevel2X 7" xfId="1127" xr:uid="{00000000-0005-0000-0000-000074040000}"/>
    <cellStyle name="SAPBEXHLevel3" xfId="59" xr:uid="{00000000-0005-0000-0000-000075040000}"/>
    <cellStyle name="SAPBEXHLevel3 2" xfId="804" xr:uid="{00000000-0005-0000-0000-000076040000}"/>
    <cellStyle name="SAPBEXHLevel3 2 2" xfId="1289" xr:uid="{00000000-0005-0000-0000-000077040000}"/>
    <cellStyle name="SAPBEXHLevel3 3" xfId="805" xr:uid="{00000000-0005-0000-0000-000078040000}"/>
    <cellStyle name="SAPBEXHLevel3 3 2" xfId="1290" xr:uid="{00000000-0005-0000-0000-000079040000}"/>
    <cellStyle name="SAPBEXHLevel3 4" xfId="806" xr:uid="{00000000-0005-0000-0000-00007A040000}"/>
    <cellStyle name="SAPBEXHLevel3 4 2" xfId="807" xr:uid="{00000000-0005-0000-0000-00007B040000}"/>
    <cellStyle name="SAPBEXHLevel3 4 2 2" xfId="1292" xr:uid="{00000000-0005-0000-0000-00007C040000}"/>
    <cellStyle name="SAPBEXHLevel3 4 3" xfId="1291" xr:uid="{00000000-0005-0000-0000-00007D040000}"/>
    <cellStyle name="SAPBEXHLevel3 5" xfId="946" xr:uid="{00000000-0005-0000-0000-00007E040000}"/>
    <cellStyle name="SAPBEXHLevel3 5 2" xfId="1354" xr:uid="{00000000-0005-0000-0000-00007F040000}"/>
    <cellStyle name="SAPBEXHLevel3 6" xfId="975" xr:uid="{00000000-0005-0000-0000-000080040000}"/>
    <cellStyle name="SAPBEXHLevel3 7" xfId="1022" xr:uid="{00000000-0005-0000-0000-000081040000}"/>
    <cellStyle name="SAPBEXHLevel3 8" xfId="255" xr:uid="{00000000-0005-0000-0000-000082040000}"/>
    <cellStyle name="SAPBEXHLevel3 8 2" xfId="1177" xr:uid="{00000000-0005-0000-0000-000083040000}"/>
    <cellStyle name="SAPBEXHLevel3 9" xfId="1128" xr:uid="{00000000-0005-0000-0000-000084040000}"/>
    <cellStyle name="SAPBEXHLevel3_East 1415 Budget model v1" xfId="808" xr:uid="{00000000-0005-0000-0000-000085040000}"/>
    <cellStyle name="SAPBEXHLevel3X" xfId="60" xr:uid="{00000000-0005-0000-0000-000086040000}"/>
    <cellStyle name="SAPBEXHLevel3X 2" xfId="809" xr:uid="{00000000-0005-0000-0000-000087040000}"/>
    <cellStyle name="SAPBEXHLevel3X 2 2" xfId="810" xr:uid="{00000000-0005-0000-0000-000088040000}"/>
    <cellStyle name="SAPBEXHLevel3X 2 2 2" xfId="1294" xr:uid="{00000000-0005-0000-0000-000089040000}"/>
    <cellStyle name="SAPBEXHLevel3X 2 3" xfId="1293" xr:uid="{00000000-0005-0000-0000-00008A040000}"/>
    <cellStyle name="SAPBEXHLevel3X 3" xfId="811" xr:uid="{00000000-0005-0000-0000-00008B040000}"/>
    <cellStyle name="SAPBEXHLevel3X 3 2" xfId="812" xr:uid="{00000000-0005-0000-0000-00008C040000}"/>
    <cellStyle name="SAPBEXHLevel3X 3 2 2" xfId="1296" xr:uid="{00000000-0005-0000-0000-00008D040000}"/>
    <cellStyle name="SAPBEXHLevel3X 3 3" xfId="1295" xr:uid="{00000000-0005-0000-0000-00008E040000}"/>
    <cellStyle name="SAPBEXHLevel3X 4" xfId="976" xr:uid="{00000000-0005-0000-0000-00008F040000}"/>
    <cellStyle name="SAPBEXHLevel3X 5" xfId="1021" xr:uid="{00000000-0005-0000-0000-000090040000}"/>
    <cellStyle name="SAPBEXHLevel3X 6" xfId="191" xr:uid="{00000000-0005-0000-0000-000091040000}"/>
    <cellStyle name="SAPBEXHLevel3X 6 2" xfId="1150" xr:uid="{00000000-0005-0000-0000-000092040000}"/>
    <cellStyle name="SAPBEXHLevel3X 7" xfId="1129" xr:uid="{00000000-0005-0000-0000-000093040000}"/>
    <cellStyle name="SAPBEXinputData" xfId="61" xr:uid="{00000000-0005-0000-0000-000094040000}"/>
    <cellStyle name="SAPBEXinputData 2" xfId="813" xr:uid="{00000000-0005-0000-0000-000095040000}"/>
    <cellStyle name="SAPBEXinputData 2 2" xfId="814" xr:uid="{00000000-0005-0000-0000-000096040000}"/>
    <cellStyle name="SAPBEXinputData 3" xfId="815" xr:uid="{00000000-0005-0000-0000-000097040000}"/>
    <cellStyle name="SAPBEXinputData 3 2" xfId="816" xr:uid="{00000000-0005-0000-0000-000098040000}"/>
    <cellStyle name="SAPBEXinputData 4" xfId="977" xr:uid="{00000000-0005-0000-0000-000099040000}"/>
    <cellStyle name="SAPBEXinputData 5" xfId="1020" xr:uid="{00000000-0005-0000-0000-00009A040000}"/>
    <cellStyle name="SAPBEXinputData 6" xfId="256" xr:uid="{00000000-0005-0000-0000-00009B040000}"/>
    <cellStyle name="SAPBEXItemHeader" xfId="257" xr:uid="{00000000-0005-0000-0000-00009C040000}"/>
    <cellStyle name="SAPBEXItemHeader 2" xfId="1178" xr:uid="{00000000-0005-0000-0000-00009D040000}"/>
    <cellStyle name="SAPBEXresData" xfId="62" xr:uid="{00000000-0005-0000-0000-00009E040000}"/>
    <cellStyle name="SAPBEXresData 2" xfId="817" xr:uid="{00000000-0005-0000-0000-00009F040000}"/>
    <cellStyle name="SAPBEXresData 2 2" xfId="818" xr:uid="{00000000-0005-0000-0000-0000A0040000}"/>
    <cellStyle name="SAPBEXresData 2 2 2" xfId="1298" xr:uid="{00000000-0005-0000-0000-0000A1040000}"/>
    <cellStyle name="SAPBEXresData 2 3" xfId="1297" xr:uid="{00000000-0005-0000-0000-0000A2040000}"/>
    <cellStyle name="SAPBEXresData 3" xfId="819" xr:uid="{00000000-0005-0000-0000-0000A3040000}"/>
    <cellStyle name="SAPBEXresData 3 2" xfId="820" xr:uid="{00000000-0005-0000-0000-0000A4040000}"/>
    <cellStyle name="SAPBEXresData 3 2 2" xfId="1300" xr:uid="{00000000-0005-0000-0000-0000A5040000}"/>
    <cellStyle name="SAPBEXresData 3 3" xfId="1299" xr:uid="{00000000-0005-0000-0000-0000A6040000}"/>
    <cellStyle name="SAPBEXresData 4" xfId="978" xr:uid="{00000000-0005-0000-0000-0000A7040000}"/>
    <cellStyle name="SAPBEXresData 5" xfId="1019" xr:uid="{00000000-0005-0000-0000-0000A8040000}"/>
    <cellStyle name="SAPBEXresData 6" xfId="258" xr:uid="{00000000-0005-0000-0000-0000A9040000}"/>
    <cellStyle name="SAPBEXresData 6 2" xfId="1179" xr:uid="{00000000-0005-0000-0000-0000AA040000}"/>
    <cellStyle name="SAPBEXresData 7" xfId="1130" xr:uid="{00000000-0005-0000-0000-0000AB040000}"/>
    <cellStyle name="SAPBEXresDataEmph" xfId="63" xr:uid="{00000000-0005-0000-0000-0000AC040000}"/>
    <cellStyle name="SAPBEXresDataEmph 2" xfId="821" xr:uid="{00000000-0005-0000-0000-0000AD040000}"/>
    <cellStyle name="SAPBEXresDataEmph 2 2" xfId="822" xr:uid="{00000000-0005-0000-0000-0000AE040000}"/>
    <cellStyle name="SAPBEXresDataEmph 2 2 2" xfId="1302" xr:uid="{00000000-0005-0000-0000-0000AF040000}"/>
    <cellStyle name="SAPBEXresDataEmph 2 3" xfId="1301" xr:uid="{00000000-0005-0000-0000-0000B0040000}"/>
    <cellStyle name="SAPBEXresDataEmph 3" xfId="823" xr:uid="{00000000-0005-0000-0000-0000B1040000}"/>
    <cellStyle name="SAPBEXresDataEmph 3 2" xfId="824" xr:uid="{00000000-0005-0000-0000-0000B2040000}"/>
    <cellStyle name="SAPBEXresDataEmph 3 2 2" xfId="1304" xr:uid="{00000000-0005-0000-0000-0000B3040000}"/>
    <cellStyle name="SAPBEXresDataEmph 3 3" xfId="1303" xr:uid="{00000000-0005-0000-0000-0000B4040000}"/>
    <cellStyle name="SAPBEXresDataEmph 4" xfId="979" xr:uid="{00000000-0005-0000-0000-0000B5040000}"/>
    <cellStyle name="SAPBEXresDataEmph 5" xfId="1018" xr:uid="{00000000-0005-0000-0000-0000B6040000}"/>
    <cellStyle name="SAPBEXresDataEmph 6" xfId="259" xr:uid="{00000000-0005-0000-0000-0000B7040000}"/>
    <cellStyle name="SAPBEXresDataEmph 7" xfId="1131" xr:uid="{00000000-0005-0000-0000-0000B8040000}"/>
    <cellStyle name="SAPBEXresItem" xfId="64" xr:uid="{00000000-0005-0000-0000-0000B9040000}"/>
    <cellStyle name="SAPBEXresItem 2" xfId="825" xr:uid="{00000000-0005-0000-0000-0000BA040000}"/>
    <cellStyle name="SAPBEXresItem 2 2" xfId="826" xr:uid="{00000000-0005-0000-0000-0000BB040000}"/>
    <cellStyle name="SAPBEXresItem 2 2 2" xfId="1306" xr:uid="{00000000-0005-0000-0000-0000BC040000}"/>
    <cellStyle name="SAPBEXresItem 2 3" xfId="1305" xr:uid="{00000000-0005-0000-0000-0000BD040000}"/>
    <cellStyle name="SAPBEXresItem 3" xfId="827" xr:uid="{00000000-0005-0000-0000-0000BE040000}"/>
    <cellStyle name="SAPBEXresItem 3 2" xfId="828" xr:uid="{00000000-0005-0000-0000-0000BF040000}"/>
    <cellStyle name="SAPBEXresItem 3 2 2" xfId="1308" xr:uid="{00000000-0005-0000-0000-0000C0040000}"/>
    <cellStyle name="SAPBEXresItem 3 3" xfId="1307" xr:uid="{00000000-0005-0000-0000-0000C1040000}"/>
    <cellStyle name="SAPBEXresItem 4" xfId="980" xr:uid="{00000000-0005-0000-0000-0000C2040000}"/>
    <cellStyle name="SAPBEXresItem 5" xfId="1017" xr:uid="{00000000-0005-0000-0000-0000C3040000}"/>
    <cellStyle name="SAPBEXresItem 6" xfId="260" xr:uid="{00000000-0005-0000-0000-0000C4040000}"/>
    <cellStyle name="SAPBEXresItem 6 2" xfId="1180" xr:uid="{00000000-0005-0000-0000-0000C5040000}"/>
    <cellStyle name="SAPBEXresItem 7" xfId="1132" xr:uid="{00000000-0005-0000-0000-0000C6040000}"/>
    <cellStyle name="SAPBEXresItemX" xfId="65" xr:uid="{00000000-0005-0000-0000-0000C7040000}"/>
    <cellStyle name="SAPBEXresItemX 2" xfId="829" xr:uid="{00000000-0005-0000-0000-0000C8040000}"/>
    <cellStyle name="SAPBEXresItemX 2 2" xfId="1309" xr:uid="{00000000-0005-0000-0000-0000C9040000}"/>
    <cellStyle name="SAPBEXresItemX 3" xfId="981" xr:uid="{00000000-0005-0000-0000-0000CA040000}"/>
    <cellStyle name="SAPBEXresItemX 4" xfId="1016" xr:uid="{00000000-0005-0000-0000-0000CB040000}"/>
    <cellStyle name="SAPBEXresItemX 5" xfId="261" xr:uid="{00000000-0005-0000-0000-0000CC040000}"/>
    <cellStyle name="SAPBEXresItemX 5 2" xfId="1181" xr:uid="{00000000-0005-0000-0000-0000CD040000}"/>
    <cellStyle name="SAPBEXresItemX 6" xfId="1133" xr:uid="{00000000-0005-0000-0000-0000CE040000}"/>
    <cellStyle name="SAPBEXstdData" xfId="66" xr:uid="{00000000-0005-0000-0000-0000CF040000}"/>
    <cellStyle name="SAPBEXstdData 2" xfId="830" xr:uid="{00000000-0005-0000-0000-0000D0040000}"/>
    <cellStyle name="SAPBEXstdData 2 2" xfId="831" xr:uid="{00000000-0005-0000-0000-0000D1040000}"/>
    <cellStyle name="SAPBEXstdData 2 2 2" xfId="1311" xr:uid="{00000000-0005-0000-0000-0000D2040000}"/>
    <cellStyle name="SAPBEXstdData 2 3" xfId="1310" xr:uid="{00000000-0005-0000-0000-0000D3040000}"/>
    <cellStyle name="SAPBEXstdData 3" xfId="832" xr:uid="{00000000-0005-0000-0000-0000D4040000}"/>
    <cellStyle name="SAPBEXstdData 3 2" xfId="833" xr:uid="{00000000-0005-0000-0000-0000D5040000}"/>
    <cellStyle name="SAPBEXstdData 3 2 2" xfId="1313" xr:uid="{00000000-0005-0000-0000-0000D6040000}"/>
    <cellStyle name="SAPBEXstdData 3 3" xfId="1312" xr:uid="{00000000-0005-0000-0000-0000D7040000}"/>
    <cellStyle name="SAPBEXstdData 4" xfId="834" xr:uid="{00000000-0005-0000-0000-0000D8040000}"/>
    <cellStyle name="SAPBEXstdData 4 2" xfId="1314" xr:uid="{00000000-0005-0000-0000-0000D9040000}"/>
    <cellStyle name="SAPBEXstdData 5" xfId="947" xr:uid="{00000000-0005-0000-0000-0000DA040000}"/>
    <cellStyle name="SAPBEXstdData 5 2" xfId="1355" xr:uid="{00000000-0005-0000-0000-0000DB040000}"/>
    <cellStyle name="SAPBEXstdData 6" xfId="192" xr:uid="{00000000-0005-0000-0000-0000DC040000}"/>
    <cellStyle name="SAPBEXstdData 6 2" xfId="1151" xr:uid="{00000000-0005-0000-0000-0000DD040000}"/>
    <cellStyle name="SAPBEXstdData 7" xfId="1134" xr:uid="{00000000-0005-0000-0000-0000DE040000}"/>
    <cellStyle name="SAPBEXstdData_East 1415 Budget model v1" xfId="835" xr:uid="{00000000-0005-0000-0000-0000DF040000}"/>
    <cellStyle name="SAPBEXstdDataEmph" xfId="67" xr:uid="{00000000-0005-0000-0000-0000E0040000}"/>
    <cellStyle name="SAPBEXstdDataEmph 2" xfId="836" xr:uid="{00000000-0005-0000-0000-0000E1040000}"/>
    <cellStyle name="SAPBEXstdDataEmph 2 2" xfId="837" xr:uid="{00000000-0005-0000-0000-0000E2040000}"/>
    <cellStyle name="SAPBEXstdDataEmph 2 2 2" xfId="1316" xr:uid="{00000000-0005-0000-0000-0000E3040000}"/>
    <cellStyle name="SAPBEXstdDataEmph 2 3" xfId="1315" xr:uid="{00000000-0005-0000-0000-0000E4040000}"/>
    <cellStyle name="SAPBEXstdDataEmph 3" xfId="838" xr:uid="{00000000-0005-0000-0000-0000E5040000}"/>
    <cellStyle name="SAPBEXstdDataEmph 3 2" xfId="839" xr:uid="{00000000-0005-0000-0000-0000E6040000}"/>
    <cellStyle name="SAPBEXstdDataEmph 3 2 2" xfId="1318" xr:uid="{00000000-0005-0000-0000-0000E7040000}"/>
    <cellStyle name="SAPBEXstdDataEmph 3 3" xfId="1317" xr:uid="{00000000-0005-0000-0000-0000E8040000}"/>
    <cellStyle name="SAPBEXstdDataEmph 4" xfId="982" xr:uid="{00000000-0005-0000-0000-0000E9040000}"/>
    <cellStyle name="SAPBEXstdDataEmph 5" xfId="1015" xr:uid="{00000000-0005-0000-0000-0000EA040000}"/>
    <cellStyle name="SAPBEXstdDataEmph 6" xfId="262" xr:uid="{00000000-0005-0000-0000-0000EB040000}"/>
    <cellStyle name="SAPBEXstdDataEmph 6 2" xfId="1182" xr:uid="{00000000-0005-0000-0000-0000EC040000}"/>
    <cellStyle name="SAPBEXstdDataEmph 7" xfId="1135" xr:uid="{00000000-0005-0000-0000-0000ED040000}"/>
    <cellStyle name="SAPBEXstdItem" xfId="68" xr:uid="{00000000-0005-0000-0000-0000EE040000}"/>
    <cellStyle name="SAPBEXstdItem 2" xfId="840" xr:uid="{00000000-0005-0000-0000-0000EF040000}"/>
    <cellStyle name="SAPBEXstdItem 2 2" xfId="841" xr:uid="{00000000-0005-0000-0000-0000F0040000}"/>
    <cellStyle name="SAPBEXstdItem 2 2 2" xfId="1320" xr:uid="{00000000-0005-0000-0000-0000F1040000}"/>
    <cellStyle name="SAPBEXstdItem 2 3" xfId="842" xr:uid="{00000000-0005-0000-0000-0000F2040000}"/>
    <cellStyle name="SAPBEXstdItem 2 3 2" xfId="1321" xr:uid="{00000000-0005-0000-0000-0000F3040000}"/>
    <cellStyle name="SAPBEXstdItem 2 4" xfId="983" xr:uid="{00000000-0005-0000-0000-0000F4040000}"/>
    <cellStyle name="SAPBEXstdItem 2 4 2" xfId="1356" xr:uid="{00000000-0005-0000-0000-0000F5040000}"/>
    <cellStyle name="SAPBEXstdItem 2 5" xfId="1049" xr:uid="{00000000-0005-0000-0000-0000F6040000}"/>
    <cellStyle name="SAPBEXstdItem 2 5 2" xfId="1358" xr:uid="{00000000-0005-0000-0000-0000F7040000}"/>
    <cellStyle name="SAPBEXstdItem 2 6" xfId="1319" xr:uid="{00000000-0005-0000-0000-0000F8040000}"/>
    <cellStyle name="SAPBEXstdItem 3" xfId="843" xr:uid="{00000000-0005-0000-0000-0000F9040000}"/>
    <cellStyle name="SAPBEXstdItem 3 2" xfId="844" xr:uid="{00000000-0005-0000-0000-0000FA040000}"/>
    <cellStyle name="SAPBEXstdItem 3 2 2" xfId="1323" xr:uid="{00000000-0005-0000-0000-0000FB040000}"/>
    <cellStyle name="SAPBEXstdItem 3 3" xfId="1322" xr:uid="{00000000-0005-0000-0000-0000FC040000}"/>
    <cellStyle name="SAPBEXstdItem 4" xfId="845" xr:uid="{00000000-0005-0000-0000-0000FD040000}"/>
    <cellStyle name="SAPBEXstdItem 4 2" xfId="1324" xr:uid="{00000000-0005-0000-0000-0000FE040000}"/>
    <cellStyle name="SAPBEXstdItem 5" xfId="846" xr:uid="{00000000-0005-0000-0000-0000FF040000}"/>
    <cellStyle name="SAPBEXstdItem 5 2" xfId="1325" xr:uid="{00000000-0005-0000-0000-000000050000}"/>
    <cellStyle name="SAPBEXstdItem 6" xfId="187" xr:uid="{00000000-0005-0000-0000-000001050000}"/>
    <cellStyle name="SAPBEXstdItem 6 2" xfId="1146" xr:uid="{00000000-0005-0000-0000-000002050000}"/>
    <cellStyle name="SAPBEXstdItem 7" xfId="1136" xr:uid="{00000000-0005-0000-0000-000003050000}"/>
    <cellStyle name="SAPBEXstdItem_Distribution Manpower Download P12" xfId="847" xr:uid="{00000000-0005-0000-0000-000004050000}"/>
    <cellStyle name="SAPBEXstdItemX" xfId="69" xr:uid="{00000000-0005-0000-0000-000005050000}"/>
    <cellStyle name="SAPBEXstdItemX 2" xfId="848" xr:uid="{00000000-0005-0000-0000-000006050000}"/>
    <cellStyle name="SAPBEXstdItemX 2 2" xfId="1326" xr:uid="{00000000-0005-0000-0000-000007050000}"/>
    <cellStyle name="SAPBEXstdItemX 3" xfId="984" xr:uid="{00000000-0005-0000-0000-000008050000}"/>
    <cellStyle name="SAPBEXstdItemX 4" xfId="1014" xr:uid="{00000000-0005-0000-0000-000009050000}"/>
    <cellStyle name="SAPBEXstdItemX 5" xfId="263" xr:uid="{00000000-0005-0000-0000-00000A050000}"/>
    <cellStyle name="SAPBEXstdItemX 5 2" xfId="1183" xr:uid="{00000000-0005-0000-0000-00000B050000}"/>
    <cellStyle name="SAPBEXstdItemX 6" xfId="1137" xr:uid="{00000000-0005-0000-0000-00000C050000}"/>
    <cellStyle name="SAPBEXtitle" xfId="70" xr:uid="{00000000-0005-0000-0000-00000D050000}"/>
    <cellStyle name="SAPBEXtitle 2" xfId="849" xr:uid="{00000000-0005-0000-0000-00000E050000}"/>
    <cellStyle name="SAPBEXtitle 2 2" xfId="850" xr:uid="{00000000-0005-0000-0000-00000F050000}"/>
    <cellStyle name="SAPBEXtitle 2 2 2" xfId="1327" xr:uid="{00000000-0005-0000-0000-000010050000}"/>
    <cellStyle name="SAPBEXtitle 3" xfId="851" xr:uid="{00000000-0005-0000-0000-000011050000}"/>
    <cellStyle name="SAPBEXtitle 3 2" xfId="852" xr:uid="{00000000-0005-0000-0000-000012050000}"/>
    <cellStyle name="SAPBEXtitle 3 3" xfId="1328" xr:uid="{00000000-0005-0000-0000-000013050000}"/>
    <cellStyle name="SAPBEXtitle 4" xfId="985" xr:uid="{00000000-0005-0000-0000-000014050000}"/>
    <cellStyle name="SAPBEXtitle 5" xfId="1013" xr:uid="{00000000-0005-0000-0000-000015050000}"/>
    <cellStyle name="SAPBEXtitle 6" xfId="264" xr:uid="{00000000-0005-0000-0000-000016050000}"/>
    <cellStyle name="SAPBEXtitle 6 2" xfId="1184" xr:uid="{00000000-0005-0000-0000-000017050000}"/>
    <cellStyle name="SAPBEXunassignedItem" xfId="265" xr:uid="{00000000-0005-0000-0000-000018050000}"/>
    <cellStyle name="SAPBEXunassignedItem 2" xfId="853" xr:uid="{00000000-0005-0000-0000-000019050000}"/>
    <cellStyle name="SAPBEXunassignedItem 3" xfId="948" xr:uid="{00000000-0005-0000-0000-00001A050000}"/>
    <cellStyle name="SAPBEXunassignedItem_East 1415 Budget model v1" xfId="854" xr:uid="{00000000-0005-0000-0000-00001B050000}"/>
    <cellStyle name="SAPBEXundefined" xfId="71" xr:uid="{00000000-0005-0000-0000-00001C050000}"/>
    <cellStyle name="SAPBEXundefined 2" xfId="855" xr:uid="{00000000-0005-0000-0000-00001D050000}"/>
    <cellStyle name="SAPBEXundefined 2 2" xfId="856" xr:uid="{00000000-0005-0000-0000-00001E050000}"/>
    <cellStyle name="SAPBEXundefined 2 2 2" xfId="1330" xr:uid="{00000000-0005-0000-0000-00001F050000}"/>
    <cellStyle name="SAPBEXundefined 2 3" xfId="1329" xr:uid="{00000000-0005-0000-0000-000020050000}"/>
    <cellStyle name="SAPBEXundefined 3" xfId="857" xr:uid="{00000000-0005-0000-0000-000021050000}"/>
    <cellStyle name="SAPBEXundefined 3 2" xfId="858" xr:uid="{00000000-0005-0000-0000-000022050000}"/>
    <cellStyle name="SAPBEXundefined 3 2 2" xfId="1332" xr:uid="{00000000-0005-0000-0000-000023050000}"/>
    <cellStyle name="SAPBEXundefined 3 3" xfId="1331" xr:uid="{00000000-0005-0000-0000-000024050000}"/>
    <cellStyle name="SAPBEXundefined 4" xfId="986" xr:uid="{00000000-0005-0000-0000-000025050000}"/>
    <cellStyle name="SAPBEXundefined 5" xfId="1050" xr:uid="{00000000-0005-0000-0000-000026050000}"/>
    <cellStyle name="SAPBEXundefined 5 2" xfId="1359" xr:uid="{00000000-0005-0000-0000-000027050000}"/>
    <cellStyle name="SAPBEXundefined 6" xfId="1012" xr:uid="{00000000-0005-0000-0000-000028050000}"/>
    <cellStyle name="SAPBEXundefined 7" xfId="266" xr:uid="{00000000-0005-0000-0000-000029050000}"/>
    <cellStyle name="SAPBEXundefined 7 2" xfId="1185" xr:uid="{00000000-0005-0000-0000-00002A050000}"/>
    <cellStyle name="SAPBEXundefined 8" xfId="1138" xr:uid="{00000000-0005-0000-0000-00002B050000}"/>
    <cellStyle name="Sheet Title" xfId="72" xr:uid="{00000000-0005-0000-0000-00002C050000}"/>
    <cellStyle name="Standard_Anpassen der Amortisation" xfId="859" xr:uid="{00000000-0005-0000-0000-00002D050000}"/>
    <cellStyle name="Style 1" xfId="860" xr:uid="{00000000-0005-0000-0000-00002E050000}"/>
    <cellStyle name="Style 1 2" xfId="861" xr:uid="{00000000-0005-0000-0000-00002F050000}"/>
    <cellStyle name="Style 1 2 2" xfId="862" xr:uid="{00000000-0005-0000-0000-000030050000}"/>
    <cellStyle name="Style 1 3" xfId="863" xr:uid="{00000000-0005-0000-0000-000031050000}"/>
    <cellStyle name="Style 1 4" xfId="864" xr:uid="{00000000-0005-0000-0000-000032050000}"/>
    <cellStyle name="Style 1 4 2" xfId="865" xr:uid="{00000000-0005-0000-0000-000033050000}"/>
    <cellStyle name="Style 1 5" xfId="866" xr:uid="{00000000-0005-0000-0000-000034050000}"/>
    <cellStyle name="Style 1 5 2" xfId="867" xr:uid="{00000000-0005-0000-0000-000035050000}"/>
    <cellStyle name="Style 1 6" xfId="868" xr:uid="{00000000-0005-0000-0000-000036050000}"/>
    <cellStyle name="Style 1_EAST Q3 Summary" xfId="869" xr:uid="{00000000-0005-0000-0000-000037050000}"/>
    <cellStyle name="Sub-total" xfId="870" xr:uid="{00000000-0005-0000-0000-000038050000}"/>
    <cellStyle name="swpBody01" xfId="871" xr:uid="{00000000-0005-0000-0000-000039050000}"/>
    <cellStyle name="Title 2" xfId="873" xr:uid="{00000000-0005-0000-0000-00003A050000}"/>
    <cellStyle name="Title 2 2" xfId="874" xr:uid="{00000000-0005-0000-0000-00003B050000}"/>
    <cellStyle name="Title 3" xfId="885" xr:uid="{00000000-0005-0000-0000-00003C050000}"/>
    <cellStyle name="Title 4" xfId="872" xr:uid="{00000000-0005-0000-0000-00003D050000}"/>
    <cellStyle name="Title 5" xfId="145" xr:uid="{00000000-0005-0000-0000-00003E050000}"/>
    <cellStyle name="Title 6" xfId="126" xr:uid="{00000000-0005-0000-0000-00003F050000}"/>
    <cellStyle name="Total 1" xfId="875" xr:uid="{00000000-0005-0000-0000-000040050000}"/>
    <cellStyle name="Total 2" xfId="267" xr:uid="{00000000-0005-0000-0000-000041050000}"/>
    <cellStyle name="Total 2 2" xfId="877" xr:uid="{00000000-0005-0000-0000-000042050000}"/>
    <cellStyle name="Total 2 2 2" xfId="1334" xr:uid="{00000000-0005-0000-0000-000043050000}"/>
    <cellStyle name="Total 2 3" xfId="876" xr:uid="{00000000-0005-0000-0000-000044050000}"/>
    <cellStyle name="Total 2 3 2" xfId="1333" xr:uid="{00000000-0005-0000-0000-000045050000}"/>
    <cellStyle name="Total 2 4" xfId="1186" xr:uid="{00000000-0005-0000-0000-000046050000}"/>
    <cellStyle name="Total 3" xfId="901" xr:uid="{00000000-0005-0000-0000-000047050000}"/>
    <cellStyle name="Total 4" xfId="161" xr:uid="{00000000-0005-0000-0000-000048050000}"/>
    <cellStyle name="Total 5" xfId="127" xr:uid="{00000000-0005-0000-0000-000049050000}"/>
    <cellStyle name="Total 5 2" xfId="1144" xr:uid="{00000000-0005-0000-0000-00004A050000}"/>
    <cellStyle name="Totals" xfId="878" xr:uid="{00000000-0005-0000-0000-00004B050000}"/>
    <cellStyle name="Währung [0]_Compiling Utility Macros" xfId="879" xr:uid="{00000000-0005-0000-0000-00004C050000}"/>
    <cellStyle name="Währung_Compiling Utility Macros" xfId="880" xr:uid="{00000000-0005-0000-0000-00004D050000}"/>
    <cellStyle name="Warning Text 2" xfId="268" xr:uid="{00000000-0005-0000-0000-00004E050000}"/>
    <cellStyle name="Warning Text 2 2" xfId="882" xr:uid="{00000000-0005-0000-0000-00004F050000}"/>
    <cellStyle name="Warning Text 2 3" xfId="881" xr:uid="{00000000-0005-0000-0000-000050050000}"/>
    <cellStyle name="Warning Text 3" xfId="883" xr:uid="{00000000-0005-0000-0000-000051050000}"/>
    <cellStyle name="Warning Text 4" xfId="898" xr:uid="{00000000-0005-0000-0000-000052050000}"/>
    <cellStyle name="Warning Text 5" xfId="158" xr:uid="{00000000-0005-0000-0000-000053050000}"/>
    <cellStyle name="Warning Text 6" xfId="128" xr:uid="{00000000-0005-0000-0000-000054050000}"/>
    <cellStyle name="Yellow" xfId="884" xr:uid="{00000000-0005-0000-0000-000055050000}"/>
  </cellStyles>
  <dxfs count="0"/>
  <tableStyles count="0" defaultTableStyle="TableStyleMedium9" defaultPivotStyle="PivotStyleLight16"/>
  <colors>
    <mruColors>
      <color rgb="FFFFC000"/>
      <color rgb="FFCCCCFF"/>
      <color rgb="FFFFFFCC"/>
      <color rgb="FFFF33CC"/>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21" Type="http://schemas.openxmlformats.org/officeDocument/2006/relationships/externalLink" Target="externalLinks/externalLink2.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calcChain" Target="calcChain.xml"/><Relationship Id="rId37"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5.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image" Target="../media/image10.png"/><Relationship Id="rId7" Type="http://schemas.openxmlformats.org/officeDocument/2006/relationships/image" Target="../media/image14.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13.png"/><Relationship Id="rId5" Type="http://schemas.openxmlformats.org/officeDocument/2006/relationships/image" Target="../media/image12.png"/><Relationship Id="rId4" Type="http://schemas.openxmlformats.org/officeDocument/2006/relationships/image" Target="../media/image1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8.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 Id="rId5" Type="http://schemas.openxmlformats.org/officeDocument/2006/relationships/image" Target="../media/image22.png"/><Relationship Id="rId4" Type="http://schemas.openxmlformats.org/officeDocument/2006/relationships/image" Target="../media/image21.png"/></Relationships>
</file>

<file path=xl/drawings/_rels/drawing9.xml.rels><?xml version="1.0" encoding="UTF-8" standalone="yes"?>
<Relationships xmlns="http://schemas.openxmlformats.org/package/2006/relationships"><Relationship Id="rId1" Type="http://schemas.openxmlformats.org/officeDocument/2006/relationships/image" Target="../media/image2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4.png"/><Relationship Id="rId2" Type="http://schemas.openxmlformats.org/officeDocument/2006/relationships/image" Target="../media/image33.png"/><Relationship Id="rId1" Type="http://schemas.openxmlformats.org/officeDocument/2006/relationships/image" Target="../media/image32.png"/><Relationship Id="rId6" Type="http://schemas.openxmlformats.org/officeDocument/2006/relationships/image" Target="../media/image37.png"/><Relationship Id="rId5" Type="http://schemas.openxmlformats.org/officeDocument/2006/relationships/image" Target="../media/image36.png"/><Relationship Id="rId4" Type="http://schemas.openxmlformats.org/officeDocument/2006/relationships/image" Target="../media/image35.png"/></Relationships>
</file>

<file path=xl/drawings/_rels/drawing11.xml.rels><?xml version="1.0" encoding="UTF-8" standalone="yes"?>
<Relationships xmlns="http://schemas.openxmlformats.org/package/2006/relationships"><Relationship Id="rId3" Type="http://schemas.openxmlformats.org/officeDocument/2006/relationships/image" Target="../media/image40.png"/><Relationship Id="rId2" Type="http://schemas.openxmlformats.org/officeDocument/2006/relationships/image" Target="../media/image39.png"/><Relationship Id="rId1" Type="http://schemas.openxmlformats.org/officeDocument/2006/relationships/image" Target="../media/image38.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1.png"/></Relationships>
</file>

<file path=xl/drawings/_rels/vmlDrawing3.vml.rels><?xml version="1.0" encoding="UTF-8" standalone="yes"?>
<Relationships xmlns="http://schemas.openxmlformats.org/package/2006/relationships"><Relationship Id="rId8" Type="http://schemas.openxmlformats.org/officeDocument/2006/relationships/image" Target="../media/image31.wmf"/><Relationship Id="rId3" Type="http://schemas.openxmlformats.org/officeDocument/2006/relationships/image" Target="../media/image26.emf"/><Relationship Id="rId7" Type="http://schemas.openxmlformats.org/officeDocument/2006/relationships/image" Target="../media/image30.emf"/><Relationship Id="rId2" Type="http://schemas.openxmlformats.org/officeDocument/2006/relationships/image" Target="../media/image25.emf"/><Relationship Id="rId1" Type="http://schemas.openxmlformats.org/officeDocument/2006/relationships/image" Target="../media/image24.emf"/><Relationship Id="rId6" Type="http://schemas.openxmlformats.org/officeDocument/2006/relationships/image" Target="../media/image29.emf"/><Relationship Id="rId5" Type="http://schemas.openxmlformats.org/officeDocument/2006/relationships/image" Target="../media/image28.emf"/><Relationship Id="rId4" Type="http://schemas.openxmlformats.org/officeDocument/2006/relationships/image" Target="../media/image27.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2349500</xdr:colOff>
      <xdr:row>0</xdr:row>
      <xdr:rowOff>746045</xdr:rowOff>
    </xdr:to>
    <xdr:pic>
      <xdr:nvPicPr>
        <xdr:cNvPr id="2" name="Picture 1" descr="image of the Ofgem logo" title="Ofgem logo">
          <a:extLst>
            <a:ext uri="{FF2B5EF4-FFF2-40B4-BE49-F238E27FC236}">
              <a16:creationId xmlns:a16="http://schemas.microsoft.com/office/drawing/2014/main" id="{B85F4A4D-97F5-4842-9EDA-251E5AB310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679825" cy="7460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523875</xdr:colOff>
      <xdr:row>3</xdr:row>
      <xdr:rowOff>0</xdr:rowOff>
    </xdr:from>
    <xdr:to>
      <xdr:col>9</xdr:col>
      <xdr:colOff>323850</xdr:colOff>
      <xdr:row>28</xdr:row>
      <xdr:rowOff>47625</xdr:rowOff>
    </xdr:to>
    <xdr:grpSp>
      <xdr:nvGrpSpPr>
        <xdr:cNvPr id="9219" name="Group 3">
          <a:extLst>
            <a:ext uri="{FF2B5EF4-FFF2-40B4-BE49-F238E27FC236}">
              <a16:creationId xmlns:a16="http://schemas.microsoft.com/office/drawing/2014/main" id="{00000000-0008-0000-0200-000003240000}"/>
            </a:ext>
          </a:extLst>
        </xdr:cNvPr>
        <xdr:cNvGrpSpPr>
          <a:grpSpLocks noChangeAspect="1"/>
        </xdr:cNvGrpSpPr>
      </xdr:nvGrpSpPr>
      <xdr:grpSpPr bwMode="auto">
        <a:xfrm>
          <a:off x="520700" y="609600"/>
          <a:ext cx="7432675" cy="4454525"/>
          <a:chOff x="55" y="65"/>
          <a:chExt cx="718" cy="430"/>
        </a:xfrm>
      </xdr:grpSpPr>
      <xdr:sp macro="" textlink="">
        <xdr:nvSpPr>
          <xdr:cNvPr id="9218" name="AutoShape 2">
            <a:extLst>
              <a:ext uri="{FF2B5EF4-FFF2-40B4-BE49-F238E27FC236}">
                <a16:creationId xmlns:a16="http://schemas.microsoft.com/office/drawing/2014/main" id="{00000000-0008-0000-0200-000002240000}"/>
              </a:ext>
            </a:extLst>
          </xdr:cNvPr>
          <xdr:cNvSpPr>
            <a:spLocks noChangeAspect="1" noChangeArrowheads="1" noTextEdit="1"/>
          </xdr:cNvSpPr>
        </xdr:nvSpPr>
        <xdr:spPr bwMode="auto">
          <a:xfrm>
            <a:off x="55" y="65"/>
            <a:ext cx="718" cy="430"/>
          </a:xfrm>
          <a:prstGeom prst="rect">
            <a:avLst/>
          </a:prstGeom>
          <a:noFill/>
          <a:ln w="9525">
            <a:noFill/>
            <a:miter lim="800000"/>
            <a:headEnd/>
            <a:tailEnd/>
          </a:ln>
        </xdr:spPr>
      </xdr:sp>
      <xdr:sp macro="" textlink="">
        <xdr:nvSpPr>
          <xdr:cNvPr id="9220" name="Freeform 4">
            <a:extLst>
              <a:ext uri="{FF2B5EF4-FFF2-40B4-BE49-F238E27FC236}">
                <a16:creationId xmlns:a16="http://schemas.microsoft.com/office/drawing/2014/main" id="{00000000-0008-0000-0200-000004240000}"/>
              </a:ext>
            </a:extLst>
          </xdr:cNvPr>
          <xdr:cNvSpPr>
            <a:spLocks noEditPoints="1"/>
          </xdr:cNvSpPr>
        </xdr:nvSpPr>
        <xdr:spPr bwMode="auto">
          <a:xfrm>
            <a:off x="344" y="468"/>
            <a:ext cx="160" cy="27"/>
          </a:xfrm>
          <a:custGeom>
            <a:avLst/>
            <a:gdLst/>
            <a:ahLst/>
            <a:cxnLst>
              <a:cxn ang="0">
                <a:pos x="0" y="8"/>
              </a:cxn>
              <a:cxn ang="0">
                <a:pos x="8" y="0"/>
              </a:cxn>
              <a:cxn ang="0">
                <a:pos x="2904" y="0"/>
              </a:cxn>
              <a:cxn ang="0">
                <a:pos x="2912" y="8"/>
              </a:cxn>
              <a:cxn ang="0">
                <a:pos x="2912" y="472"/>
              </a:cxn>
              <a:cxn ang="0">
                <a:pos x="2904" y="480"/>
              </a:cxn>
              <a:cxn ang="0">
                <a:pos x="8" y="480"/>
              </a:cxn>
              <a:cxn ang="0">
                <a:pos x="0" y="472"/>
              </a:cxn>
              <a:cxn ang="0">
                <a:pos x="0" y="8"/>
              </a:cxn>
              <a:cxn ang="0">
                <a:pos x="16" y="472"/>
              </a:cxn>
              <a:cxn ang="0">
                <a:pos x="8" y="464"/>
              </a:cxn>
              <a:cxn ang="0">
                <a:pos x="2904" y="464"/>
              </a:cxn>
              <a:cxn ang="0">
                <a:pos x="2896" y="472"/>
              </a:cxn>
              <a:cxn ang="0">
                <a:pos x="2896" y="8"/>
              </a:cxn>
              <a:cxn ang="0">
                <a:pos x="2904" y="16"/>
              </a:cxn>
              <a:cxn ang="0">
                <a:pos x="8" y="16"/>
              </a:cxn>
              <a:cxn ang="0">
                <a:pos x="16" y="8"/>
              </a:cxn>
              <a:cxn ang="0">
                <a:pos x="16" y="472"/>
              </a:cxn>
            </a:cxnLst>
            <a:rect l="0" t="0" r="r" b="b"/>
            <a:pathLst>
              <a:path w="2912" h="480">
                <a:moveTo>
                  <a:pt x="0" y="8"/>
                </a:moveTo>
                <a:cubicBezTo>
                  <a:pt x="0" y="4"/>
                  <a:pt x="4" y="0"/>
                  <a:pt x="8" y="0"/>
                </a:cubicBezTo>
                <a:lnTo>
                  <a:pt x="2904" y="0"/>
                </a:lnTo>
                <a:cubicBezTo>
                  <a:pt x="2909" y="0"/>
                  <a:pt x="2912" y="4"/>
                  <a:pt x="2912" y="8"/>
                </a:cubicBezTo>
                <a:lnTo>
                  <a:pt x="2912" y="472"/>
                </a:lnTo>
                <a:cubicBezTo>
                  <a:pt x="2912" y="477"/>
                  <a:pt x="2909" y="480"/>
                  <a:pt x="2904" y="480"/>
                </a:cubicBezTo>
                <a:lnTo>
                  <a:pt x="8" y="480"/>
                </a:lnTo>
                <a:cubicBezTo>
                  <a:pt x="4" y="480"/>
                  <a:pt x="0" y="477"/>
                  <a:pt x="0" y="472"/>
                </a:cubicBezTo>
                <a:lnTo>
                  <a:pt x="0" y="8"/>
                </a:lnTo>
                <a:close/>
                <a:moveTo>
                  <a:pt x="16" y="472"/>
                </a:moveTo>
                <a:lnTo>
                  <a:pt x="8" y="464"/>
                </a:lnTo>
                <a:lnTo>
                  <a:pt x="2904" y="464"/>
                </a:lnTo>
                <a:lnTo>
                  <a:pt x="2896" y="472"/>
                </a:lnTo>
                <a:lnTo>
                  <a:pt x="2896" y="8"/>
                </a:lnTo>
                <a:lnTo>
                  <a:pt x="2904" y="16"/>
                </a:lnTo>
                <a:lnTo>
                  <a:pt x="8" y="16"/>
                </a:lnTo>
                <a:lnTo>
                  <a:pt x="16" y="8"/>
                </a:lnTo>
                <a:lnTo>
                  <a:pt x="16" y="472"/>
                </a:lnTo>
                <a:close/>
              </a:path>
            </a:pathLst>
          </a:custGeom>
          <a:solidFill>
            <a:srgbClr val="000000"/>
          </a:solidFill>
          <a:ln w="0" cap="flat">
            <a:solidFill>
              <a:srgbClr val="000000"/>
            </a:solidFill>
            <a:prstDash val="solid"/>
            <a:round/>
            <a:headEnd/>
            <a:tailEnd/>
          </a:ln>
        </xdr:spPr>
      </xdr:sp>
      <xdr:sp macro="" textlink="">
        <xdr:nvSpPr>
          <xdr:cNvPr id="9221" name="Rectangle 5">
            <a:extLst>
              <a:ext uri="{FF2B5EF4-FFF2-40B4-BE49-F238E27FC236}">
                <a16:creationId xmlns:a16="http://schemas.microsoft.com/office/drawing/2014/main" id="{00000000-0008-0000-0200-000005240000}"/>
              </a:ext>
            </a:extLst>
          </xdr:cNvPr>
          <xdr:cNvSpPr>
            <a:spLocks noChangeArrowheads="1"/>
          </xdr:cNvSpPr>
        </xdr:nvSpPr>
        <xdr:spPr bwMode="auto">
          <a:xfrm>
            <a:off x="388" y="473"/>
            <a:ext cx="72" cy="17"/>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Summary</a:t>
            </a:r>
          </a:p>
        </xdr:txBody>
      </xdr:sp>
      <xdr:sp macro="" textlink="">
        <xdr:nvSpPr>
          <xdr:cNvPr id="9222" name="Freeform 6">
            <a:extLst>
              <a:ext uri="{FF2B5EF4-FFF2-40B4-BE49-F238E27FC236}">
                <a16:creationId xmlns:a16="http://schemas.microsoft.com/office/drawing/2014/main" id="{00000000-0008-0000-0200-000006240000}"/>
              </a:ext>
            </a:extLst>
          </xdr:cNvPr>
          <xdr:cNvSpPr>
            <a:spLocks noEditPoints="1"/>
          </xdr:cNvSpPr>
        </xdr:nvSpPr>
        <xdr:spPr bwMode="auto">
          <a:xfrm>
            <a:off x="194" y="71"/>
            <a:ext cx="158" cy="43"/>
          </a:xfrm>
          <a:custGeom>
            <a:avLst/>
            <a:gdLst/>
            <a:ahLst/>
            <a:cxnLst>
              <a:cxn ang="0">
                <a:pos x="0" y="8"/>
              </a:cxn>
              <a:cxn ang="0">
                <a:pos x="8" y="0"/>
              </a:cxn>
              <a:cxn ang="0">
                <a:pos x="2888" y="0"/>
              </a:cxn>
              <a:cxn ang="0">
                <a:pos x="2896" y="8"/>
              </a:cxn>
              <a:cxn ang="0">
                <a:pos x="2896" y="776"/>
              </a:cxn>
              <a:cxn ang="0">
                <a:pos x="2888" y="784"/>
              </a:cxn>
              <a:cxn ang="0">
                <a:pos x="8" y="784"/>
              </a:cxn>
              <a:cxn ang="0">
                <a:pos x="0" y="776"/>
              </a:cxn>
              <a:cxn ang="0">
                <a:pos x="0" y="8"/>
              </a:cxn>
              <a:cxn ang="0">
                <a:pos x="16" y="776"/>
              </a:cxn>
              <a:cxn ang="0">
                <a:pos x="8" y="768"/>
              </a:cxn>
              <a:cxn ang="0">
                <a:pos x="2888" y="768"/>
              </a:cxn>
              <a:cxn ang="0">
                <a:pos x="2880" y="776"/>
              </a:cxn>
              <a:cxn ang="0">
                <a:pos x="2880" y="8"/>
              </a:cxn>
              <a:cxn ang="0">
                <a:pos x="2888" y="16"/>
              </a:cxn>
              <a:cxn ang="0">
                <a:pos x="8" y="16"/>
              </a:cxn>
              <a:cxn ang="0">
                <a:pos x="16" y="8"/>
              </a:cxn>
              <a:cxn ang="0">
                <a:pos x="16" y="776"/>
              </a:cxn>
            </a:cxnLst>
            <a:rect l="0" t="0" r="r" b="b"/>
            <a:pathLst>
              <a:path w="2896" h="784">
                <a:moveTo>
                  <a:pt x="0" y="8"/>
                </a:moveTo>
                <a:cubicBezTo>
                  <a:pt x="0" y="4"/>
                  <a:pt x="4" y="0"/>
                  <a:pt x="8" y="0"/>
                </a:cubicBezTo>
                <a:lnTo>
                  <a:pt x="2888" y="0"/>
                </a:lnTo>
                <a:cubicBezTo>
                  <a:pt x="2893" y="0"/>
                  <a:pt x="2896" y="4"/>
                  <a:pt x="2896" y="8"/>
                </a:cubicBezTo>
                <a:lnTo>
                  <a:pt x="2896" y="776"/>
                </a:lnTo>
                <a:cubicBezTo>
                  <a:pt x="2896" y="781"/>
                  <a:pt x="2893" y="784"/>
                  <a:pt x="2888" y="784"/>
                </a:cubicBezTo>
                <a:lnTo>
                  <a:pt x="8" y="784"/>
                </a:lnTo>
                <a:cubicBezTo>
                  <a:pt x="4" y="784"/>
                  <a:pt x="0" y="781"/>
                  <a:pt x="0" y="776"/>
                </a:cubicBezTo>
                <a:lnTo>
                  <a:pt x="0" y="8"/>
                </a:lnTo>
                <a:close/>
                <a:moveTo>
                  <a:pt x="16" y="776"/>
                </a:moveTo>
                <a:lnTo>
                  <a:pt x="8" y="768"/>
                </a:lnTo>
                <a:lnTo>
                  <a:pt x="2888" y="768"/>
                </a:lnTo>
                <a:lnTo>
                  <a:pt x="2880" y="776"/>
                </a:lnTo>
                <a:lnTo>
                  <a:pt x="2880" y="8"/>
                </a:lnTo>
                <a:lnTo>
                  <a:pt x="2888" y="16"/>
                </a:lnTo>
                <a:lnTo>
                  <a:pt x="8" y="16"/>
                </a:lnTo>
                <a:lnTo>
                  <a:pt x="16" y="8"/>
                </a:lnTo>
                <a:lnTo>
                  <a:pt x="16" y="776"/>
                </a:lnTo>
                <a:close/>
              </a:path>
            </a:pathLst>
          </a:custGeom>
          <a:solidFill>
            <a:srgbClr val="000000"/>
          </a:solidFill>
          <a:ln w="0" cap="flat">
            <a:solidFill>
              <a:srgbClr val="000000"/>
            </a:solidFill>
            <a:prstDash val="solid"/>
            <a:round/>
            <a:headEnd/>
            <a:tailEnd/>
          </a:ln>
        </xdr:spPr>
      </xdr:sp>
      <xdr:sp macro="" textlink="">
        <xdr:nvSpPr>
          <xdr:cNvPr id="9223" name="Rectangle 7">
            <a:extLst>
              <a:ext uri="{FF2B5EF4-FFF2-40B4-BE49-F238E27FC236}">
                <a16:creationId xmlns:a16="http://schemas.microsoft.com/office/drawing/2014/main" id="{00000000-0008-0000-0200-000007240000}"/>
              </a:ext>
            </a:extLst>
          </xdr:cNvPr>
          <xdr:cNvSpPr>
            <a:spLocks noChangeArrowheads="1"/>
          </xdr:cNvSpPr>
        </xdr:nvSpPr>
        <xdr:spPr bwMode="auto">
          <a:xfrm>
            <a:off x="211" y="75"/>
            <a:ext cx="135"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Licence Condition </a:t>
            </a:r>
          </a:p>
        </xdr:txBody>
      </xdr:sp>
      <xdr:sp macro="" textlink="">
        <xdr:nvSpPr>
          <xdr:cNvPr id="9224" name="Rectangle 8">
            <a:extLst>
              <a:ext uri="{FF2B5EF4-FFF2-40B4-BE49-F238E27FC236}">
                <a16:creationId xmlns:a16="http://schemas.microsoft.com/office/drawing/2014/main" id="{00000000-0008-0000-0200-000008240000}"/>
              </a:ext>
            </a:extLst>
          </xdr:cNvPr>
          <xdr:cNvSpPr>
            <a:spLocks noChangeArrowheads="1"/>
          </xdr:cNvSpPr>
        </xdr:nvSpPr>
        <xdr:spPr bwMode="auto">
          <a:xfrm>
            <a:off x="250" y="92"/>
            <a:ext cx="49"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Values</a:t>
            </a:r>
          </a:p>
        </xdr:txBody>
      </xdr:sp>
      <xdr:sp macro="" textlink="">
        <xdr:nvSpPr>
          <xdr:cNvPr id="9225" name="Freeform 9">
            <a:extLst>
              <a:ext uri="{FF2B5EF4-FFF2-40B4-BE49-F238E27FC236}">
                <a16:creationId xmlns:a16="http://schemas.microsoft.com/office/drawing/2014/main" id="{00000000-0008-0000-0200-000009240000}"/>
              </a:ext>
            </a:extLst>
          </xdr:cNvPr>
          <xdr:cNvSpPr>
            <a:spLocks noEditPoints="1"/>
          </xdr:cNvSpPr>
        </xdr:nvSpPr>
        <xdr:spPr bwMode="auto">
          <a:xfrm>
            <a:off x="378" y="65"/>
            <a:ext cx="187" cy="128"/>
          </a:xfrm>
          <a:custGeom>
            <a:avLst/>
            <a:gdLst/>
            <a:ahLst/>
            <a:cxnLst>
              <a:cxn ang="0">
                <a:pos x="0" y="8"/>
              </a:cxn>
              <a:cxn ang="0">
                <a:pos x="8" y="0"/>
              </a:cxn>
              <a:cxn ang="0">
                <a:pos x="3608" y="0"/>
              </a:cxn>
              <a:cxn ang="0">
                <a:pos x="3616" y="8"/>
              </a:cxn>
              <a:cxn ang="0">
                <a:pos x="3616" y="2328"/>
              </a:cxn>
              <a:cxn ang="0">
                <a:pos x="3608" y="2336"/>
              </a:cxn>
              <a:cxn ang="0">
                <a:pos x="8" y="2336"/>
              </a:cxn>
              <a:cxn ang="0">
                <a:pos x="0" y="2328"/>
              </a:cxn>
              <a:cxn ang="0">
                <a:pos x="0" y="8"/>
              </a:cxn>
              <a:cxn ang="0">
                <a:pos x="16" y="2328"/>
              </a:cxn>
              <a:cxn ang="0">
                <a:pos x="8" y="2320"/>
              </a:cxn>
              <a:cxn ang="0">
                <a:pos x="3608" y="2320"/>
              </a:cxn>
              <a:cxn ang="0">
                <a:pos x="3600" y="2328"/>
              </a:cxn>
              <a:cxn ang="0">
                <a:pos x="3600" y="8"/>
              </a:cxn>
              <a:cxn ang="0">
                <a:pos x="3608" y="16"/>
              </a:cxn>
              <a:cxn ang="0">
                <a:pos x="8" y="16"/>
              </a:cxn>
              <a:cxn ang="0">
                <a:pos x="16" y="8"/>
              </a:cxn>
              <a:cxn ang="0">
                <a:pos x="16" y="2328"/>
              </a:cxn>
            </a:cxnLst>
            <a:rect l="0" t="0" r="r" b="b"/>
            <a:pathLst>
              <a:path w="3616" h="2336">
                <a:moveTo>
                  <a:pt x="0" y="8"/>
                </a:moveTo>
                <a:cubicBezTo>
                  <a:pt x="0" y="4"/>
                  <a:pt x="4" y="0"/>
                  <a:pt x="8" y="0"/>
                </a:cubicBezTo>
                <a:lnTo>
                  <a:pt x="3608" y="0"/>
                </a:lnTo>
                <a:cubicBezTo>
                  <a:pt x="3613" y="0"/>
                  <a:pt x="3616" y="4"/>
                  <a:pt x="3616" y="8"/>
                </a:cubicBezTo>
                <a:lnTo>
                  <a:pt x="3616" y="2328"/>
                </a:lnTo>
                <a:cubicBezTo>
                  <a:pt x="3616" y="2333"/>
                  <a:pt x="3613" y="2336"/>
                  <a:pt x="3608" y="2336"/>
                </a:cubicBezTo>
                <a:lnTo>
                  <a:pt x="8" y="2336"/>
                </a:lnTo>
                <a:cubicBezTo>
                  <a:pt x="4" y="2336"/>
                  <a:pt x="0" y="2333"/>
                  <a:pt x="0" y="2328"/>
                </a:cubicBezTo>
                <a:lnTo>
                  <a:pt x="0" y="8"/>
                </a:lnTo>
                <a:close/>
                <a:moveTo>
                  <a:pt x="16" y="2328"/>
                </a:moveTo>
                <a:lnTo>
                  <a:pt x="8" y="2320"/>
                </a:lnTo>
                <a:lnTo>
                  <a:pt x="3608" y="2320"/>
                </a:lnTo>
                <a:lnTo>
                  <a:pt x="3600" y="2328"/>
                </a:lnTo>
                <a:lnTo>
                  <a:pt x="3600" y="8"/>
                </a:lnTo>
                <a:lnTo>
                  <a:pt x="3608" y="16"/>
                </a:lnTo>
                <a:lnTo>
                  <a:pt x="8" y="16"/>
                </a:lnTo>
                <a:lnTo>
                  <a:pt x="16" y="8"/>
                </a:lnTo>
                <a:lnTo>
                  <a:pt x="16" y="2328"/>
                </a:lnTo>
                <a:close/>
              </a:path>
            </a:pathLst>
          </a:custGeom>
          <a:solidFill>
            <a:srgbClr val="000000"/>
          </a:solidFill>
          <a:ln w="0" cap="flat">
            <a:solidFill>
              <a:srgbClr val="000000"/>
            </a:solidFill>
            <a:prstDash val="solid"/>
            <a:round/>
            <a:headEnd/>
            <a:tailEnd/>
          </a:ln>
        </xdr:spPr>
      </xdr:sp>
      <xdr:sp macro="" textlink="">
        <xdr:nvSpPr>
          <xdr:cNvPr id="9226" name="Rectangle 10">
            <a:extLst>
              <a:ext uri="{FF2B5EF4-FFF2-40B4-BE49-F238E27FC236}">
                <a16:creationId xmlns:a16="http://schemas.microsoft.com/office/drawing/2014/main" id="{00000000-0008-0000-0200-00000A240000}"/>
              </a:ext>
            </a:extLst>
          </xdr:cNvPr>
          <xdr:cNvSpPr>
            <a:spLocks noChangeArrowheads="1"/>
          </xdr:cNvSpPr>
        </xdr:nvSpPr>
        <xdr:spPr bwMode="auto">
          <a:xfrm>
            <a:off x="411" y="75"/>
            <a:ext cx="123"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Licensee Inputs:</a:t>
            </a:r>
          </a:p>
        </xdr:txBody>
      </xdr:sp>
      <xdr:sp macro="" textlink="">
        <xdr:nvSpPr>
          <xdr:cNvPr id="9227" name="Rectangle 11">
            <a:extLst>
              <a:ext uri="{FF2B5EF4-FFF2-40B4-BE49-F238E27FC236}">
                <a16:creationId xmlns:a16="http://schemas.microsoft.com/office/drawing/2014/main" id="{00000000-0008-0000-0200-00000B240000}"/>
              </a:ext>
            </a:extLst>
          </xdr:cNvPr>
          <xdr:cNvSpPr>
            <a:spLocks noChangeArrowheads="1"/>
          </xdr:cNvSpPr>
        </xdr:nvSpPr>
        <xdr:spPr bwMode="auto">
          <a:xfrm>
            <a:off x="387" y="104"/>
            <a:ext cx="5" cy="17"/>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Arial"/>
                <a:cs typeface="Arial"/>
              </a:rPr>
              <a:t>•</a:t>
            </a:r>
          </a:p>
        </xdr:txBody>
      </xdr:sp>
      <xdr:sp macro="" textlink="">
        <xdr:nvSpPr>
          <xdr:cNvPr id="9228" name="Rectangle 12">
            <a:extLst>
              <a:ext uri="{FF2B5EF4-FFF2-40B4-BE49-F238E27FC236}">
                <a16:creationId xmlns:a16="http://schemas.microsoft.com/office/drawing/2014/main" id="{00000000-0008-0000-0200-00000C240000}"/>
              </a:ext>
            </a:extLst>
          </xdr:cNvPr>
          <xdr:cNvSpPr>
            <a:spLocks noChangeArrowheads="1"/>
          </xdr:cNvSpPr>
        </xdr:nvSpPr>
        <xdr:spPr bwMode="auto">
          <a:xfrm>
            <a:off x="392" y="103"/>
            <a:ext cx="148"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  Pass Through Items</a:t>
            </a:r>
          </a:p>
        </xdr:txBody>
      </xdr:sp>
      <xdr:sp macro="" textlink="">
        <xdr:nvSpPr>
          <xdr:cNvPr id="9229" name="Rectangle 13">
            <a:extLst>
              <a:ext uri="{FF2B5EF4-FFF2-40B4-BE49-F238E27FC236}">
                <a16:creationId xmlns:a16="http://schemas.microsoft.com/office/drawing/2014/main" id="{00000000-0008-0000-0200-00000D240000}"/>
              </a:ext>
            </a:extLst>
          </xdr:cNvPr>
          <xdr:cNvSpPr>
            <a:spLocks noChangeArrowheads="1"/>
          </xdr:cNvSpPr>
        </xdr:nvSpPr>
        <xdr:spPr bwMode="auto">
          <a:xfrm>
            <a:off x="387" y="140"/>
            <a:ext cx="5" cy="17"/>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Arial"/>
                <a:cs typeface="Arial"/>
              </a:rPr>
              <a:t>•</a:t>
            </a:r>
          </a:p>
        </xdr:txBody>
      </xdr:sp>
      <xdr:sp macro="" textlink="">
        <xdr:nvSpPr>
          <xdr:cNvPr id="9230" name="Rectangle 14">
            <a:extLst>
              <a:ext uri="{FF2B5EF4-FFF2-40B4-BE49-F238E27FC236}">
                <a16:creationId xmlns:a16="http://schemas.microsoft.com/office/drawing/2014/main" id="{00000000-0008-0000-0200-00000E240000}"/>
              </a:ext>
            </a:extLst>
          </xdr:cNvPr>
          <xdr:cNvSpPr>
            <a:spLocks noChangeArrowheads="1"/>
          </xdr:cNvSpPr>
        </xdr:nvSpPr>
        <xdr:spPr bwMode="auto">
          <a:xfrm>
            <a:off x="392" y="139"/>
            <a:ext cx="168"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  Incentive Adjustments</a:t>
            </a:r>
          </a:p>
        </xdr:txBody>
      </xdr:sp>
      <xdr:sp macro="" textlink="">
        <xdr:nvSpPr>
          <xdr:cNvPr id="9231" name="Rectangle 15">
            <a:extLst>
              <a:ext uri="{FF2B5EF4-FFF2-40B4-BE49-F238E27FC236}">
                <a16:creationId xmlns:a16="http://schemas.microsoft.com/office/drawing/2014/main" id="{00000000-0008-0000-0200-00000F240000}"/>
              </a:ext>
            </a:extLst>
          </xdr:cNvPr>
          <xdr:cNvSpPr>
            <a:spLocks noChangeArrowheads="1"/>
          </xdr:cNvSpPr>
        </xdr:nvSpPr>
        <xdr:spPr bwMode="auto">
          <a:xfrm>
            <a:off x="387" y="138"/>
            <a:ext cx="0" cy="17"/>
          </a:xfrm>
          <a:prstGeom prst="rect">
            <a:avLst/>
          </a:prstGeom>
          <a:noFill/>
          <a:ln w="9525">
            <a:noFill/>
            <a:miter lim="800000"/>
            <a:headEnd/>
            <a:tailEnd/>
          </a:ln>
        </xdr:spPr>
        <xdr:txBody>
          <a:bodyPr wrap="none" lIns="0" tIns="0" rIns="0" bIns="0" anchor="t" upright="1">
            <a:spAutoFit/>
          </a:bodyPr>
          <a:lstStyle/>
          <a:p>
            <a:pPr algn="l" rtl="0">
              <a:defRPr sz="1000"/>
            </a:pPr>
            <a:endParaRPr lang="en-GB" sz="1100" b="0" i="0" u="none" strike="noStrike" baseline="0">
              <a:solidFill>
                <a:srgbClr val="000000"/>
              </a:solidFill>
              <a:latin typeface="Arial"/>
              <a:cs typeface="Arial"/>
            </a:endParaRPr>
          </a:p>
        </xdr:txBody>
      </xdr:sp>
      <xdr:sp macro="" textlink="">
        <xdr:nvSpPr>
          <xdr:cNvPr id="9232" name="Rectangle 16">
            <a:extLst>
              <a:ext uri="{FF2B5EF4-FFF2-40B4-BE49-F238E27FC236}">
                <a16:creationId xmlns:a16="http://schemas.microsoft.com/office/drawing/2014/main" id="{00000000-0008-0000-0200-000010240000}"/>
              </a:ext>
            </a:extLst>
          </xdr:cNvPr>
          <xdr:cNvSpPr>
            <a:spLocks noChangeArrowheads="1"/>
          </xdr:cNvSpPr>
        </xdr:nvSpPr>
        <xdr:spPr bwMode="auto">
          <a:xfrm>
            <a:off x="392" y="137"/>
            <a:ext cx="0" cy="18"/>
          </a:xfrm>
          <a:prstGeom prst="rect">
            <a:avLst/>
          </a:prstGeom>
          <a:noFill/>
          <a:ln w="9525">
            <a:noFill/>
            <a:miter lim="800000"/>
            <a:headEnd/>
            <a:tailEnd/>
          </a:ln>
        </xdr:spPr>
        <xdr:txBody>
          <a:bodyPr wrap="none" lIns="0" tIns="0" rIns="0" bIns="0" anchor="t" upright="1">
            <a:spAutoFit/>
          </a:bodyPr>
          <a:lstStyle/>
          <a:p>
            <a:pPr algn="l" rtl="0">
              <a:defRPr sz="1000"/>
            </a:pPr>
            <a:endParaRPr lang="en-GB" sz="1100" b="0" i="0" u="none" strike="noStrike" baseline="0">
              <a:solidFill>
                <a:srgbClr val="000000"/>
              </a:solidFill>
              <a:latin typeface="Verdana"/>
              <a:ea typeface="Verdana"/>
              <a:cs typeface="Verdana"/>
            </a:endParaRPr>
          </a:p>
        </xdr:txBody>
      </xdr:sp>
      <xdr:sp macro="" textlink="">
        <xdr:nvSpPr>
          <xdr:cNvPr id="9233" name="Rectangle 17">
            <a:extLst>
              <a:ext uri="{FF2B5EF4-FFF2-40B4-BE49-F238E27FC236}">
                <a16:creationId xmlns:a16="http://schemas.microsoft.com/office/drawing/2014/main" id="{00000000-0008-0000-0200-000011240000}"/>
              </a:ext>
            </a:extLst>
          </xdr:cNvPr>
          <xdr:cNvSpPr>
            <a:spLocks noChangeArrowheads="1"/>
          </xdr:cNvSpPr>
        </xdr:nvSpPr>
        <xdr:spPr bwMode="auto">
          <a:xfrm>
            <a:off x="387" y="155"/>
            <a:ext cx="0" cy="17"/>
          </a:xfrm>
          <a:prstGeom prst="rect">
            <a:avLst/>
          </a:prstGeom>
          <a:noFill/>
          <a:ln w="9525">
            <a:noFill/>
            <a:miter lim="800000"/>
            <a:headEnd/>
            <a:tailEnd/>
          </a:ln>
        </xdr:spPr>
        <xdr:txBody>
          <a:bodyPr wrap="none" lIns="0" tIns="0" rIns="0" bIns="0" anchor="t" upright="1">
            <a:spAutoFit/>
          </a:bodyPr>
          <a:lstStyle/>
          <a:p>
            <a:pPr algn="l" rtl="0">
              <a:defRPr sz="1000"/>
            </a:pPr>
            <a:endParaRPr lang="en-GB" sz="1100" b="0" i="0" u="none" strike="noStrike" baseline="0">
              <a:solidFill>
                <a:srgbClr val="000000"/>
              </a:solidFill>
              <a:latin typeface="Arial"/>
              <a:cs typeface="Arial"/>
            </a:endParaRPr>
          </a:p>
        </xdr:txBody>
      </xdr:sp>
      <xdr:sp macro="" textlink="">
        <xdr:nvSpPr>
          <xdr:cNvPr id="9234" name="Rectangle 18">
            <a:extLst>
              <a:ext uri="{FF2B5EF4-FFF2-40B4-BE49-F238E27FC236}">
                <a16:creationId xmlns:a16="http://schemas.microsoft.com/office/drawing/2014/main" id="{00000000-0008-0000-0200-000012240000}"/>
              </a:ext>
            </a:extLst>
          </xdr:cNvPr>
          <xdr:cNvSpPr>
            <a:spLocks noChangeArrowheads="1"/>
          </xdr:cNvSpPr>
        </xdr:nvSpPr>
        <xdr:spPr bwMode="auto">
          <a:xfrm>
            <a:off x="392" y="154"/>
            <a:ext cx="5"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 </a:t>
            </a:r>
          </a:p>
        </xdr:txBody>
      </xdr:sp>
      <xdr:sp macro="" textlink="">
        <xdr:nvSpPr>
          <xdr:cNvPr id="9236" name="Freeform 20">
            <a:extLst>
              <a:ext uri="{FF2B5EF4-FFF2-40B4-BE49-F238E27FC236}">
                <a16:creationId xmlns:a16="http://schemas.microsoft.com/office/drawing/2014/main" id="{00000000-0008-0000-0200-000014240000}"/>
              </a:ext>
            </a:extLst>
          </xdr:cNvPr>
          <xdr:cNvSpPr>
            <a:spLocks noEditPoints="1"/>
          </xdr:cNvSpPr>
        </xdr:nvSpPr>
        <xdr:spPr bwMode="auto">
          <a:xfrm>
            <a:off x="55" y="143"/>
            <a:ext cx="159" cy="43"/>
          </a:xfrm>
          <a:custGeom>
            <a:avLst/>
            <a:gdLst/>
            <a:ahLst/>
            <a:cxnLst>
              <a:cxn ang="0">
                <a:pos x="0" y="8"/>
              </a:cxn>
              <a:cxn ang="0">
                <a:pos x="8" y="0"/>
              </a:cxn>
              <a:cxn ang="0">
                <a:pos x="2888" y="0"/>
              </a:cxn>
              <a:cxn ang="0">
                <a:pos x="2896" y="8"/>
              </a:cxn>
              <a:cxn ang="0">
                <a:pos x="2896" y="776"/>
              </a:cxn>
              <a:cxn ang="0">
                <a:pos x="2888" y="784"/>
              </a:cxn>
              <a:cxn ang="0">
                <a:pos x="8" y="784"/>
              </a:cxn>
              <a:cxn ang="0">
                <a:pos x="0" y="776"/>
              </a:cxn>
              <a:cxn ang="0">
                <a:pos x="0" y="8"/>
              </a:cxn>
              <a:cxn ang="0">
                <a:pos x="16" y="776"/>
              </a:cxn>
              <a:cxn ang="0">
                <a:pos x="8" y="768"/>
              </a:cxn>
              <a:cxn ang="0">
                <a:pos x="2888" y="768"/>
              </a:cxn>
              <a:cxn ang="0">
                <a:pos x="2880" y="776"/>
              </a:cxn>
              <a:cxn ang="0">
                <a:pos x="2880" y="8"/>
              </a:cxn>
              <a:cxn ang="0">
                <a:pos x="2888" y="16"/>
              </a:cxn>
              <a:cxn ang="0">
                <a:pos x="8" y="16"/>
              </a:cxn>
              <a:cxn ang="0">
                <a:pos x="16" y="8"/>
              </a:cxn>
              <a:cxn ang="0">
                <a:pos x="16" y="776"/>
              </a:cxn>
            </a:cxnLst>
            <a:rect l="0" t="0" r="r" b="b"/>
            <a:pathLst>
              <a:path w="2896" h="784">
                <a:moveTo>
                  <a:pt x="0" y="8"/>
                </a:moveTo>
                <a:cubicBezTo>
                  <a:pt x="0" y="4"/>
                  <a:pt x="4" y="0"/>
                  <a:pt x="8" y="0"/>
                </a:cubicBezTo>
                <a:lnTo>
                  <a:pt x="2888" y="0"/>
                </a:lnTo>
                <a:cubicBezTo>
                  <a:pt x="2893" y="0"/>
                  <a:pt x="2896" y="4"/>
                  <a:pt x="2896" y="8"/>
                </a:cubicBezTo>
                <a:lnTo>
                  <a:pt x="2896" y="776"/>
                </a:lnTo>
                <a:cubicBezTo>
                  <a:pt x="2896" y="781"/>
                  <a:pt x="2893" y="784"/>
                  <a:pt x="2888" y="784"/>
                </a:cubicBezTo>
                <a:lnTo>
                  <a:pt x="8" y="784"/>
                </a:lnTo>
                <a:cubicBezTo>
                  <a:pt x="4" y="784"/>
                  <a:pt x="0" y="781"/>
                  <a:pt x="0" y="776"/>
                </a:cubicBezTo>
                <a:lnTo>
                  <a:pt x="0" y="8"/>
                </a:lnTo>
                <a:close/>
                <a:moveTo>
                  <a:pt x="16" y="776"/>
                </a:moveTo>
                <a:lnTo>
                  <a:pt x="8" y="768"/>
                </a:lnTo>
                <a:lnTo>
                  <a:pt x="2888" y="768"/>
                </a:lnTo>
                <a:lnTo>
                  <a:pt x="2880" y="776"/>
                </a:lnTo>
                <a:lnTo>
                  <a:pt x="2880" y="8"/>
                </a:lnTo>
                <a:lnTo>
                  <a:pt x="2888" y="16"/>
                </a:lnTo>
                <a:lnTo>
                  <a:pt x="8" y="16"/>
                </a:lnTo>
                <a:lnTo>
                  <a:pt x="16" y="8"/>
                </a:lnTo>
                <a:lnTo>
                  <a:pt x="16" y="776"/>
                </a:lnTo>
                <a:close/>
              </a:path>
            </a:pathLst>
          </a:custGeom>
          <a:solidFill>
            <a:srgbClr val="000000"/>
          </a:solidFill>
          <a:ln w="0" cap="flat">
            <a:solidFill>
              <a:srgbClr val="000000"/>
            </a:solidFill>
            <a:prstDash val="solid"/>
            <a:round/>
            <a:headEnd/>
            <a:tailEnd/>
          </a:ln>
        </xdr:spPr>
      </xdr:sp>
      <xdr:sp macro="" textlink="">
        <xdr:nvSpPr>
          <xdr:cNvPr id="9237" name="Rectangle 21">
            <a:extLst>
              <a:ext uri="{FF2B5EF4-FFF2-40B4-BE49-F238E27FC236}">
                <a16:creationId xmlns:a16="http://schemas.microsoft.com/office/drawing/2014/main" id="{00000000-0008-0000-0200-000015240000}"/>
              </a:ext>
            </a:extLst>
          </xdr:cNvPr>
          <xdr:cNvSpPr>
            <a:spLocks noChangeArrowheads="1"/>
          </xdr:cNvSpPr>
        </xdr:nvSpPr>
        <xdr:spPr bwMode="auto">
          <a:xfrm>
            <a:off x="69" y="148"/>
            <a:ext cx="145"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RPI &amp; Official Bank </a:t>
            </a:r>
          </a:p>
        </xdr:txBody>
      </xdr:sp>
      <xdr:sp macro="" textlink="">
        <xdr:nvSpPr>
          <xdr:cNvPr id="9238" name="Rectangle 22">
            <a:extLst>
              <a:ext uri="{FF2B5EF4-FFF2-40B4-BE49-F238E27FC236}">
                <a16:creationId xmlns:a16="http://schemas.microsoft.com/office/drawing/2014/main" id="{00000000-0008-0000-0200-000016240000}"/>
              </a:ext>
            </a:extLst>
          </xdr:cNvPr>
          <xdr:cNvSpPr>
            <a:spLocks noChangeArrowheads="1"/>
          </xdr:cNvSpPr>
        </xdr:nvSpPr>
        <xdr:spPr bwMode="auto">
          <a:xfrm>
            <a:off x="119" y="164"/>
            <a:ext cx="34" cy="19"/>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Rate</a:t>
            </a:r>
          </a:p>
        </xdr:txBody>
      </xdr:sp>
      <xdr:sp macro="" textlink="">
        <xdr:nvSpPr>
          <xdr:cNvPr id="9239" name="Freeform 23">
            <a:extLst>
              <a:ext uri="{FF2B5EF4-FFF2-40B4-BE49-F238E27FC236}">
                <a16:creationId xmlns:a16="http://schemas.microsoft.com/office/drawing/2014/main" id="{00000000-0008-0000-0200-000017240000}"/>
              </a:ext>
            </a:extLst>
          </xdr:cNvPr>
          <xdr:cNvSpPr>
            <a:spLocks noEditPoints="1"/>
          </xdr:cNvSpPr>
        </xdr:nvSpPr>
        <xdr:spPr bwMode="auto">
          <a:xfrm>
            <a:off x="128" y="231"/>
            <a:ext cx="159" cy="27"/>
          </a:xfrm>
          <a:custGeom>
            <a:avLst/>
            <a:gdLst/>
            <a:ahLst/>
            <a:cxnLst>
              <a:cxn ang="0">
                <a:pos x="0" y="8"/>
              </a:cxn>
              <a:cxn ang="0">
                <a:pos x="8" y="0"/>
              </a:cxn>
              <a:cxn ang="0">
                <a:pos x="2888" y="0"/>
              </a:cxn>
              <a:cxn ang="0">
                <a:pos x="2896" y="8"/>
              </a:cxn>
              <a:cxn ang="0">
                <a:pos x="2896" y="488"/>
              </a:cxn>
              <a:cxn ang="0">
                <a:pos x="2888" y="496"/>
              </a:cxn>
              <a:cxn ang="0">
                <a:pos x="8" y="496"/>
              </a:cxn>
              <a:cxn ang="0">
                <a:pos x="0" y="488"/>
              </a:cxn>
              <a:cxn ang="0">
                <a:pos x="0" y="8"/>
              </a:cxn>
              <a:cxn ang="0">
                <a:pos x="16" y="488"/>
              </a:cxn>
              <a:cxn ang="0">
                <a:pos x="8" y="480"/>
              </a:cxn>
              <a:cxn ang="0">
                <a:pos x="2888" y="480"/>
              </a:cxn>
              <a:cxn ang="0">
                <a:pos x="2880" y="488"/>
              </a:cxn>
              <a:cxn ang="0">
                <a:pos x="2880" y="8"/>
              </a:cxn>
              <a:cxn ang="0">
                <a:pos x="2888" y="16"/>
              </a:cxn>
              <a:cxn ang="0">
                <a:pos x="8" y="16"/>
              </a:cxn>
              <a:cxn ang="0">
                <a:pos x="16" y="8"/>
              </a:cxn>
              <a:cxn ang="0">
                <a:pos x="16" y="488"/>
              </a:cxn>
            </a:cxnLst>
            <a:rect l="0" t="0" r="r" b="b"/>
            <a:pathLst>
              <a:path w="2896" h="496">
                <a:moveTo>
                  <a:pt x="0" y="8"/>
                </a:moveTo>
                <a:cubicBezTo>
                  <a:pt x="0" y="4"/>
                  <a:pt x="4" y="0"/>
                  <a:pt x="8" y="0"/>
                </a:cubicBezTo>
                <a:lnTo>
                  <a:pt x="2888" y="0"/>
                </a:lnTo>
                <a:cubicBezTo>
                  <a:pt x="2893" y="0"/>
                  <a:pt x="2896" y="4"/>
                  <a:pt x="2896" y="8"/>
                </a:cubicBezTo>
                <a:lnTo>
                  <a:pt x="2896" y="488"/>
                </a:lnTo>
                <a:cubicBezTo>
                  <a:pt x="2896" y="493"/>
                  <a:pt x="2893" y="496"/>
                  <a:pt x="2888" y="496"/>
                </a:cubicBezTo>
                <a:lnTo>
                  <a:pt x="8" y="496"/>
                </a:lnTo>
                <a:cubicBezTo>
                  <a:pt x="4" y="496"/>
                  <a:pt x="0" y="493"/>
                  <a:pt x="0" y="488"/>
                </a:cubicBezTo>
                <a:lnTo>
                  <a:pt x="0" y="8"/>
                </a:lnTo>
                <a:close/>
                <a:moveTo>
                  <a:pt x="16" y="488"/>
                </a:moveTo>
                <a:lnTo>
                  <a:pt x="8" y="480"/>
                </a:lnTo>
                <a:lnTo>
                  <a:pt x="2888" y="480"/>
                </a:lnTo>
                <a:lnTo>
                  <a:pt x="2880" y="488"/>
                </a:lnTo>
                <a:lnTo>
                  <a:pt x="2880" y="8"/>
                </a:lnTo>
                <a:lnTo>
                  <a:pt x="2888" y="16"/>
                </a:lnTo>
                <a:lnTo>
                  <a:pt x="8" y="16"/>
                </a:lnTo>
                <a:lnTo>
                  <a:pt x="16" y="8"/>
                </a:lnTo>
                <a:lnTo>
                  <a:pt x="16" y="488"/>
                </a:lnTo>
                <a:close/>
              </a:path>
            </a:pathLst>
          </a:custGeom>
          <a:solidFill>
            <a:srgbClr val="000000"/>
          </a:solidFill>
          <a:ln w="0" cap="flat">
            <a:solidFill>
              <a:srgbClr val="000000"/>
            </a:solidFill>
            <a:prstDash val="solid"/>
            <a:round/>
            <a:headEnd/>
            <a:tailEnd/>
          </a:ln>
        </xdr:spPr>
      </xdr:sp>
      <xdr:sp macro="" textlink="">
        <xdr:nvSpPr>
          <xdr:cNvPr id="9240" name="Rectangle 24">
            <a:extLst>
              <a:ext uri="{FF2B5EF4-FFF2-40B4-BE49-F238E27FC236}">
                <a16:creationId xmlns:a16="http://schemas.microsoft.com/office/drawing/2014/main" id="{00000000-0008-0000-0200-000018240000}"/>
              </a:ext>
            </a:extLst>
          </xdr:cNvPr>
          <xdr:cNvSpPr>
            <a:spLocks noChangeArrowheads="1"/>
          </xdr:cNvSpPr>
        </xdr:nvSpPr>
        <xdr:spPr bwMode="auto">
          <a:xfrm>
            <a:off x="147" y="236"/>
            <a:ext cx="131" cy="19"/>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Correction Factor</a:t>
            </a:r>
          </a:p>
        </xdr:txBody>
      </xdr:sp>
      <xdr:sp macro="" textlink="">
        <xdr:nvSpPr>
          <xdr:cNvPr id="9241" name="Freeform 25">
            <a:extLst>
              <a:ext uri="{FF2B5EF4-FFF2-40B4-BE49-F238E27FC236}">
                <a16:creationId xmlns:a16="http://schemas.microsoft.com/office/drawing/2014/main" id="{00000000-0008-0000-0200-000019240000}"/>
              </a:ext>
            </a:extLst>
          </xdr:cNvPr>
          <xdr:cNvSpPr>
            <a:spLocks noEditPoints="1"/>
          </xdr:cNvSpPr>
        </xdr:nvSpPr>
        <xdr:spPr bwMode="auto">
          <a:xfrm>
            <a:off x="344" y="238"/>
            <a:ext cx="160" cy="60"/>
          </a:xfrm>
          <a:custGeom>
            <a:avLst/>
            <a:gdLst/>
            <a:ahLst/>
            <a:cxnLst>
              <a:cxn ang="0">
                <a:pos x="0" y="8"/>
              </a:cxn>
              <a:cxn ang="0">
                <a:pos x="8" y="0"/>
              </a:cxn>
              <a:cxn ang="0">
                <a:pos x="2904" y="0"/>
              </a:cxn>
              <a:cxn ang="0">
                <a:pos x="2912" y="8"/>
              </a:cxn>
              <a:cxn ang="0">
                <a:pos x="2912" y="1080"/>
              </a:cxn>
              <a:cxn ang="0">
                <a:pos x="2904" y="1088"/>
              </a:cxn>
              <a:cxn ang="0">
                <a:pos x="8" y="1088"/>
              </a:cxn>
              <a:cxn ang="0">
                <a:pos x="0" y="1080"/>
              </a:cxn>
              <a:cxn ang="0">
                <a:pos x="0" y="8"/>
              </a:cxn>
              <a:cxn ang="0">
                <a:pos x="16" y="1080"/>
              </a:cxn>
              <a:cxn ang="0">
                <a:pos x="8" y="1072"/>
              </a:cxn>
              <a:cxn ang="0">
                <a:pos x="2904" y="1072"/>
              </a:cxn>
              <a:cxn ang="0">
                <a:pos x="2896" y="1080"/>
              </a:cxn>
              <a:cxn ang="0">
                <a:pos x="2896" y="8"/>
              </a:cxn>
              <a:cxn ang="0">
                <a:pos x="2904" y="16"/>
              </a:cxn>
              <a:cxn ang="0">
                <a:pos x="8" y="16"/>
              </a:cxn>
              <a:cxn ang="0">
                <a:pos x="16" y="8"/>
              </a:cxn>
              <a:cxn ang="0">
                <a:pos x="16" y="1080"/>
              </a:cxn>
            </a:cxnLst>
            <a:rect l="0" t="0" r="r" b="b"/>
            <a:pathLst>
              <a:path w="2912" h="1088">
                <a:moveTo>
                  <a:pt x="0" y="8"/>
                </a:moveTo>
                <a:cubicBezTo>
                  <a:pt x="0" y="4"/>
                  <a:pt x="4" y="0"/>
                  <a:pt x="8" y="0"/>
                </a:cubicBezTo>
                <a:lnTo>
                  <a:pt x="2904" y="0"/>
                </a:lnTo>
                <a:cubicBezTo>
                  <a:pt x="2909" y="0"/>
                  <a:pt x="2912" y="4"/>
                  <a:pt x="2912" y="8"/>
                </a:cubicBezTo>
                <a:lnTo>
                  <a:pt x="2912" y="1080"/>
                </a:lnTo>
                <a:cubicBezTo>
                  <a:pt x="2912" y="1085"/>
                  <a:pt x="2909" y="1088"/>
                  <a:pt x="2904" y="1088"/>
                </a:cubicBezTo>
                <a:lnTo>
                  <a:pt x="8" y="1088"/>
                </a:lnTo>
                <a:cubicBezTo>
                  <a:pt x="4" y="1088"/>
                  <a:pt x="0" y="1085"/>
                  <a:pt x="0" y="1080"/>
                </a:cubicBezTo>
                <a:lnTo>
                  <a:pt x="0" y="8"/>
                </a:lnTo>
                <a:close/>
                <a:moveTo>
                  <a:pt x="16" y="1080"/>
                </a:moveTo>
                <a:lnTo>
                  <a:pt x="8" y="1072"/>
                </a:lnTo>
                <a:lnTo>
                  <a:pt x="2904" y="1072"/>
                </a:lnTo>
                <a:lnTo>
                  <a:pt x="2896" y="1080"/>
                </a:lnTo>
                <a:lnTo>
                  <a:pt x="2896" y="8"/>
                </a:lnTo>
                <a:lnTo>
                  <a:pt x="2904" y="16"/>
                </a:lnTo>
                <a:lnTo>
                  <a:pt x="8" y="16"/>
                </a:lnTo>
                <a:lnTo>
                  <a:pt x="16" y="8"/>
                </a:lnTo>
                <a:lnTo>
                  <a:pt x="16" y="1080"/>
                </a:lnTo>
                <a:close/>
              </a:path>
            </a:pathLst>
          </a:custGeom>
          <a:solidFill>
            <a:srgbClr val="000000"/>
          </a:solidFill>
          <a:ln w="0" cap="flat">
            <a:solidFill>
              <a:srgbClr val="000000"/>
            </a:solidFill>
            <a:prstDash val="solid"/>
            <a:round/>
            <a:headEnd/>
            <a:tailEnd/>
          </a:ln>
        </xdr:spPr>
      </xdr:sp>
      <xdr:sp macro="" textlink="">
        <xdr:nvSpPr>
          <xdr:cNvPr id="9242" name="Rectangle 26">
            <a:extLst>
              <a:ext uri="{FF2B5EF4-FFF2-40B4-BE49-F238E27FC236}">
                <a16:creationId xmlns:a16="http://schemas.microsoft.com/office/drawing/2014/main" id="{00000000-0008-0000-0200-00001A240000}"/>
              </a:ext>
            </a:extLst>
          </xdr:cNvPr>
          <xdr:cNvSpPr>
            <a:spLocks noChangeArrowheads="1"/>
          </xdr:cNvSpPr>
        </xdr:nvSpPr>
        <xdr:spPr bwMode="auto">
          <a:xfrm>
            <a:off x="365" y="248"/>
            <a:ext cx="70"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Combined</a:t>
            </a:r>
          </a:p>
        </xdr:txBody>
      </xdr:sp>
      <xdr:sp macro="" textlink="">
        <xdr:nvSpPr>
          <xdr:cNvPr id="9243" name="Rectangle 27">
            <a:extLst>
              <a:ext uri="{FF2B5EF4-FFF2-40B4-BE49-F238E27FC236}">
                <a16:creationId xmlns:a16="http://schemas.microsoft.com/office/drawing/2014/main" id="{00000000-0008-0000-0200-00001B240000}"/>
              </a:ext>
            </a:extLst>
          </xdr:cNvPr>
          <xdr:cNvSpPr>
            <a:spLocks noChangeArrowheads="1"/>
          </xdr:cNvSpPr>
        </xdr:nvSpPr>
        <xdr:spPr bwMode="auto">
          <a:xfrm>
            <a:off x="384" y="259"/>
            <a:ext cx="5"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 </a:t>
            </a:r>
          </a:p>
        </xdr:txBody>
      </xdr:sp>
      <xdr:sp macro="" textlink="">
        <xdr:nvSpPr>
          <xdr:cNvPr id="9244" name="Rectangle 28">
            <a:extLst>
              <a:ext uri="{FF2B5EF4-FFF2-40B4-BE49-F238E27FC236}">
                <a16:creationId xmlns:a16="http://schemas.microsoft.com/office/drawing/2014/main" id="{00000000-0008-0000-0200-00001C240000}"/>
              </a:ext>
            </a:extLst>
          </xdr:cNvPr>
          <xdr:cNvSpPr>
            <a:spLocks noChangeArrowheads="1"/>
          </xdr:cNvSpPr>
        </xdr:nvSpPr>
        <xdr:spPr bwMode="auto">
          <a:xfrm>
            <a:off x="365" y="269"/>
            <a:ext cx="119"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Allowed Revenue</a:t>
            </a:r>
          </a:p>
        </xdr:txBody>
      </xdr:sp>
      <xdr:sp macro="" textlink="">
        <xdr:nvSpPr>
          <xdr:cNvPr id="9245" name="Freeform 29">
            <a:extLst>
              <a:ext uri="{FF2B5EF4-FFF2-40B4-BE49-F238E27FC236}">
                <a16:creationId xmlns:a16="http://schemas.microsoft.com/office/drawing/2014/main" id="{00000000-0008-0000-0200-00001D240000}"/>
              </a:ext>
            </a:extLst>
          </xdr:cNvPr>
          <xdr:cNvSpPr>
            <a:spLocks noEditPoints="1"/>
          </xdr:cNvSpPr>
        </xdr:nvSpPr>
        <xdr:spPr bwMode="auto">
          <a:xfrm>
            <a:off x="575" y="168"/>
            <a:ext cx="198" cy="77"/>
          </a:xfrm>
          <a:custGeom>
            <a:avLst/>
            <a:gdLst/>
            <a:ahLst/>
            <a:cxnLst>
              <a:cxn ang="0">
                <a:pos x="0" y="8"/>
              </a:cxn>
              <a:cxn ang="0">
                <a:pos x="8" y="0"/>
              </a:cxn>
              <a:cxn ang="0">
                <a:pos x="3608" y="0"/>
              </a:cxn>
              <a:cxn ang="0">
                <a:pos x="3616" y="8"/>
              </a:cxn>
              <a:cxn ang="0">
                <a:pos x="3616" y="1400"/>
              </a:cxn>
              <a:cxn ang="0">
                <a:pos x="3608" y="1408"/>
              </a:cxn>
              <a:cxn ang="0">
                <a:pos x="8" y="1408"/>
              </a:cxn>
              <a:cxn ang="0">
                <a:pos x="0" y="1400"/>
              </a:cxn>
              <a:cxn ang="0">
                <a:pos x="0" y="8"/>
              </a:cxn>
              <a:cxn ang="0">
                <a:pos x="16" y="1400"/>
              </a:cxn>
              <a:cxn ang="0">
                <a:pos x="8" y="1392"/>
              </a:cxn>
              <a:cxn ang="0">
                <a:pos x="3608" y="1392"/>
              </a:cxn>
              <a:cxn ang="0">
                <a:pos x="3600" y="1400"/>
              </a:cxn>
              <a:cxn ang="0">
                <a:pos x="3600" y="8"/>
              </a:cxn>
              <a:cxn ang="0">
                <a:pos x="3608" y="16"/>
              </a:cxn>
              <a:cxn ang="0">
                <a:pos x="8" y="16"/>
              </a:cxn>
              <a:cxn ang="0">
                <a:pos x="16" y="8"/>
              </a:cxn>
              <a:cxn ang="0">
                <a:pos x="16" y="1400"/>
              </a:cxn>
            </a:cxnLst>
            <a:rect l="0" t="0" r="r" b="b"/>
            <a:pathLst>
              <a:path w="3616" h="1408">
                <a:moveTo>
                  <a:pt x="0" y="8"/>
                </a:moveTo>
                <a:cubicBezTo>
                  <a:pt x="0" y="4"/>
                  <a:pt x="4" y="0"/>
                  <a:pt x="8" y="0"/>
                </a:cubicBezTo>
                <a:lnTo>
                  <a:pt x="3608" y="0"/>
                </a:lnTo>
                <a:cubicBezTo>
                  <a:pt x="3613" y="0"/>
                  <a:pt x="3616" y="4"/>
                  <a:pt x="3616" y="8"/>
                </a:cubicBezTo>
                <a:lnTo>
                  <a:pt x="3616" y="1400"/>
                </a:lnTo>
                <a:cubicBezTo>
                  <a:pt x="3616" y="1405"/>
                  <a:pt x="3613" y="1408"/>
                  <a:pt x="3608" y="1408"/>
                </a:cubicBezTo>
                <a:lnTo>
                  <a:pt x="8" y="1408"/>
                </a:lnTo>
                <a:cubicBezTo>
                  <a:pt x="4" y="1408"/>
                  <a:pt x="0" y="1405"/>
                  <a:pt x="0" y="1400"/>
                </a:cubicBezTo>
                <a:lnTo>
                  <a:pt x="0" y="8"/>
                </a:lnTo>
                <a:close/>
                <a:moveTo>
                  <a:pt x="16" y="1400"/>
                </a:moveTo>
                <a:lnTo>
                  <a:pt x="8" y="1392"/>
                </a:lnTo>
                <a:lnTo>
                  <a:pt x="3608" y="1392"/>
                </a:lnTo>
                <a:lnTo>
                  <a:pt x="3600" y="1400"/>
                </a:lnTo>
                <a:lnTo>
                  <a:pt x="3600" y="8"/>
                </a:lnTo>
                <a:lnTo>
                  <a:pt x="3608" y="16"/>
                </a:lnTo>
                <a:lnTo>
                  <a:pt x="8" y="16"/>
                </a:lnTo>
                <a:lnTo>
                  <a:pt x="16" y="8"/>
                </a:lnTo>
                <a:lnTo>
                  <a:pt x="16" y="1400"/>
                </a:lnTo>
                <a:close/>
              </a:path>
            </a:pathLst>
          </a:custGeom>
          <a:solidFill>
            <a:srgbClr val="000000"/>
          </a:solidFill>
          <a:ln w="0" cap="flat">
            <a:solidFill>
              <a:srgbClr val="000000"/>
            </a:solidFill>
            <a:prstDash val="solid"/>
            <a:round/>
            <a:headEnd/>
            <a:tailEnd/>
          </a:ln>
        </xdr:spPr>
      </xdr:sp>
      <xdr:sp macro="" textlink="">
        <xdr:nvSpPr>
          <xdr:cNvPr id="9247" name="Rectangle 31">
            <a:extLst>
              <a:ext uri="{FF2B5EF4-FFF2-40B4-BE49-F238E27FC236}">
                <a16:creationId xmlns:a16="http://schemas.microsoft.com/office/drawing/2014/main" id="{00000000-0008-0000-0200-00001F240000}"/>
              </a:ext>
            </a:extLst>
          </xdr:cNvPr>
          <xdr:cNvSpPr>
            <a:spLocks noChangeArrowheads="1"/>
          </xdr:cNvSpPr>
        </xdr:nvSpPr>
        <xdr:spPr bwMode="auto">
          <a:xfrm>
            <a:off x="589" y="173"/>
            <a:ext cx="0" cy="18"/>
          </a:xfrm>
          <a:prstGeom prst="rect">
            <a:avLst/>
          </a:prstGeom>
          <a:noFill/>
          <a:ln w="9525">
            <a:noFill/>
            <a:miter lim="800000"/>
            <a:headEnd/>
            <a:tailEnd/>
          </a:ln>
        </xdr:spPr>
        <xdr:txBody>
          <a:bodyPr wrap="none" lIns="0" tIns="0" rIns="0" bIns="0" anchor="t" upright="1">
            <a:spAutoFit/>
          </a:bodyPr>
          <a:lstStyle/>
          <a:p>
            <a:pPr algn="l" rtl="0">
              <a:defRPr sz="1000"/>
            </a:pPr>
            <a:endParaRPr lang="en-GB" sz="1100" b="0" i="0" u="none" strike="noStrike" baseline="0">
              <a:solidFill>
                <a:srgbClr val="000000"/>
              </a:solidFill>
              <a:latin typeface="Verdana"/>
              <a:ea typeface="Verdana"/>
              <a:cs typeface="Verdana"/>
            </a:endParaRPr>
          </a:p>
        </xdr:txBody>
      </xdr:sp>
      <xdr:sp macro="" textlink="">
        <xdr:nvSpPr>
          <xdr:cNvPr id="9248" name="Rectangle 32">
            <a:extLst>
              <a:ext uri="{FF2B5EF4-FFF2-40B4-BE49-F238E27FC236}">
                <a16:creationId xmlns:a16="http://schemas.microsoft.com/office/drawing/2014/main" id="{00000000-0008-0000-0200-000020240000}"/>
              </a:ext>
            </a:extLst>
          </xdr:cNvPr>
          <xdr:cNvSpPr>
            <a:spLocks noChangeArrowheads="1"/>
          </xdr:cNvSpPr>
        </xdr:nvSpPr>
        <xdr:spPr bwMode="auto">
          <a:xfrm>
            <a:off x="584" y="178"/>
            <a:ext cx="5" cy="17"/>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Arial"/>
                <a:cs typeface="Arial"/>
              </a:rPr>
              <a:t>•</a:t>
            </a:r>
          </a:p>
        </xdr:txBody>
      </xdr:sp>
      <xdr:sp macro="" textlink="">
        <xdr:nvSpPr>
          <xdr:cNvPr id="9249" name="Rectangle 33">
            <a:extLst>
              <a:ext uri="{FF2B5EF4-FFF2-40B4-BE49-F238E27FC236}">
                <a16:creationId xmlns:a16="http://schemas.microsoft.com/office/drawing/2014/main" id="{00000000-0008-0000-0200-000021240000}"/>
              </a:ext>
            </a:extLst>
          </xdr:cNvPr>
          <xdr:cNvSpPr>
            <a:spLocks noChangeArrowheads="1"/>
          </xdr:cNvSpPr>
        </xdr:nvSpPr>
        <xdr:spPr bwMode="auto">
          <a:xfrm>
            <a:off x="589" y="178"/>
            <a:ext cx="136"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  Excluded Services</a:t>
            </a:r>
          </a:p>
        </xdr:txBody>
      </xdr:sp>
      <xdr:sp macro="" textlink="">
        <xdr:nvSpPr>
          <xdr:cNvPr id="9250" name="Rectangle 34">
            <a:extLst>
              <a:ext uri="{FF2B5EF4-FFF2-40B4-BE49-F238E27FC236}">
                <a16:creationId xmlns:a16="http://schemas.microsoft.com/office/drawing/2014/main" id="{00000000-0008-0000-0200-000022240000}"/>
              </a:ext>
            </a:extLst>
          </xdr:cNvPr>
          <xdr:cNvSpPr>
            <a:spLocks noChangeArrowheads="1"/>
          </xdr:cNvSpPr>
        </xdr:nvSpPr>
        <xdr:spPr bwMode="auto">
          <a:xfrm>
            <a:off x="584" y="207"/>
            <a:ext cx="5" cy="17"/>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Arial"/>
                <a:cs typeface="Arial"/>
              </a:rPr>
              <a:t>•</a:t>
            </a:r>
          </a:p>
        </xdr:txBody>
      </xdr:sp>
      <xdr:sp macro="" textlink="">
        <xdr:nvSpPr>
          <xdr:cNvPr id="9251" name="Rectangle 35">
            <a:extLst>
              <a:ext uri="{FF2B5EF4-FFF2-40B4-BE49-F238E27FC236}">
                <a16:creationId xmlns:a16="http://schemas.microsoft.com/office/drawing/2014/main" id="{00000000-0008-0000-0200-000023240000}"/>
              </a:ext>
            </a:extLst>
          </xdr:cNvPr>
          <xdr:cNvSpPr>
            <a:spLocks noChangeArrowheads="1"/>
          </xdr:cNvSpPr>
        </xdr:nvSpPr>
        <xdr:spPr bwMode="auto">
          <a:xfrm>
            <a:off x="589" y="206"/>
            <a:ext cx="162"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  Outside Price Control </a:t>
            </a:r>
          </a:p>
        </xdr:txBody>
      </xdr:sp>
      <xdr:sp macro="" textlink="">
        <xdr:nvSpPr>
          <xdr:cNvPr id="9252" name="Rectangle 36">
            <a:extLst>
              <a:ext uri="{FF2B5EF4-FFF2-40B4-BE49-F238E27FC236}">
                <a16:creationId xmlns:a16="http://schemas.microsoft.com/office/drawing/2014/main" id="{00000000-0008-0000-0200-000024240000}"/>
              </a:ext>
            </a:extLst>
          </xdr:cNvPr>
          <xdr:cNvSpPr>
            <a:spLocks noChangeArrowheads="1"/>
          </xdr:cNvSpPr>
        </xdr:nvSpPr>
        <xdr:spPr bwMode="auto">
          <a:xfrm>
            <a:off x="599" y="221"/>
            <a:ext cx="112"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and De Minimis </a:t>
            </a:r>
          </a:p>
        </xdr:txBody>
      </xdr:sp>
      <xdr:sp macro="" textlink="">
        <xdr:nvSpPr>
          <xdr:cNvPr id="9254" name="Freeform 38">
            <a:extLst>
              <a:ext uri="{FF2B5EF4-FFF2-40B4-BE49-F238E27FC236}">
                <a16:creationId xmlns:a16="http://schemas.microsoft.com/office/drawing/2014/main" id="{00000000-0008-0000-0200-000026240000}"/>
              </a:ext>
            </a:extLst>
          </xdr:cNvPr>
          <xdr:cNvSpPr>
            <a:spLocks noEditPoints="1"/>
          </xdr:cNvSpPr>
        </xdr:nvSpPr>
        <xdr:spPr bwMode="auto">
          <a:xfrm>
            <a:off x="239" y="343"/>
            <a:ext cx="160" cy="77"/>
          </a:xfrm>
          <a:custGeom>
            <a:avLst/>
            <a:gdLst/>
            <a:ahLst/>
            <a:cxnLst>
              <a:cxn ang="0">
                <a:pos x="0" y="8"/>
              </a:cxn>
              <a:cxn ang="0">
                <a:pos x="8" y="0"/>
              </a:cxn>
              <a:cxn ang="0">
                <a:pos x="2904" y="0"/>
              </a:cxn>
              <a:cxn ang="0">
                <a:pos x="2912" y="8"/>
              </a:cxn>
              <a:cxn ang="0">
                <a:pos x="2912" y="1400"/>
              </a:cxn>
              <a:cxn ang="0">
                <a:pos x="2904" y="1408"/>
              </a:cxn>
              <a:cxn ang="0">
                <a:pos x="8" y="1408"/>
              </a:cxn>
              <a:cxn ang="0">
                <a:pos x="0" y="1400"/>
              </a:cxn>
              <a:cxn ang="0">
                <a:pos x="0" y="8"/>
              </a:cxn>
              <a:cxn ang="0">
                <a:pos x="16" y="1400"/>
              </a:cxn>
              <a:cxn ang="0">
                <a:pos x="8" y="1392"/>
              </a:cxn>
              <a:cxn ang="0">
                <a:pos x="2904" y="1392"/>
              </a:cxn>
              <a:cxn ang="0">
                <a:pos x="2896" y="1400"/>
              </a:cxn>
              <a:cxn ang="0">
                <a:pos x="2896" y="8"/>
              </a:cxn>
              <a:cxn ang="0">
                <a:pos x="2904" y="16"/>
              </a:cxn>
              <a:cxn ang="0">
                <a:pos x="8" y="16"/>
              </a:cxn>
              <a:cxn ang="0">
                <a:pos x="16" y="8"/>
              </a:cxn>
              <a:cxn ang="0">
                <a:pos x="16" y="1400"/>
              </a:cxn>
            </a:cxnLst>
            <a:rect l="0" t="0" r="r" b="b"/>
            <a:pathLst>
              <a:path w="2912" h="1408">
                <a:moveTo>
                  <a:pt x="0" y="8"/>
                </a:moveTo>
                <a:cubicBezTo>
                  <a:pt x="0" y="4"/>
                  <a:pt x="4" y="0"/>
                  <a:pt x="8" y="0"/>
                </a:cubicBezTo>
                <a:lnTo>
                  <a:pt x="2904" y="0"/>
                </a:lnTo>
                <a:cubicBezTo>
                  <a:pt x="2909" y="0"/>
                  <a:pt x="2912" y="4"/>
                  <a:pt x="2912" y="8"/>
                </a:cubicBezTo>
                <a:lnTo>
                  <a:pt x="2912" y="1400"/>
                </a:lnTo>
                <a:cubicBezTo>
                  <a:pt x="2912" y="1405"/>
                  <a:pt x="2909" y="1408"/>
                  <a:pt x="2904" y="1408"/>
                </a:cubicBezTo>
                <a:lnTo>
                  <a:pt x="8" y="1408"/>
                </a:lnTo>
                <a:cubicBezTo>
                  <a:pt x="4" y="1408"/>
                  <a:pt x="0" y="1405"/>
                  <a:pt x="0" y="1400"/>
                </a:cubicBezTo>
                <a:lnTo>
                  <a:pt x="0" y="8"/>
                </a:lnTo>
                <a:close/>
                <a:moveTo>
                  <a:pt x="16" y="1400"/>
                </a:moveTo>
                <a:lnTo>
                  <a:pt x="8" y="1392"/>
                </a:lnTo>
                <a:lnTo>
                  <a:pt x="2904" y="1392"/>
                </a:lnTo>
                <a:lnTo>
                  <a:pt x="2896" y="1400"/>
                </a:lnTo>
                <a:lnTo>
                  <a:pt x="2896" y="8"/>
                </a:lnTo>
                <a:lnTo>
                  <a:pt x="2904" y="16"/>
                </a:lnTo>
                <a:lnTo>
                  <a:pt x="8" y="16"/>
                </a:lnTo>
                <a:lnTo>
                  <a:pt x="16" y="8"/>
                </a:lnTo>
                <a:lnTo>
                  <a:pt x="16" y="1400"/>
                </a:lnTo>
                <a:close/>
              </a:path>
            </a:pathLst>
          </a:custGeom>
          <a:solidFill>
            <a:srgbClr val="000000"/>
          </a:solidFill>
          <a:ln w="0" cap="flat">
            <a:solidFill>
              <a:srgbClr val="000000"/>
            </a:solidFill>
            <a:prstDash val="solid"/>
            <a:round/>
            <a:headEnd/>
            <a:tailEnd/>
          </a:ln>
        </xdr:spPr>
      </xdr:sp>
      <xdr:sp macro="" textlink="">
        <xdr:nvSpPr>
          <xdr:cNvPr id="9255" name="Rectangle 39">
            <a:extLst>
              <a:ext uri="{FF2B5EF4-FFF2-40B4-BE49-F238E27FC236}">
                <a16:creationId xmlns:a16="http://schemas.microsoft.com/office/drawing/2014/main" id="{00000000-0008-0000-0200-000027240000}"/>
              </a:ext>
            </a:extLst>
          </xdr:cNvPr>
          <xdr:cNvSpPr>
            <a:spLocks noChangeArrowheads="1"/>
          </xdr:cNvSpPr>
        </xdr:nvSpPr>
        <xdr:spPr bwMode="auto">
          <a:xfrm>
            <a:off x="249" y="363"/>
            <a:ext cx="80"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Regulated </a:t>
            </a:r>
          </a:p>
        </xdr:txBody>
      </xdr:sp>
      <xdr:sp macro="" textlink="">
        <xdr:nvSpPr>
          <xdr:cNvPr id="9256" name="Rectangle 40">
            <a:extLst>
              <a:ext uri="{FF2B5EF4-FFF2-40B4-BE49-F238E27FC236}">
                <a16:creationId xmlns:a16="http://schemas.microsoft.com/office/drawing/2014/main" id="{00000000-0008-0000-0200-000028240000}"/>
              </a:ext>
            </a:extLst>
          </xdr:cNvPr>
          <xdr:cNvSpPr>
            <a:spLocks noChangeArrowheads="1"/>
          </xdr:cNvSpPr>
        </xdr:nvSpPr>
        <xdr:spPr bwMode="auto">
          <a:xfrm>
            <a:off x="249" y="384"/>
            <a:ext cx="145"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Combined Revenue </a:t>
            </a:r>
          </a:p>
        </xdr:txBody>
      </xdr:sp>
      <xdr:sp macro="" textlink="">
        <xdr:nvSpPr>
          <xdr:cNvPr id="9257" name="Rectangle 41">
            <a:extLst>
              <a:ext uri="{FF2B5EF4-FFF2-40B4-BE49-F238E27FC236}">
                <a16:creationId xmlns:a16="http://schemas.microsoft.com/office/drawing/2014/main" id="{00000000-0008-0000-0200-000029240000}"/>
              </a:ext>
            </a:extLst>
          </xdr:cNvPr>
          <xdr:cNvSpPr>
            <a:spLocks noChangeArrowheads="1"/>
          </xdr:cNvSpPr>
        </xdr:nvSpPr>
        <xdr:spPr bwMode="auto">
          <a:xfrm>
            <a:off x="279" y="381"/>
            <a:ext cx="0" cy="18"/>
          </a:xfrm>
          <a:prstGeom prst="rect">
            <a:avLst/>
          </a:prstGeom>
          <a:noFill/>
          <a:ln w="9525">
            <a:noFill/>
            <a:miter lim="800000"/>
            <a:headEnd/>
            <a:tailEnd/>
          </a:ln>
        </xdr:spPr>
        <xdr:txBody>
          <a:bodyPr wrap="none" lIns="0" tIns="0" rIns="0" bIns="0" anchor="t" upright="1">
            <a:spAutoFit/>
          </a:bodyPr>
          <a:lstStyle/>
          <a:p>
            <a:pPr algn="l" rtl="0">
              <a:defRPr sz="1000"/>
            </a:pPr>
            <a:endParaRPr lang="en-GB" sz="1100" b="0" i="0" u="none" strike="noStrike" baseline="0">
              <a:solidFill>
                <a:srgbClr val="000000"/>
              </a:solidFill>
              <a:latin typeface="Verdana"/>
              <a:ea typeface="Verdana"/>
              <a:cs typeface="Verdana"/>
            </a:endParaRPr>
          </a:p>
        </xdr:txBody>
      </xdr:sp>
      <xdr:sp macro="" textlink="">
        <xdr:nvSpPr>
          <xdr:cNvPr id="9259" name="Freeform 43">
            <a:extLst>
              <a:ext uri="{FF2B5EF4-FFF2-40B4-BE49-F238E27FC236}">
                <a16:creationId xmlns:a16="http://schemas.microsoft.com/office/drawing/2014/main" id="{00000000-0008-0000-0200-00002B240000}"/>
              </a:ext>
            </a:extLst>
          </xdr:cNvPr>
          <xdr:cNvSpPr>
            <a:spLocks noEditPoints="1"/>
          </xdr:cNvSpPr>
        </xdr:nvSpPr>
        <xdr:spPr bwMode="auto">
          <a:xfrm>
            <a:off x="435" y="193"/>
            <a:ext cx="42" cy="46"/>
          </a:xfrm>
          <a:custGeom>
            <a:avLst/>
            <a:gdLst/>
            <a:ahLst/>
            <a:cxnLst>
              <a:cxn ang="0">
                <a:pos x="966" y="13"/>
              </a:cxn>
              <a:cxn ang="0">
                <a:pos x="18" y="828"/>
              </a:cxn>
              <a:cxn ang="0">
                <a:pos x="7" y="816"/>
              </a:cxn>
              <a:cxn ang="0">
                <a:pos x="955" y="0"/>
              </a:cxn>
              <a:cxn ang="0">
                <a:pos x="966" y="13"/>
              </a:cxn>
              <a:cxn ang="0">
                <a:pos x="160" y="803"/>
              </a:cxn>
              <a:cxn ang="0">
                <a:pos x="0" y="832"/>
              </a:cxn>
              <a:cxn ang="0">
                <a:pos x="53" y="679"/>
              </a:cxn>
              <a:cxn ang="0">
                <a:pos x="63" y="674"/>
              </a:cxn>
              <a:cxn ang="0">
                <a:pos x="68" y="684"/>
              </a:cxn>
              <a:cxn ang="0">
                <a:pos x="20" y="824"/>
              </a:cxn>
              <a:cxn ang="0">
                <a:pos x="11" y="814"/>
              </a:cxn>
              <a:cxn ang="0">
                <a:pos x="157" y="787"/>
              </a:cxn>
              <a:cxn ang="0">
                <a:pos x="166" y="793"/>
              </a:cxn>
              <a:cxn ang="0">
                <a:pos x="160" y="803"/>
              </a:cxn>
            </a:cxnLst>
            <a:rect l="0" t="0" r="r" b="b"/>
            <a:pathLst>
              <a:path w="966" h="832">
                <a:moveTo>
                  <a:pt x="966" y="13"/>
                </a:moveTo>
                <a:lnTo>
                  <a:pt x="18" y="828"/>
                </a:lnTo>
                <a:lnTo>
                  <a:pt x="7" y="816"/>
                </a:lnTo>
                <a:lnTo>
                  <a:pt x="955" y="0"/>
                </a:lnTo>
                <a:lnTo>
                  <a:pt x="966" y="13"/>
                </a:lnTo>
                <a:close/>
                <a:moveTo>
                  <a:pt x="160" y="803"/>
                </a:moveTo>
                <a:lnTo>
                  <a:pt x="0" y="832"/>
                </a:lnTo>
                <a:lnTo>
                  <a:pt x="53" y="679"/>
                </a:lnTo>
                <a:cubicBezTo>
                  <a:pt x="55" y="675"/>
                  <a:pt x="59" y="673"/>
                  <a:pt x="63" y="674"/>
                </a:cubicBezTo>
                <a:cubicBezTo>
                  <a:pt x="68" y="675"/>
                  <a:pt x="70" y="680"/>
                  <a:pt x="68" y="684"/>
                </a:cubicBezTo>
                <a:lnTo>
                  <a:pt x="20" y="824"/>
                </a:lnTo>
                <a:lnTo>
                  <a:pt x="11" y="814"/>
                </a:lnTo>
                <a:lnTo>
                  <a:pt x="157" y="787"/>
                </a:lnTo>
                <a:cubicBezTo>
                  <a:pt x="161" y="786"/>
                  <a:pt x="165" y="789"/>
                  <a:pt x="166" y="793"/>
                </a:cubicBezTo>
                <a:cubicBezTo>
                  <a:pt x="167" y="798"/>
                  <a:pt x="164" y="802"/>
                  <a:pt x="160" y="803"/>
                </a:cubicBezTo>
                <a:close/>
              </a:path>
            </a:pathLst>
          </a:custGeom>
          <a:solidFill>
            <a:srgbClr val="4A7EBB"/>
          </a:solidFill>
          <a:ln w="0" cap="flat">
            <a:solidFill>
              <a:srgbClr val="4A7EBB"/>
            </a:solidFill>
            <a:prstDash val="solid"/>
            <a:round/>
            <a:headEnd/>
            <a:tailEnd/>
          </a:ln>
        </xdr:spPr>
      </xdr:sp>
      <xdr:sp macro="" textlink="">
        <xdr:nvSpPr>
          <xdr:cNvPr id="9260" name="Freeform 44">
            <a:extLst>
              <a:ext uri="{FF2B5EF4-FFF2-40B4-BE49-F238E27FC236}">
                <a16:creationId xmlns:a16="http://schemas.microsoft.com/office/drawing/2014/main" id="{00000000-0008-0000-0200-00002C240000}"/>
              </a:ext>
            </a:extLst>
          </xdr:cNvPr>
          <xdr:cNvSpPr>
            <a:spLocks noEditPoints="1"/>
          </xdr:cNvSpPr>
        </xdr:nvSpPr>
        <xdr:spPr bwMode="auto">
          <a:xfrm>
            <a:off x="273" y="113"/>
            <a:ext cx="151" cy="125"/>
          </a:xfrm>
          <a:custGeom>
            <a:avLst/>
            <a:gdLst/>
            <a:ahLst/>
            <a:cxnLst>
              <a:cxn ang="0">
                <a:pos x="11" y="0"/>
              </a:cxn>
              <a:cxn ang="0">
                <a:pos x="2758" y="2265"/>
              </a:cxn>
              <a:cxn ang="0">
                <a:pos x="2748" y="2277"/>
              </a:cxn>
              <a:cxn ang="0">
                <a:pos x="0" y="13"/>
              </a:cxn>
              <a:cxn ang="0">
                <a:pos x="11" y="0"/>
              </a:cxn>
              <a:cxn ang="0">
                <a:pos x="2709" y="2129"/>
              </a:cxn>
              <a:cxn ang="0">
                <a:pos x="2766" y="2281"/>
              </a:cxn>
              <a:cxn ang="0">
                <a:pos x="2606" y="2255"/>
              </a:cxn>
              <a:cxn ang="0">
                <a:pos x="2599" y="2246"/>
              </a:cxn>
              <a:cxn ang="0">
                <a:pos x="2608" y="2239"/>
              </a:cxn>
              <a:cxn ang="0">
                <a:pos x="2755" y="2263"/>
              </a:cxn>
              <a:cxn ang="0">
                <a:pos x="2746" y="2273"/>
              </a:cxn>
              <a:cxn ang="0">
                <a:pos x="2694" y="2134"/>
              </a:cxn>
              <a:cxn ang="0">
                <a:pos x="2699" y="2124"/>
              </a:cxn>
              <a:cxn ang="0">
                <a:pos x="2709" y="2129"/>
              </a:cxn>
            </a:cxnLst>
            <a:rect l="0" t="0" r="r" b="b"/>
            <a:pathLst>
              <a:path w="2766" h="2281">
                <a:moveTo>
                  <a:pt x="11" y="0"/>
                </a:moveTo>
                <a:lnTo>
                  <a:pt x="2758" y="2265"/>
                </a:lnTo>
                <a:lnTo>
                  <a:pt x="2748" y="2277"/>
                </a:lnTo>
                <a:lnTo>
                  <a:pt x="0" y="13"/>
                </a:lnTo>
                <a:lnTo>
                  <a:pt x="11" y="0"/>
                </a:lnTo>
                <a:close/>
                <a:moveTo>
                  <a:pt x="2709" y="2129"/>
                </a:moveTo>
                <a:lnTo>
                  <a:pt x="2766" y="2281"/>
                </a:lnTo>
                <a:lnTo>
                  <a:pt x="2606" y="2255"/>
                </a:lnTo>
                <a:cubicBezTo>
                  <a:pt x="2601" y="2254"/>
                  <a:pt x="2598" y="2250"/>
                  <a:pt x="2599" y="2246"/>
                </a:cubicBezTo>
                <a:cubicBezTo>
                  <a:pt x="2600" y="2241"/>
                  <a:pt x="2604" y="2238"/>
                  <a:pt x="2608" y="2239"/>
                </a:cubicBezTo>
                <a:lnTo>
                  <a:pt x="2755" y="2263"/>
                </a:lnTo>
                <a:lnTo>
                  <a:pt x="2746" y="2273"/>
                </a:lnTo>
                <a:lnTo>
                  <a:pt x="2694" y="2134"/>
                </a:lnTo>
                <a:cubicBezTo>
                  <a:pt x="2693" y="2130"/>
                  <a:pt x="2695" y="2126"/>
                  <a:pt x="2699" y="2124"/>
                </a:cubicBezTo>
                <a:cubicBezTo>
                  <a:pt x="2703" y="2123"/>
                  <a:pt x="2708" y="2125"/>
                  <a:pt x="2709" y="2129"/>
                </a:cubicBezTo>
                <a:close/>
              </a:path>
            </a:pathLst>
          </a:custGeom>
          <a:solidFill>
            <a:srgbClr val="4A7EBB"/>
          </a:solidFill>
          <a:ln w="0" cap="flat">
            <a:solidFill>
              <a:srgbClr val="4A7EBB"/>
            </a:solidFill>
            <a:prstDash val="solid"/>
            <a:round/>
            <a:headEnd/>
            <a:tailEnd/>
          </a:ln>
        </xdr:spPr>
      </xdr:sp>
      <xdr:sp macro="" textlink="">
        <xdr:nvSpPr>
          <xdr:cNvPr id="9261" name="Freeform 45">
            <a:extLst>
              <a:ext uri="{FF2B5EF4-FFF2-40B4-BE49-F238E27FC236}">
                <a16:creationId xmlns:a16="http://schemas.microsoft.com/office/drawing/2014/main" id="{00000000-0008-0000-0200-00002D240000}"/>
              </a:ext>
            </a:extLst>
          </xdr:cNvPr>
          <xdr:cNvSpPr>
            <a:spLocks noEditPoints="1"/>
          </xdr:cNvSpPr>
        </xdr:nvSpPr>
        <xdr:spPr bwMode="auto">
          <a:xfrm>
            <a:off x="135" y="185"/>
            <a:ext cx="265" cy="52"/>
          </a:xfrm>
          <a:custGeom>
            <a:avLst/>
            <a:gdLst/>
            <a:ahLst/>
            <a:cxnLst>
              <a:cxn ang="0">
                <a:pos x="3" y="0"/>
              </a:cxn>
              <a:cxn ang="0">
                <a:pos x="5268" y="951"/>
              </a:cxn>
              <a:cxn ang="0">
                <a:pos x="5265" y="967"/>
              </a:cxn>
              <a:cxn ang="0">
                <a:pos x="0" y="15"/>
              </a:cxn>
              <a:cxn ang="0">
                <a:pos x="3" y="0"/>
              </a:cxn>
              <a:cxn ang="0">
                <a:pos x="5158" y="857"/>
              </a:cxn>
              <a:cxn ang="0">
                <a:pos x="5282" y="962"/>
              </a:cxn>
              <a:cxn ang="0">
                <a:pos x="5129" y="1017"/>
              </a:cxn>
              <a:cxn ang="0">
                <a:pos x="5119" y="1012"/>
              </a:cxn>
              <a:cxn ang="0">
                <a:pos x="5124" y="1002"/>
              </a:cxn>
              <a:cxn ang="0">
                <a:pos x="5263" y="951"/>
              </a:cxn>
              <a:cxn ang="0">
                <a:pos x="5261" y="965"/>
              </a:cxn>
              <a:cxn ang="0">
                <a:pos x="5148" y="869"/>
              </a:cxn>
              <a:cxn ang="0">
                <a:pos x="5147" y="857"/>
              </a:cxn>
              <a:cxn ang="0">
                <a:pos x="5158" y="857"/>
              </a:cxn>
            </a:cxnLst>
            <a:rect l="0" t="0" r="r" b="b"/>
            <a:pathLst>
              <a:path w="5282" h="1019">
                <a:moveTo>
                  <a:pt x="3" y="0"/>
                </a:moveTo>
                <a:lnTo>
                  <a:pt x="5268" y="951"/>
                </a:lnTo>
                <a:lnTo>
                  <a:pt x="5265" y="967"/>
                </a:lnTo>
                <a:lnTo>
                  <a:pt x="0" y="15"/>
                </a:lnTo>
                <a:lnTo>
                  <a:pt x="3" y="0"/>
                </a:lnTo>
                <a:close/>
                <a:moveTo>
                  <a:pt x="5158" y="857"/>
                </a:moveTo>
                <a:lnTo>
                  <a:pt x="5282" y="962"/>
                </a:lnTo>
                <a:lnTo>
                  <a:pt x="5129" y="1017"/>
                </a:lnTo>
                <a:cubicBezTo>
                  <a:pt x="5125" y="1019"/>
                  <a:pt x="5121" y="1017"/>
                  <a:pt x="5119" y="1012"/>
                </a:cubicBezTo>
                <a:cubicBezTo>
                  <a:pt x="5117" y="1008"/>
                  <a:pt x="5120" y="1004"/>
                  <a:pt x="5124" y="1002"/>
                </a:cubicBezTo>
                <a:lnTo>
                  <a:pt x="5263" y="951"/>
                </a:lnTo>
                <a:lnTo>
                  <a:pt x="5261" y="965"/>
                </a:lnTo>
                <a:lnTo>
                  <a:pt x="5148" y="869"/>
                </a:lnTo>
                <a:cubicBezTo>
                  <a:pt x="5145" y="866"/>
                  <a:pt x="5144" y="861"/>
                  <a:pt x="5147" y="857"/>
                </a:cubicBezTo>
                <a:cubicBezTo>
                  <a:pt x="5150" y="854"/>
                  <a:pt x="5155" y="854"/>
                  <a:pt x="5158" y="857"/>
                </a:cubicBezTo>
                <a:close/>
              </a:path>
            </a:pathLst>
          </a:custGeom>
          <a:solidFill>
            <a:srgbClr val="4A7EBB"/>
          </a:solidFill>
          <a:ln w="0" cap="flat">
            <a:solidFill>
              <a:srgbClr val="4A7EBB"/>
            </a:solidFill>
            <a:prstDash val="solid"/>
            <a:round/>
            <a:headEnd/>
            <a:tailEnd/>
          </a:ln>
        </xdr:spPr>
      </xdr:sp>
      <xdr:sp macro="" textlink="">
        <xdr:nvSpPr>
          <xdr:cNvPr id="9262" name="Freeform 46">
            <a:extLst>
              <a:ext uri="{FF2B5EF4-FFF2-40B4-BE49-F238E27FC236}">
                <a16:creationId xmlns:a16="http://schemas.microsoft.com/office/drawing/2014/main" id="{00000000-0008-0000-0200-00002E240000}"/>
              </a:ext>
            </a:extLst>
          </xdr:cNvPr>
          <xdr:cNvSpPr>
            <a:spLocks noEditPoints="1"/>
          </xdr:cNvSpPr>
        </xdr:nvSpPr>
        <xdr:spPr bwMode="auto">
          <a:xfrm>
            <a:off x="207" y="257"/>
            <a:ext cx="138" cy="15"/>
          </a:xfrm>
          <a:custGeom>
            <a:avLst/>
            <a:gdLst/>
            <a:ahLst/>
            <a:cxnLst>
              <a:cxn ang="0">
                <a:pos x="1" y="0"/>
              </a:cxn>
              <a:cxn ang="0">
                <a:pos x="2505" y="191"/>
              </a:cxn>
              <a:cxn ang="0">
                <a:pos x="2504" y="207"/>
              </a:cxn>
              <a:cxn ang="0">
                <a:pos x="0" y="16"/>
              </a:cxn>
              <a:cxn ang="0">
                <a:pos x="1" y="0"/>
              </a:cxn>
              <a:cxn ang="0">
                <a:pos x="2387" y="108"/>
              </a:cxn>
              <a:cxn ang="0">
                <a:pos x="2521" y="200"/>
              </a:cxn>
              <a:cxn ang="0">
                <a:pos x="2375" y="271"/>
              </a:cxn>
              <a:cxn ang="0">
                <a:pos x="2364" y="267"/>
              </a:cxn>
              <a:cxn ang="0">
                <a:pos x="2368" y="257"/>
              </a:cxn>
              <a:cxn ang="0">
                <a:pos x="2501" y="192"/>
              </a:cxn>
              <a:cxn ang="0">
                <a:pos x="2500" y="206"/>
              </a:cxn>
              <a:cxn ang="0">
                <a:pos x="2378" y="121"/>
              </a:cxn>
              <a:cxn ang="0">
                <a:pos x="2376" y="110"/>
              </a:cxn>
              <a:cxn ang="0">
                <a:pos x="2387" y="108"/>
              </a:cxn>
            </a:cxnLst>
            <a:rect l="0" t="0" r="r" b="b"/>
            <a:pathLst>
              <a:path w="2521" h="273">
                <a:moveTo>
                  <a:pt x="1" y="0"/>
                </a:moveTo>
                <a:lnTo>
                  <a:pt x="2505" y="191"/>
                </a:lnTo>
                <a:lnTo>
                  <a:pt x="2504" y="207"/>
                </a:lnTo>
                <a:lnTo>
                  <a:pt x="0" y="16"/>
                </a:lnTo>
                <a:lnTo>
                  <a:pt x="1" y="0"/>
                </a:lnTo>
                <a:close/>
                <a:moveTo>
                  <a:pt x="2387" y="108"/>
                </a:moveTo>
                <a:lnTo>
                  <a:pt x="2521" y="200"/>
                </a:lnTo>
                <a:lnTo>
                  <a:pt x="2375" y="271"/>
                </a:lnTo>
                <a:cubicBezTo>
                  <a:pt x="2371" y="273"/>
                  <a:pt x="2366" y="271"/>
                  <a:pt x="2364" y="267"/>
                </a:cubicBezTo>
                <a:cubicBezTo>
                  <a:pt x="2362" y="263"/>
                  <a:pt x="2364" y="259"/>
                  <a:pt x="2368" y="257"/>
                </a:cubicBezTo>
                <a:lnTo>
                  <a:pt x="2501" y="192"/>
                </a:lnTo>
                <a:lnTo>
                  <a:pt x="2500" y="206"/>
                </a:lnTo>
                <a:lnTo>
                  <a:pt x="2378" y="121"/>
                </a:lnTo>
                <a:cubicBezTo>
                  <a:pt x="2374" y="119"/>
                  <a:pt x="2373" y="114"/>
                  <a:pt x="2376" y="110"/>
                </a:cubicBezTo>
                <a:cubicBezTo>
                  <a:pt x="2379" y="107"/>
                  <a:pt x="2383" y="106"/>
                  <a:pt x="2387" y="108"/>
                </a:cubicBezTo>
                <a:close/>
              </a:path>
            </a:pathLst>
          </a:custGeom>
          <a:solidFill>
            <a:srgbClr val="4A7EBB"/>
          </a:solidFill>
          <a:ln w="0" cap="flat">
            <a:solidFill>
              <a:srgbClr val="4A7EBB"/>
            </a:solidFill>
            <a:prstDash val="solid"/>
            <a:round/>
            <a:headEnd/>
            <a:tailEnd/>
          </a:ln>
        </xdr:spPr>
      </xdr:sp>
      <xdr:sp macro="" textlink="">
        <xdr:nvSpPr>
          <xdr:cNvPr id="9263" name="Freeform 47">
            <a:extLst>
              <a:ext uri="{FF2B5EF4-FFF2-40B4-BE49-F238E27FC236}">
                <a16:creationId xmlns:a16="http://schemas.microsoft.com/office/drawing/2014/main" id="{00000000-0008-0000-0200-00002F240000}"/>
              </a:ext>
            </a:extLst>
          </xdr:cNvPr>
          <xdr:cNvSpPr>
            <a:spLocks noEditPoints="1"/>
          </xdr:cNvSpPr>
        </xdr:nvSpPr>
        <xdr:spPr bwMode="auto">
          <a:xfrm>
            <a:off x="436" y="244"/>
            <a:ext cx="238" cy="223"/>
          </a:xfrm>
          <a:custGeom>
            <a:avLst/>
            <a:gdLst/>
            <a:ahLst/>
            <a:cxnLst>
              <a:cxn ang="0">
                <a:pos x="4566" y="12"/>
              </a:cxn>
              <a:cxn ang="0">
                <a:pos x="18" y="4082"/>
              </a:cxn>
              <a:cxn ang="0">
                <a:pos x="7" y="4070"/>
              </a:cxn>
              <a:cxn ang="0">
                <a:pos x="4555" y="0"/>
              </a:cxn>
              <a:cxn ang="0">
                <a:pos x="4566" y="12"/>
              </a:cxn>
              <a:cxn ang="0">
                <a:pos x="159" y="4054"/>
              </a:cxn>
              <a:cxn ang="0">
                <a:pos x="0" y="4087"/>
              </a:cxn>
              <a:cxn ang="0">
                <a:pos x="50" y="3932"/>
              </a:cxn>
              <a:cxn ang="0">
                <a:pos x="60" y="3927"/>
              </a:cxn>
              <a:cxn ang="0">
                <a:pos x="66" y="3937"/>
              </a:cxn>
              <a:cxn ang="0">
                <a:pos x="20" y="4078"/>
              </a:cxn>
              <a:cxn ang="0">
                <a:pos x="11" y="4068"/>
              </a:cxn>
              <a:cxn ang="0">
                <a:pos x="156" y="4038"/>
              </a:cxn>
              <a:cxn ang="0">
                <a:pos x="165" y="4045"/>
              </a:cxn>
              <a:cxn ang="0">
                <a:pos x="159" y="4054"/>
              </a:cxn>
            </a:cxnLst>
            <a:rect l="0" t="0" r="r" b="b"/>
            <a:pathLst>
              <a:path w="4566" h="4087">
                <a:moveTo>
                  <a:pt x="4566" y="12"/>
                </a:moveTo>
                <a:lnTo>
                  <a:pt x="18" y="4082"/>
                </a:lnTo>
                <a:lnTo>
                  <a:pt x="7" y="4070"/>
                </a:lnTo>
                <a:lnTo>
                  <a:pt x="4555" y="0"/>
                </a:lnTo>
                <a:lnTo>
                  <a:pt x="4566" y="12"/>
                </a:lnTo>
                <a:close/>
                <a:moveTo>
                  <a:pt x="159" y="4054"/>
                </a:moveTo>
                <a:lnTo>
                  <a:pt x="0" y="4087"/>
                </a:lnTo>
                <a:lnTo>
                  <a:pt x="50" y="3932"/>
                </a:lnTo>
                <a:cubicBezTo>
                  <a:pt x="52" y="3928"/>
                  <a:pt x="56" y="3926"/>
                  <a:pt x="60" y="3927"/>
                </a:cubicBezTo>
                <a:cubicBezTo>
                  <a:pt x="65" y="3929"/>
                  <a:pt x="67" y="3933"/>
                  <a:pt x="66" y="3937"/>
                </a:cubicBezTo>
                <a:lnTo>
                  <a:pt x="20" y="4078"/>
                </a:lnTo>
                <a:lnTo>
                  <a:pt x="11" y="4068"/>
                </a:lnTo>
                <a:lnTo>
                  <a:pt x="156" y="4038"/>
                </a:lnTo>
                <a:cubicBezTo>
                  <a:pt x="160" y="4037"/>
                  <a:pt x="165" y="4040"/>
                  <a:pt x="165" y="4045"/>
                </a:cubicBezTo>
                <a:cubicBezTo>
                  <a:pt x="166" y="4049"/>
                  <a:pt x="164" y="4053"/>
                  <a:pt x="159" y="4054"/>
                </a:cubicBezTo>
                <a:close/>
              </a:path>
            </a:pathLst>
          </a:custGeom>
          <a:solidFill>
            <a:srgbClr val="4A7EBB"/>
          </a:solidFill>
          <a:ln w="0" cap="flat">
            <a:solidFill>
              <a:srgbClr val="4A7EBB"/>
            </a:solidFill>
            <a:prstDash val="solid"/>
            <a:round/>
            <a:headEnd/>
            <a:tailEnd/>
          </a:ln>
        </xdr:spPr>
      </xdr:sp>
      <xdr:sp macro="" textlink="">
        <xdr:nvSpPr>
          <xdr:cNvPr id="9264" name="Freeform 48">
            <a:extLst>
              <a:ext uri="{FF2B5EF4-FFF2-40B4-BE49-F238E27FC236}">
                <a16:creationId xmlns:a16="http://schemas.microsoft.com/office/drawing/2014/main" id="{00000000-0008-0000-0200-000030240000}"/>
              </a:ext>
            </a:extLst>
          </xdr:cNvPr>
          <xdr:cNvSpPr>
            <a:spLocks noEditPoints="1"/>
          </xdr:cNvSpPr>
        </xdr:nvSpPr>
        <xdr:spPr bwMode="auto">
          <a:xfrm>
            <a:off x="419" y="298"/>
            <a:ext cx="9" cy="171"/>
          </a:xfrm>
          <a:custGeom>
            <a:avLst/>
            <a:gdLst/>
            <a:ahLst/>
            <a:cxnLst>
              <a:cxn ang="0">
                <a:pos x="94" y="0"/>
              </a:cxn>
              <a:cxn ang="0">
                <a:pos x="91" y="3105"/>
              </a:cxn>
              <a:cxn ang="0">
                <a:pos x="75" y="3105"/>
              </a:cxn>
              <a:cxn ang="0">
                <a:pos x="78" y="0"/>
              </a:cxn>
              <a:cxn ang="0">
                <a:pos x="94" y="0"/>
              </a:cxn>
              <a:cxn ang="0">
                <a:pos x="165" y="2981"/>
              </a:cxn>
              <a:cxn ang="0">
                <a:pos x="83" y="3121"/>
              </a:cxn>
              <a:cxn ang="0">
                <a:pos x="2" y="2980"/>
              </a:cxn>
              <a:cxn ang="0">
                <a:pos x="5" y="2970"/>
              </a:cxn>
              <a:cxn ang="0">
                <a:pos x="16" y="2972"/>
              </a:cxn>
              <a:cxn ang="0">
                <a:pos x="90" y="3101"/>
              </a:cxn>
              <a:cxn ang="0">
                <a:pos x="77" y="3101"/>
              </a:cxn>
              <a:cxn ang="0">
                <a:pos x="151" y="2973"/>
              </a:cxn>
              <a:cxn ang="0">
                <a:pos x="162" y="2970"/>
              </a:cxn>
              <a:cxn ang="0">
                <a:pos x="165" y="2981"/>
              </a:cxn>
            </a:cxnLst>
            <a:rect l="0" t="0" r="r" b="b"/>
            <a:pathLst>
              <a:path w="167" h="3121">
                <a:moveTo>
                  <a:pt x="94" y="0"/>
                </a:moveTo>
                <a:lnTo>
                  <a:pt x="91" y="3105"/>
                </a:lnTo>
                <a:lnTo>
                  <a:pt x="75" y="3105"/>
                </a:lnTo>
                <a:lnTo>
                  <a:pt x="78" y="0"/>
                </a:lnTo>
                <a:lnTo>
                  <a:pt x="94" y="0"/>
                </a:lnTo>
                <a:close/>
                <a:moveTo>
                  <a:pt x="165" y="2981"/>
                </a:moveTo>
                <a:lnTo>
                  <a:pt x="83" y="3121"/>
                </a:lnTo>
                <a:lnTo>
                  <a:pt x="2" y="2980"/>
                </a:lnTo>
                <a:cubicBezTo>
                  <a:pt x="0" y="2977"/>
                  <a:pt x="1" y="2972"/>
                  <a:pt x="5" y="2970"/>
                </a:cubicBezTo>
                <a:cubicBezTo>
                  <a:pt x="9" y="2967"/>
                  <a:pt x="14" y="2969"/>
                  <a:pt x="16" y="2972"/>
                </a:cubicBezTo>
                <a:lnTo>
                  <a:pt x="90" y="3101"/>
                </a:lnTo>
                <a:lnTo>
                  <a:pt x="77" y="3101"/>
                </a:lnTo>
                <a:lnTo>
                  <a:pt x="151" y="2973"/>
                </a:lnTo>
                <a:cubicBezTo>
                  <a:pt x="154" y="2969"/>
                  <a:pt x="159" y="2967"/>
                  <a:pt x="162" y="2970"/>
                </a:cubicBezTo>
                <a:cubicBezTo>
                  <a:pt x="166" y="2972"/>
                  <a:pt x="167" y="2977"/>
                  <a:pt x="165" y="2981"/>
                </a:cubicBezTo>
                <a:close/>
              </a:path>
            </a:pathLst>
          </a:custGeom>
          <a:solidFill>
            <a:srgbClr val="4A7EBB"/>
          </a:solidFill>
          <a:ln w="0" cap="flat">
            <a:solidFill>
              <a:srgbClr val="4A7EBB"/>
            </a:solidFill>
            <a:prstDash val="solid"/>
            <a:round/>
            <a:headEnd/>
            <a:tailEnd/>
          </a:ln>
        </xdr:spPr>
      </xdr:sp>
      <xdr:sp macro="" textlink="">
        <xdr:nvSpPr>
          <xdr:cNvPr id="9265" name="Freeform 49">
            <a:extLst>
              <a:ext uri="{FF2B5EF4-FFF2-40B4-BE49-F238E27FC236}">
                <a16:creationId xmlns:a16="http://schemas.microsoft.com/office/drawing/2014/main" id="{00000000-0008-0000-0200-000031240000}"/>
              </a:ext>
            </a:extLst>
          </xdr:cNvPr>
          <xdr:cNvSpPr>
            <a:spLocks noEditPoints="1"/>
          </xdr:cNvSpPr>
        </xdr:nvSpPr>
        <xdr:spPr bwMode="auto">
          <a:xfrm>
            <a:off x="318" y="419"/>
            <a:ext cx="96" cy="48"/>
          </a:xfrm>
          <a:custGeom>
            <a:avLst/>
            <a:gdLst/>
            <a:ahLst/>
            <a:cxnLst>
              <a:cxn ang="0">
                <a:pos x="7" y="0"/>
              </a:cxn>
              <a:cxn ang="0">
                <a:pos x="1912" y="878"/>
              </a:cxn>
              <a:cxn ang="0">
                <a:pos x="1906" y="892"/>
              </a:cxn>
              <a:cxn ang="0">
                <a:pos x="0" y="15"/>
              </a:cxn>
              <a:cxn ang="0">
                <a:pos x="7" y="0"/>
              </a:cxn>
              <a:cxn ang="0">
                <a:pos x="1831" y="759"/>
              </a:cxn>
              <a:cxn ang="0">
                <a:pos x="1924" y="892"/>
              </a:cxn>
              <a:cxn ang="0">
                <a:pos x="1762" y="907"/>
              </a:cxn>
              <a:cxn ang="0">
                <a:pos x="1753" y="900"/>
              </a:cxn>
              <a:cxn ang="0">
                <a:pos x="1761" y="891"/>
              </a:cxn>
              <a:cxn ang="0">
                <a:pos x="1908" y="877"/>
              </a:cxn>
              <a:cxn ang="0">
                <a:pos x="1903" y="890"/>
              </a:cxn>
              <a:cxn ang="0">
                <a:pos x="1817" y="768"/>
              </a:cxn>
              <a:cxn ang="0">
                <a:pos x="1819" y="757"/>
              </a:cxn>
              <a:cxn ang="0">
                <a:pos x="1831" y="759"/>
              </a:cxn>
            </a:cxnLst>
            <a:rect l="0" t="0" r="r" b="b"/>
            <a:pathLst>
              <a:path w="1924" h="908">
                <a:moveTo>
                  <a:pt x="7" y="0"/>
                </a:moveTo>
                <a:lnTo>
                  <a:pt x="1912" y="878"/>
                </a:lnTo>
                <a:lnTo>
                  <a:pt x="1906" y="892"/>
                </a:lnTo>
                <a:lnTo>
                  <a:pt x="0" y="15"/>
                </a:lnTo>
                <a:lnTo>
                  <a:pt x="7" y="0"/>
                </a:lnTo>
                <a:close/>
                <a:moveTo>
                  <a:pt x="1831" y="759"/>
                </a:moveTo>
                <a:lnTo>
                  <a:pt x="1924" y="892"/>
                </a:lnTo>
                <a:lnTo>
                  <a:pt x="1762" y="907"/>
                </a:lnTo>
                <a:cubicBezTo>
                  <a:pt x="1758" y="908"/>
                  <a:pt x="1754" y="904"/>
                  <a:pt x="1753" y="900"/>
                </a:cubicBezTo>
                <a:cubicBezTo>
                  <a:pt x="1753" y="896"/>
                  <a:pt x="1756" y="892"/>
                  <a:pt x="1761" y="891"/>
                </a:cubicBezTo>
                <a:lnTo>
                  <a:pt x="1908" y="877"/>
                </a:lnTo>
                <a:lnTo>
                  <a:pt x="1903" y="890"/>
                </a:lnTo>
                <a:lnTo>
                  <a:pt x="1817" y="768"/>
                </a:lnTo>
                <a:cubicBezTo>
                  <a:pt x="1815" y="764"/>
                  <a:pt x="1816" y="759"/>
                  <a:pt x="1819" y="757"/>
                </a:cubicBezTo>
                <a:cubicBezTo>
                  <a:pt x="1823" y="754"/>
                  <a:pt x="1828" y="755"/>
                  <a:pt x="1831" y="759"/>
                </a:cubicBezTo>
                <a:close/>
              </a:path>
            </a:pathLst>
          </a:custGeom>
          <a:solidFill>
            <a:srgbClr val="4A7EBB"/>
          </a:solidFill>
          <a:ln w="0" cap="flat">
            <a:solidFill>
              <a:srgbClr val="4A7EBB"/>
            </a:solidFill>
            <a:prstDash val="solid"/>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578224</xdr:colOff>
      <xdr:row>31</xdr:row>
      <xdr:rowOff>133909</xdr:rowOff>
    </xdr:from>
    <xdr:to>
      <xdr:col>11</xdr:col>
      <xdr:colOff>37540</xdr:colOff>
      <xdr:row>34</xdr:row>
      <xdr:rowOff>56589</xdr:rowOff>
    </xdr:to>
    <xdr:pic>
      <xdr:nvPicPr>
        <xdr:cNvPr id="3092" name="Picture 20">
          <a:extLst>
            <a:ext uri="{FF2B5EF4-FFF2-40B4-BE49-F238E27FC236}">
              <a16:creationId xmlns:a16="http://schemas.microsoft.com/office/drawing/2014/main" id="{00000000-0008-0000-0600-0000140C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6158753" y="3798233"/>
          <a:ext cx="4076140" cy="393327"/>
        </a:xfrm>
        <a:prstGeom prst="rect">
          <a:avLst/>
        </a:prstGeom>
        <a:noFill/>
        <a:ln w="9525">
          <a:noFill/>
          <a:miter lim="800000"/>
          <a:headEnd/>
          <a:tailEnd/>
        </a:ln>
      </xdr:spPr>
    </xdr:pic>
    <xdr:clientData/>
  </xdr:twoCellAnchor>
  <xdr:twoCellAnchor editAs="oneCell">
    <xdr:from>
      <xdr:col>5</xdr:col>
      <xdr:colOff>100852</xdr:colOff>
      <xdr:row>42</xdr:row>
      <xdr:rowOff>0</xdr:rowOff>
    </xdr:from>
    <xdr:to>
      <xdr:col>8</xdr:col>
      <xdr:colOff>739028</xdr:colOff>
      <xdr:row>47</xdr:row>
      <xdr:rowOff>47626</xdr:rowOff>
    </xdr:to>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81381" y="5244351"/>
          <a:ext cx="3036234" cy="8320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282388</xdr:colOff>
      <xdr:row>55</xdr:row>
      <xdr:rowOff>16809</xdr:rowOff>
    </xdr:from>
    <xdr:to>
      <xdr:col>10</xdr:col>
      <xdr:colOff>339538</xdr:colOff>
      <xdr:row>56</xdr:row>
      <xdr:rowOff>158003</xdr:rowOff>
    </xdr:to>
    <xdr:pic>
      <xdr:nvPicPr>
        <xdr:cNvPr id="4117" name="Picture 21">
          <a:extLst>
            <a:ext uri="{FF2B5EF4-FFF2-40B4-BE49-F238E27FC236}">
              <a16:creationId xmlns:a16="http://schemas.microsoft.com/office/drawing/2014/main" id="{00000000-0008-0000-0700-0000151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5000064" y="8959103"/>
          <a:ext cx="3788709" cy="331694"/>
        </a:xfrm>
        <a:prstGeom prst="rect">
          <a:avLst/>
        </a:prstGeom>
        <a:noFill/>
      </xdr:spPr>
    </xdr:pic>
    <xdr:clientData/>
  </xdr:twoCellAnchor>
  <xdr:twoCellAnchor>
    <xdr:from>
      <xdr:col>5</xdr:col>
      <xdr:colOff>0</xdr:colOff>
      <xdr:row>23</xdr:row>
      <xdr:rowOff>1</xdr:rowOff>
    </xdr:from>
    <xdr:to>
      <xdr:col>10</xdr:col>
      <xdr:colOff>247650</xdr:colOff>
      <xdr:row>24</xdr:row>
      <xdr:rowOff>200025</xdr:rowOff>
    </xdr:to>
    <xdr:pic>
      <xdr:nvPicPr>
        <xdr:cNvPr id="4115" name="Picture 19">
          <a:extLst>
            <a:ext uri="{FF2B5EF4-FFF2-40B4-BE49-F238E27FC236}">
              <a16:creationId xmlns:a16="http://schemas.microsoft.com/office/drawing/2014/main" id="{00000000-0008-0000-0700-0000131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5676900" y="3438526"/>
          <a:ext cx="3676650" cy="380999"/>
        </a:xfrm>
        <a:prstGeom prst="rect">
          <a:avLst/>
        </a:prstGeom>
        <a:noFill/>
        <a:ln w="9525">
          <a:noFill/>
          <a:miter lim="800000"/>
          <a:headEnd/>
          <a:tailEnd/>
        </a:ln>
      </xdr:spPr>
    </xdr:pic>
    <xdr:clientData/>
  </xdr:twoCellAnchor>
  <xdr:twoCellAnchor>
    <xdr:from>
      <xdr:col>5</xdr:col>
      <xdr:colOff>0</xdr:colOff>
      <xdr:row>34</xdr:row>
      <xdr:rowOff>0</xdr:rowOff>
    </xdr:from>
    <xdr:to>
      <xdr:col>10</xdr:col>
      <xdr:colOff>200025</xdr:colOff>
      <xdr:row>35</xdr:row>
      <xdr:rowOff>171450</xdr:rowOff>
    </xdr:to>
    <xdr:pic>
      <xdr:nvPicPr>
        <xdr:cNvPr id="4116" name="Picture 20">
          <a:extLst>
            <a:ext uri="{FF2B5EF4-FFF2-40B4-BE49-F238E27FC236}">
              <a16:creationId xmlns:a16="http://schemas.microsoft.com/office/drawing/2014/main" id="{00000000-0008-0000-0700-000014100000}"/>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5676900" y="5143500"/>
          <a:ext cx="3629025" cy="371475"/>
        </a:xfrm>
        <a:prstGeom prst="rect">
          <a:avLst/>
        </a:prstGeom>
        <a:noFill/>
        <a:ln w="9525">
          <a:noFill/>
          <a:miter lim="800000"/>
          <a:headEnd/>
          <a:tailEnd/>
        </a:ln>
      </xdr:spPr>
    </xdr:pic>
    <xdr:clientData/>
  </xdr:twoCellAnchor>
  <xdr:twoCellAnchor>
    <xdr:from>
      <xdr:col>5</xdr:col>
      <xdr:colOff>67235</xdr:colOff>
      <xdr:row>45</xdr:row>
      <xdr:rowOff>44824</xdr:rowOff>
    </xdr:from>
    <xdr:to>
      <xdr:col>9</xdr:col>
      <xdr:colOff>438710</xdr:colOff>
      <xdr:row>46</xdr:row>
      <xdr:rowOff>168088</xdr:rowOff>
    </xdr:to>
    <xdr:pic>
      <xdr:nvPicPr>
        <xdr:cNvPr id="2" name="Picture 2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blip>
        <a:srcRect/>
        <a:stretch>
          <a:fillRect/>
        </a:stretch>
      </xdr:blipFill>
      <xdr:spPr bwMode="auto">
        <a:xfrm>
          <a:off x="5087470" y="7272618"/>
          <a:ext cx="3116916" cy="32497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55</xdr:row>
      <xdr:rowOff>66675</xdr:rowOff>
    </xdr:from>
    <xdr:to>
      <xdr:col>11</xdr:col>
      <xdr:colOff>400050</xdr:colOff>
      <xdr:row>57</xdr:row>
      <xdr:rowOff>85725</xdr:rowOff>
    </xdr:to>
    <xdr:pic>
      <xdr:nvPicPr>
        <xdr:cNvPr id="5166" name="Picture 46">
          <a:extLst>
            <a:ext uri="{FF2B5EF4-FFF2-40B4-BE49-F238E27FC236}">
              <a16:creationId xmlns:a16="http://schemas.microsoft.com/office/drawing/2014/main" id="{00000000-0008-0000-0800-00002E14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7239000" y="8877300"/>
          <a:ext cx="3371850" cy="1266825"/>
        </a:xfrm>
        <a:prstGeom prst="rect">
          <a:avLst/>
        </a:prstGeom>
        <a:noFill/>
        <a:ln w="9525">
          <a:noFill/>
          <a:miter lim="800000"/>
          <a:headEnd/>
          <a:tailEnd/>
        </a:ln>
      </xdr:spPr>
    </xdr:pic>
    <xdr:clientData/>
  </xdr:twoCellAnchor>
  <xdr:twoCellAnchor>
    <xdr:from>
      <xdr:col>1</xdr:col>
      <xdr:colOff>361950</xdr:colOff>
      <xdr:row>97</xdr:row>
      <xdr:rowOff>161925</xdr:rowOff>
    </xdr:from>
    <xdr:to>
      <xdr:col>7</xdr:col>
      <xdr:colOff>47625</xdr:colOff>
      <xdr:row>99</xdr:row>
      <xdr:rowOff>152400</xdr:rowOff>
    </xdr:to>
    <xdr:pic>
      <xdr:nvPicPr>
        <xdr:cNvPr id="2" name="Picture 47">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3219450" y="16344900"/>
          <a:ext cx="3667125" cy="390525"/>
        </a:xfrm>
        <a:prstGeom prst="rect">
          <a:avLst/>
        </a:prstGeom>
        <a:noFill/>
      </xdr:spPr>
    </xdr:pic>
    <xdr:clientData/>
  </xdr:twoCellAnchor>
  <xdr:twoCellAnchor>
    <xdr:from>
      <xdr:col>6</xdr:col>
      <xdr:colOff>0</xdr:colOff>
      <xdr:row>16</xdr:row>
      <xdr:rowOff>0</xdr:rowOff>
    </xdr:from>
    <xdr:to>
      <xdr:col>14</xdr:col>
      <xdr:colOff>47625</xdr:colOff>
      <xdr:row>18</xdr:row>
      <xdr:rowOff>67235</xdr:rowOff>
    </xdr:to>
    <xdr:pic>
      <xdr:nvPicPr>
        <xdr:cNvPr id="7" name="Picture 46">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6499412" y="2891118"/>
          <a:ext cx="5908301" cy="526676"/>
        </a:xfrm>
        <a:prstGeom prst="rect">
          <a:avLst/>
        </a:prstGeom>
        <a:noFill/>
        <a:ln w="9525">
          <a:noFill/>
          <a:miter lim="800000"/>
          <a:headEnd/>
          <a:tailEnd/>
        </a:ln>
      </xdr:spPr>
    </xdr:pic>
    <xdr:clientData/>
  </xdr:twoCellAnchor>
  <xdr:twoCellAnchor editAs="oneCell">
    <xdr:from>
      <xdr:col>0</xdr:col>
      <xdr:colOff>2828925</xdr:colOff>
      <xdr:row>84</xdr:row>
      <xdr:rowOff>19050</xdr:rowOff>
    </xdr:from>
    <xdr:to>
      <xdr:col>5</xdr:col>
      <xdr:colOff>217074</xdr:colOff>
      <xdr:row>86</xdr:row>
      <xdr:rowOff>107949</xdr:rowOff>
    </xdr:to>
    <xdr:pic>
      <xdr:nvPicPr>
        <xdr:cNvPr id="10" name="Picture 9">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28925" y="11249025"/>
          <a:ext cx="3429000" cy="412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57150</xdr:colOff>
      <xdr:row>84</xdr:row>
      <xdr:rowOff>19050</xdr:rowOff>
    </xdr:from>
    <xdr:to>
      <xdr:col>9</xdr:col>
      <xdr:colOff>174973</xdr:colOff>
      <xdr:row>86</xdr:row>
      <xdr:rowOff>38099</xdr:rowOff>
    </xdr:to>
    <xdr:pic>
      <xdr:nvPicPr>
        <xdr:cNvPr id="11" name="Picture 10">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153150" y="11249025"/>
          <a:ext cx="2952750"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605118</xdr:colOff>
      <xdr:row>97</xdr:row>
      <xdr:rowOff>33618</xdr:rowOff>
    </xdr:from>
    <xdr:to>
      <xdr:col>12</xdr:col>
      <xdr:colOff>533722</xdr:colOff>
      <xdr:row>99</xdr:row>
      <xdr:rowOff>44823</xdr:rowOff>
    </xdr:to>
    <xdr:pic>
      <xdr:nvPicPr>
        <xdr:cNvPr id="9" name="Picture 8">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796618" y="16595912"/>
          <a:ext cx="3952315" cy="403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1053352</xdr:colOff>
      <xdr:row>124</xdr:row>
      <xdr:rowOff>190499</xdr:rowOff>
    </xdr:from>
    <xdr:to>
      <xdr:col>7</xdr:col>
      <xdr:colOff>11209</xdr:colOff>
      <xdr:row>126</xdr:row>
      <xdr:rowOff>67235</xdr:rowOff>
    </xdr:to>
    <xdr:pic>
      <xdr:nvPicPr>
        <xdr:cNvPr id="12" name="Picture 11">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883087" y="21257558"/>
          <a:ext cx="1840971" cy="257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12326</xdr:colOff>
      <xdr:row>143</xdr:row>
      <xdr:rowOff>134470</xdr:rowOff>
    </xdr:from>
    <xdr:to>
      <xdr:col>8</xdr:col>
      <xdr:colOff>599554</xdr:colOff>
      <xdr:row>144</xdr:row>
      <xdr:rowOff>146796</xdr:rowOff>
    </xdr:to>
    <xdr:pic>
      <xdr:nvPicPr>
        <xdr:cNvPr id="13" name="Picture 57">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7957297" y="24260735"/>
          <a:ext cx="2402581" cy="169208"/>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78441</xdr:colOff>
      <xdr:row>28</xdr:row>
      <xdr:rowOff>44824</xdr:rowOff>
    </xdr:from>
    <xdr:to>
      <xdr:col>7</xdr:col>
      <xdr:colOff>135591</xdr:colOff>
      <xdr:row>29</xdr:row>
      <xdr:rowOff>92448</xdr:rowOff>
    </xdr:to>
    <xdr:pic>
      <xdr:nvPicPr>
        <xdr:cNvPr id="6145" name="Picture 1">
          <a:extLst>
            <a:ext uri="{FF2B5EF4-FFF2-40B4-BE49-F238E27FC236}">
              <a16:creationId xmlns:a16="http://schemas.microsoft.com/office/drawing/2014/main" id="{00000000-0008-0000-0900-00000118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4997823" y="5065059"/>
          <a:ext cx="1491503" cy="204507"/>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0</xdr:colOff>
      <xdr:row>19</xdr:row>
      <xdr:rowOff>0</xdr:rowOff>
    </xdr:from>
    <xdr:to>
      <xdr:col>11</xdr:col>
      <xdr:colOff>310279</xdr:colOff>
      <xdr:row>23</xdr:row>
      <xdr:rowOff>39113</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4661647" y="3227294"/>
          <a:ext cx="5476190" cy="8571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5</xdr:col>
      <xdr:colOff>457200</xdr:colOff>
      <xdr:row>5</xdr:row>
      <xdr:rowOff>95250</xdr:rowOff>
    </xdr:from>
    <xdr:to>
      <xdr:col>11</xdr:col>
      <xdr:colOff>276225</xdr:colOff>
      <xdr:row>6</xdr:row>
      <xdr:rowOff>123825</xdr:rowOff>
    </xdr:to>
    <xdr:pic>
      <xdr:nvPicPr>
        <xdr:cNvPr id="18433" name="Picture 1">
          <a:extLst>
            <a:ext uri="{FF2B5EF4-FFF2-40B4-BE49-F238E27FC236}">
              <a16:creationId xmlns:a16="http://schemas.microsoft.com/office/drawing/2014/main" id="{00000000-0008-0000-0B00-00000148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6000750" y="990600"/>
          <a:ext cx="3600450" cy="190500"/>
        </a:xfrm>
        <a:prstGeom prst="rect">
          <a:avLst/>
        </a:prstGeom>
        <a:noFill/>
        <a:ln w="9525">
          <a:noFill/>
          <a:miter lim="800000"/>
          <a:headEnd/>
          <a:tailEnd/>
        </a:ln>
      </xdr:spPr>
    </xdr:pic>
    <xdr:clientData/>
  </xdr:twoCellAnchor>
  <xdr:twoCellAnchor>
    <xdr:from>
      <xdr:col>5</xdr:col>
      <xdr:colOff>590550</xdr:colOff>
      <xdr:row>17</xdr:row>
      <xdr:rowOff>66675</xdr:rowOff>
    </xdr:from>
    <xdr:to>
      <xdr:col>8</xdr:col>
      <xdr:colOff>381000</xdr:colOff>
      <xdr:row>18</xdr:row>
      <xdr:rowOff>104775</xdr:rowOff>
    </xdr:to>
    <xdr:pic>
      <xdr:nvPicPr>
        <xdr:cNvPr id="18434" name="Picture 2">
          <a:extLst>
            <a:ext uri="{FF2B5EF4-FFF2-40B4-BE49-F238E27FC236}">
              <a16:creationId xmlns:a16="http://schemas.microsoft.com/office/drawing/2014/main" id="{00000000-0008-0000-0B00-00000248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6134100" y="3009900"/>
          <a:ext cx="1657350" cy="228600"/>
        </a:xfrm>
        <a:prstGeom prst="rect">
          <a:avLst/>
        </a:prstGeom>
        <a:noFill/>
        <a:ln w="9525">
          <a:noFill/>
          <a:miter lim="800000"/>
          <a:headEnd/>
          <a:tailEnd/>
        </a:ln>
      </xdr:spPr>
    </xdr:pic>
    <xdr:clientData/>
  </xdr:twoCellAnchor>
  <xdr:twoCellAnchor>
    <xdr:from>
      <xdr:col>4</xdr:col>
      <xdr:colOff>238125</xdr:colOff>
      <xdr:row>25</xdr:row>
      <xdr:rowOff>104775</xdr:rowOff>
    </xdr:from>
    <xdr:to>
      <xdr:col>12</xdr:col>
      <xdr:colOff>485775</xdr:colOff>
      <xdr:row>27</xdr:row>
      <xdr:rowOff>114300</xdr:rowOff>
    </xdr:to>
    <xdr:pic>
      <xdr:nvPicPr>
        <xdr:cNvPr id="18435" name="Picture 3">
          <a:extLst>
            <a:ext uri="{FF2B5EF4-FFF2-40B4-BE49-F238E27FC236}">
              <a16:creationId xmlns:a16="http://schemas.microsoft.com/office/drawing/2014/main" id="{00000000-0008-0000-0B00-000003480000}"/>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5162550" y="4276725"/>
          <a:ext cx="5305425" cy="381000"/>
        </a:xfrm>
        <a:prstGeom prst="rect">
          <a:avLst/>
        </a:prstGeom>
        <a:noFill/>
        <a:ln w="9525">
          <a:noFill/>
          <a:miter lim="800000"/>
          <a:headEnd/>
          <a:tailEnd/>
        </a:ln>
      </xdr:spPr>
    </xdr:pic>
    <xdr:clientData/>
  </xdr:twoCellAnchor>
  <xdr:twoCellAnchor>
    <xdr:from>
      <xdr:col>4</xdr:col>
      <xdr:colOff>76200</xdr:colOff>
      <xdr:row>46</xdr:row>
      <xdr:rowOff>123825</xdr:rowOff>
    </xdr:from>
    <xdr:to>
      <xdr:col>6</xdr:col>
      <xdr:colOff>400050</xdr:colOff>
      <xdr:row>49</xdr:row>
      <xdr:rowOff>38100</xdr:rowOff>
    </xdr:to>
    <xdr:pic>
      <xdr:nvPicPr>
        <xdr:cNvPr id="2" name="Picture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blip>
        <a:srcRect/>
        <a:stretch>
          <a:fillRect/>
        </a:stretch>
      </xdr:blipFill>
      <xdr:spPr bwMode="auto">
        <a:xfrm>
          <a:off x="5000625" y="8134350"/>
          <a:ext cx="1552575" cy="457200"/>
        </a:xfrm>
        <a:prstGeom prst="rect">
          <a:avLst/>
        </a:prstGeom>
        <a:noFill/>
        <a:ln w="9525">
          <a:noFill/>
          <a:miter lim="800000"/>
          <a:headEnd/>
          <a:tailEnd/>
        </a:ln>
      </xdr:spPr>
    </xdr:pic>
    <xdr:clientData/>
  </xdr:twoCellAnchor>
  <xdr:twoCellAnchor editAs="oneCell">
    <xdr:from>
      <xdr:col>4</xdr:col>
      <xdr:colOff>38100</xdr:colOff>
      <xdr:row>44</xdr:row>
      <xdr:rowOff>76201</xdr:rowOff>
    </xdr:from>
    <xdr:to>
      <xdr:col>11</xdr:col>
      <xdr:colOff>514350</xdr:colOff>
      <xdr:row>45</xdr:row>
      <xdr:rowOff>164648</xdr:rowOff>
    </xdr:to>
    <xdr:pic>
      <xdr:nvPicPr>
        <xdr:cNvPr id="7" name="Picture 6">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962525" y="7743826"/>
          <a:ext cx="4876800" cy="2503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7</xdr:col>
      <xdr:colOff>76200</xdr:colOff>
      <xdr:row>41</xdr:row>
      <xdr:rowOff>142875</xdr:rowOff>
    </xdr:from>
    <xdr:to>
      <xdr:col>9</xdr:col>
      <xdr:colOff>457200</xdr:colOff>
      <xdr:row>43</xdr:row>
      <xdr:rowOff>152400</xdr:rowOff>
    </xdr:to>
    <xdr:pic>
      <xdr:nvPicPr>
        <xdr:cNvPr id="7170" name="Picture 2">
          <a:extLst>
            <a:ext uri="{FF2B5EF4-FFF2-40B4-BE49-F238E27FC236}">
              <a16:creationId xmlns:a16="http://schemas.microsoft.com/office/drawing/2014/main" id="{00000000-0008-0000-0F00-0000021C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5810250" y="5857875"/>
          <a:ext cx="1952625" cy="371475"/>
        </a:xfrm>
        <a:prstGeom prst="rect">
          <a:avLst/>
        </a:prstGeom>
        <a:noFill/>
        <a:ln w="9525">
          <a:noFill/>
          <a:miter lim="800000"/>
          <a:headEnd/>
          <a:tailEnd/>
        </a:ln>
      </xdr:spPr>
    </xdr:pic>
    <xdr:clientData/>
  </xdr:twoCellAnchor>
  <xdr:oneCellAnchor>
    <xdr:from>
      <xdr:col>5</xdr:col>
      <xdr:colOff>0</xdr:colOff>
      <xdr:row>29</xdr:row>
      <xdr:rowOff>0</xdr:rowOff>
    </xdr:from>
    <xdr:ext cx="5959507" cy="264560"/>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F00-000006000000}"/>
                </a:ext>
              </a:extLst>
            </xdr:cNvPr>
            <xdr:cNvSpPr txBox="1"/>
          </xdr:nvSpPr>
          <xdr:spPr>
            <a:xfrm>
              <a:off x="5518898" y="5418045"/>
              <a:ext cx="595950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b="0" i="1">
                            <a:latin typeface="Cambria Math" panose="02040503050406030204" pitchFamily="18" charset="0"/>
                          </a:rPr>
                        </m:ctrlPr>
                      </m:sSubPr>
                      <m:e>
                        <m:r>
                          <m:rPr>
                            <m:sty m:val="p"/>
                          </m:rPr>
                          <a:rPr lang="en-GB" sz="1100" b="0" i="0">
                            <a:latin typeface="Cambria Math"/>
                          </a:rPr>
                          <m:t>SOREV</m:t>
                        </m:r>
                      </m:e>
                      <m:sub>
                        <m:r>
                          <m:rPr>
                            <m:sty m:val="p"/>
                          </m:rPr>
                          <a:rPr lang="en-GB" sz="1100" b="0" i="0">
                            <a:latin typeface="Cambria Math"/>
                          </a:rPr>
                          <m:t>t</m:t>
                        </m:r>
                        <m:r>
                          <a:rPr lang="en-GB" sz="1100" b="0" i="0">
                            <a:latin typeface="Cambria Math"/>
                          </a:rPr>
                          <m:t>−2</m:t>
                        </m:r>
                      </m:sub>
                    </m:sSub>
                    <m:r>
                      <a:rPr lang="en-GB" sz="1100" b="0" i="0">
                        <a:latin typeface="Cambria Math"/>
                      </a:rPr>
                      <m:t>=</m:t>
                    </m:r>
                    <m:sSub>
                      <m:sSubPr>
                        <m:ctrlPr>
                          <a:rPr lang="en-GB" sz="1100" b="0" i="1">
                            <a:latin typeface="Cambria Math" panose="02040503050406030204" pitchFamily="18" charset="0"/>
                          </a:rPr>
                        </m:ctrlPr>
                      </m:sSubPr>
                      <m:e>
                        <m:r>
                          <m:rPr>
                            <m:sty m:val="p"/>
                          </m:rPr>
                          <a:rPr lang="en-GB" sz="1100" b="0" i="0">
                            <a:latin typeface="Cambria Math"/>
                          </a:rPr>
                          <m:t>SOPU</m:t>
                        </m:r>
                      </m:e>
                      <m:sub>
                        <m:r>
                          <m:rPr>
                            <m:sty m:val="p"/>
                          </m:rPr>
                          <a:rPr lang="en-GB" sz="1100" b="0" i="0">
                            <a:latin typeface="Cambria Math"/>
                          </a:rPr>
                          <m:t>t</m:t>
                        </m:r>
                        <m:r>
                          <a:rPr lang="en-GB" sz="1100" b="0" i="0">
                            <a:latin typeface="Cambria Math"/>
                          </a:rPr>
                          <m:t>−2</m:t>
                        </m:r>
                      </m:sub>
                    </m:sSub>
                    <m:r>
                      <a:rPr lang="en-GB" sz="1100" b="0" i="0">
                        <a:latin typeface="Cambria Math"/>
                      </a:rPr>
                      <m:t>+</m:t>
                    </m:r>
                    <m:sSub>
                      <m:sSubPr>
                        <m:ctrlPr>
                          <a:rPr lang="en-GB" sz="1100" b="0" i="1">
                            <a:latin typeface="Cambria Math" panose="02040503050406030204" pitchFamily="18" charset="0"/>
                          </a:rPr>
                        </m:ctrlPr>
                      </m:sSubPr>
                      <m:e>
                        <m:r>
                          <m:rPr>
                            <m:sty m:val="p"/>
                          </m:rPr>
                          <a:rPr lang="en-GB" sz="1100" b="0" i="0">
                            <a:latin typeface="Cambria Math"/>
                          </a:rPr>
                          <m:t>SOMOD</m:t>
                        </m:r>
                      </m:e>
                      <m:sub>
                        <m:r>
                          <m:rPr>
                            <m:sty m:val="p"/>
                          </m:rPr>
                          <a:rPr lang="en-GB" sz="1100" b="0" i="0">
                            <a:latin typeface="Cambria Math"/>
                          </a:rPr>
                          <m:t>t</m:t>
                        </m:r>
                        <m:r>
                          <a:rPr lang="en-GB" sz="1100" b="0" i="0">
                            <a:latin typeface="Cambria Math"/>
                          </a:rPr>
                          <m:t>−2</m:t>
                        </m:r>
                      </m:sub>
                    </m:sSub>
                    <m:r>
                      <a:rPr lang="en-GB" sz="1100" b="0" i="0">
                        <a:latin typeface="Cambria Math"/>
                      </a:rPr>
                      <m:t>+</m:t>
                    </m:r>
                    <m:sSub>
                      <m:sSubPr>
                        <m:ctrlPr>
                          <a:rPr lang="en-GB" sz="1100" b="0" i="1">
                            <a:latin typeface="Cambria Math" panose="02040503050406030204" pitchFamily="18" charset="0"/>
                          </a:rPr>
                        </m:ctrlPr>
                      </m:sSubPr>
                      <m:e>
                        <m:r>
                          <m:rPr>
                            <m:sty m:val="p"/>
                          </m:rPr>
                          <a:rPr lang="en-GB" sz="1100" b="0" i="0">
                            <a:latin typeface="Cambria Math"/>
                          </a:rPr>
                          <m:t>SOEMR</m:t>
                        </m:r>
                      </m:e>
                      <m:sub>
                        <m:r>
                          <m:rPr>
                            <m:sty m:val="p"/>
                          </m:rPr>
                          <a:rPr lang="en-GB" sz="1100" b="0" i="0">
                            <a:latin typeface="Cambria Math"/>
                          </a:rPr>
                          <m:t>t</m:t>
                        </m:r>
                        <m:r>
                          <a:rPr lang="en-GB" sz="1100" b="0" i="0">
                            <a:latin typeface="Cambria Math"/>
                          </a:rPr>
                          <m:t>−2</m:t>
                        </m:r>
                      </m:sub>
                    </m:sSub>
                    <m:r>
                      <a:rPr lang="en-GB" sz="1100" b="0" i="0">
                        <a:latin typeface="Cambria Math"/>
                      </a:rPr>
                      <m:t>+</m:t>
                    </m:r>
                    <m:sSub>
                      <m:sSubPr>
                        <m:ctrlPr>
                          <a:rPr lang="en-GB" sz="1100" b="0" i="1">
                            <a:latin typeface="Cambria Math" panose="02040503050406030204" pitchFamily="18" charset="0"/>
                          </a:rPr>
                        </m:ctrlPr>
                      </m:sSubPr>
                      <m:e>
                        <m:r>
                          <m:rPr>
                            <m:sty m:val="p"/>
                          </m:rPr>
                          <a:rPr lang="en-GB" sz="1100" b="0" i="0">
                            <a:latin typeface="Cambria Math"/>
                          </a:rPr>
                          <m:t>SOEMR</m:t>
                        </m:r>
                        <m:r>
                          <m:rPr>
                            <m:sty m:val="p"/>
                          </m:rPr>
                          <a:rPr lang="en-GB" sz="1100" b="0" i="0">
                            <a:latin typeface="Cambria Math" panose="02040503050406030204" pitchFamily="18" charset="0"/>
                          </a:rPr>
                          <m:t>INC</m:t>
                        </m:r>
                      </m:e>
                      <m:sub>
                        <m:r>
                          <m:rPr>
                            <m:sty m:val="p"/>
                          </m:rPr>
                          <a:rPr lang="en-GB" sz="1100" b="0" i="0">
                            <a:latin typeface="Cambria Math"/>
                          </a:rPr>
                          <m:t>t</m:t>
                        </m:r>
                        <m:r>
                          <a:rPr lang="en-GB" sz="1100" b="0" i="0">
                            <a:latin typeface="Cambria Math"/>
                          </a:rPr>
                          <m:t>−2</m:t>
                        </m:r>
                      </m:sub>
                    </m:sSub>
                    <m:r>
                      <a:rPr lang="en-GB" sz="1100" b="0" i="0">
                        <a:latin typeface="Cambria Math"/>
                      </a:rPr>
                      <m:t>+</m:t>
                    </m:r>
                    <m:sSub>
                      <m:sSubPr>
                        <m:ctrlPr>
                          <a:rPr lang="en-GB" sz="1100" b="0" i="1">
                            <a:latin typeface="Cambria Math" panose="02040503050406030204" pitchFamily="18" charset="0"/>
                          </a:rPr>
                        </m:ctrlPr>
                      </m:sSubPr>
                      <m:e>
                        <m:r>
                          <m:rPr>
                            <m:sty m:val="p"/>
                          </m:rPr>
                          <a:rPr lang="en-GB" sz="1100" b="0" i="0">
                            <a:latin typeface="Cambria Math"/>
                          </a:rPr>
                          <m:t>SOEMR</m:t>
                        </m:r>
                        <m:r>
                          <m:rPr>
                            <m:sty m:val="p"/>
                          </m:rPr>
                          <a:rPr lang="en-GB" sz="1100" b="0" i="0">
                            <a:latin typeface="Cambria Math" panose="02040503050406030204" pitchFamily="18" charset="0"/>
                          </a:rPr>
                          <m:t>CO</m:t>
                        </m:r>
                      </m:e>
                      <m:sub>
                        <m:r>
                          <m:rPr>
                            <m:sty m:val="p"/>
                          </m:rPr>
                          <a:rPr lang="en-GB" sz="1100" b="0" i="0">
                            <a:latin typeface="Cambria Math"/>
                          </a:rPr>
                          <m:t>t</m:t>
                        </m:r>
                        <m:r>
                          <a:rPr lang="en-GB" sz="1100" b="0" i="0">
                            <a:latin typeface="Cambria Math"/>
                          </a:rPr>
                          <m:t>−2</m:t>
                        </m:r>
                      </m:sub>
                    </m:sSub>
                    <m:r>
                      <a:rPr lang="en-GB" sz="1100" b="0" i="0">
                        <a:latin typeface="Cambria Math"/>
                      </a:rPr>
                      <m:t>+</m:t>
                    </m:r>
                    <m:sSub>
                      <m:sSubPr>
                        <m:ctrlPr>
                          <a:rPr lang="en-GB" sz="1100" b="0" i="1">
                            <a:latin typeface="Cambria Math" panose="02040503050406030204" pitchFamily="18" charset="0"/>
                          </a:rPr>
                        </m:ctrlPr>
                      </m:sSubPr>
                      <m:e>
                        <m:r>
                          <m:rPr>
                            <m:sty m:val="p"/>
                          </m:rPr>
                          <a:rPr lang="en-GB" sz="1100" b="0" i="0">
                            <a:latin typeface="Cambria Math"/>
                          </a:rPr>
                          <m:t>SOTRU</m:t>
                        </m:r>
                      </m:e>
                      <m:sub>
                        <m:r>
                          <m:rPr>
                            <m:sty m:val="p"/>
                          </m:rPr>
                          <a:rPr lang="en-GB" sz="1100" b="0" i="0">
                            <a:latin typeface="Cambria Math"/>
                          </a:rPr>
                          <m:t>t</m:t>
                        </m:r>
                        <m:r>
                          <a:rPr lang="en-GB" sz="1100" b="0" i="0">
                            <a:latin typeface="Cambria Math"/>
                          </a:rPr>
                          <m:t>−2</m:t>
                        </m:r>
                      </m:sub>
                    </m:sSub>
                  </m:oMath>
                </m:oMathPara>
              </a14:m>
              <a:endParaRPr lang="en-GB" sz="1100" i="0"/>
            </a:p>
          </xdr:txBody>
        </xdr:sp>
      </mc:Choice>
      <mc:Fallback xmlns="">
        <xdr:sp macro="" textlink="">
          <xdr:nvSpPr>
            <xdr:cNvPr id="6" name="TextBox 5"/>
            <xdr:cNvSpPr txBox="1"/>
          </xdr:nvSpPr>
          <xdr:spPr>
            <a:xfrm>
              <a:off x="5518898" y="5418045"/>
              <a:ext cx="595950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GB" sz="1100" b="0" i="0">
                  <a:latin typeface="Cambria Math"/>
                </a:rPr>
                <a:t>SOREV</a:t>
              </a:r>
              <a:r>
                <a:rPr lang="en-GB" sz="1100" b="0" i="0">
                  <a:latin typeface="Cambria Math" panose="02040503050406030204" pitchFamily="18" charset="0"/>
                </a:rPr>
                <a:t>_(</a:t>
              </a:r>
              <a:r>
                <a:rPr lang="en-GB" sz="1100" b="0" i="0">
                  <a:latin typeface="Cambria Math"/>
                </a:rPr>
                <a:t>t−2</a:t>
              </a:r>
              <a:r>
                <a:rPr lang="en-GB" sz="1100" b="0" i="0">
                  <a:latin typeface="Cambria Math" panose="02040503050406030204" pitchFamily="18" charset="0"/>
                </a:rPr>
                <a:t>)</a:t>
              </a:r>
              <a:r>
                <a:rPr lang="en-GB" sz="1100" b="0" i="0">
                  <a:latin typeface="Cambria Math"/>
                </a:rPr>
                <a:t>=SOPU</a:t>
              </a:r>
              <a:r>
                <a:rPr lang="en-GB" sz="1100" b="0" i="0">
                  <a:latin typeface="Cambria Math" panose="02040503050406030204" pitchFamily="18" charset="0"/>
                </a:rPr>
                <a:t>_(</a:t>
              </a:r>
              <a:r>
                <a:rPr lang="en-GB" sz="1100" b="0" i="0">
                  <a:latin typeface="Cambria Math"/>
                </a:rPr>
                <a:t>t−2</a:t>
              </a:r>
              <a:r>
                <a:rPr lang="en-GB" sz="1100" b="0" i="0">
                  <a:latin typeface="Cambria Math" panose="02040503050406030204" pitchFamily="18" charset="0"/>
                </a:rPr>
                <a:t>)</a:t>
              </a:r>
              <a:r>
                <a:rPr lang="en-GB" sz="1100" b="0" i="0">
                  <a:latin typeface="Cambria Math"/>
                </a:rPr>
                <a:t>+SOMOD</a:t>
              </a:r>
              <a:r>
                <a:rPr lang="en-GB" sz="1100" b="0" i="0">
                  <a:latin typeface="Cambria Math" panose="02040503050406030204" pitchFamily="18" charset="0"/>
                </a:rPr>
                <a:t>_(</a:t>
              </a:r>
              <a:r>
                <a:rPr lang="en-GB" sz="1100" b="0" i="0">
                  <a:latin typeface="Cambria Math"/>
                </a:rPr>
                <a:t>t−2</a:t>
              </a:r>
              <a:r>
                <a:rPr lang="en-GB" sz="1100" b="0" i="0">
                  <a:latin typeface="Cambria Math" panose="02040503050406030204" pitchFamily="18" charset="0"/>
                </a:rPr>
                <a:t>)</a:t>
              </a:r>
              <a:r>
                <a:rPr lang="en-GB" sz="1100" b="0" i="0">
                  <a:latin typeface="Cambria Math"/>
                </a:rPr>
                <a:t>+SOEMR</a:t>
              </a:r>
              <a:r>
                <a:rPr lang="en-GB" sz="1100" b="0" i="0">
                  <a:latin typeface="Cambria Math" panose="02040503050406030204" pitchFamily="18" charset="0"/>
                </a:rPr>
                <a:t>_(</a:t>
              </a:r>
              <a:r>
                <a:rPr lang="en-GB" sz="1100" b="0" i="0">
                  <a:latin typeface="Cambria Math"/>
                </a:rPr>
                <a:t>t−2</a:t>
              </a:r>
              <a:r>
                <a:rPr lang="en-GB" sz="1100" b="0" i="0">
                  <a:latin typeface="Cambria Math" panose="02040503050406030204" pitchFamily="18" charset="0"/>
                </a:rPr>
                <a:t>)</a:t>
              </a:r>
              <a:r>
                <a:rPr lang="en-GB" sz="1100" b="0" i="0">
                  <a:latin typeface="Cambria Math"/>
                </a:rPr>
                <a:t>+SOEMR</a:t>
              </a:r>
              <a:r>
                <a:rPr lang="en-GB" sz="1100" b="0" i="0">
                  <a:latin typeface="Cambria Math" panose="02040503050406030204" pitchFamily="18" charset="0"/>
                </a:rPr>
                <a:t>INC_(</a:t>
              </a:r>
              <a:r>
                <a:rPr lang="en-GB" sz="1100" b="0" i="0">
                  <a:latin typeface="Cambria Math"/>
                </a:rPr>
                <a:t>t−2</a:t>
              </a:r>
              <a:r>
                <a:rPr lang="en-GB" sz="1100" b="0" i="0">
                  <a:latin typeface="Cambria Math" panose="02040503050406030204" pitchFamily="18" charset="0"/>
                </a:rPr>
                <a:t>)</a:t>
              </a:r>
              <a:r>
                <a:rPr lang="en-GB" sz="1100" b="0" i="0">
                  <a:latin typeface="Cambria Math"/>
                </a:rPr>
                <a:t>+SOEMR</a:t>
              </a:r>
              <a:r>
                <a:rPr lang="en-GB" sz="1100" b="0" i="0">
                  <a:latin typeface="Cambria Math" panose="02040503050406030204" pitchFamily="18" charset="0"/>
                </a:rPr>
                <a:t>CO_(</a:t>
              </a:r>
              <a:r>
                <a:rPr lang="en-GB" sz="1100" b="0" i="0">
                  <a:latin typeface="Cambria Math"/>
                </a:rPr>
                <a:t>t−2</a:t>
              </a:r>
              <a:r>
                <a:rPr lang="en-GB" sz="1100" b="0" i="0">
                  <a:latin typeface="Cambria Math" panose="02040503050406030204" pitchFamily="18" charset="0"/>
                </a:rPr>
                <a:t>)</a:t>
              </a:r>
              <a:r>
                <a:rPr lang="en-GB" sz="1100" b="0" i="0">
                  <a:latin typeface="Cambria Math"/>
                </a:rPr>
                <a:t>+SOTRU</a:t>
              </a:r>
              <a:r>
                <a:rPr lang="en-GB" sz="1100" b="0" i="0">
                  <a:latin typeface="Cambria Math" panose="02040503050406030204" pitchFamily="18" charset="0"/>
                </a:rPr>
                <a:t>_(</a:t>
              </a:r>
              <a:r>
                <a:rPr lang="en-GB" sz="1100" b="0" i="0">
                  <a:latin typeface="Cambria Math"/>
                </a:rPr>
                <a:t>t−2</a:t>
              </a:r>
              <a:r>
                <a:rPr lang="en-GB" sz="1100" b="0" i="0">
                  <a:latin typeface="Cambria Math" panose="02040503050406030204" pitchFamily="18" charset="0"/>
                </a:rPr>
                <a:t>)</a:t>
              </a:r>
              <a:endParaRPr lang="en-GB" sz="1100" i="0"/>
            </a:p>
          </xdr:txBody>
        </xdr:sp>
      </mc:Fallback>
    </mc:AlternateContent>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1160689</xdr:colOff>
      <xdr:row>142</xdr:row>
      <xdr:rowOff>142875</xdr:rowOff>
    </xdr:from>
    <xdr:to>
      <xdr:col>3</xdr:col>
      <xdr:colOff>444952</xdr:colOff>
      <xdr:row>144</xdr:row>
      <xdr:rowOff>29934</xdr:rowOff>
    </xdr:to>
    <xdr:pic>
      <xdr:nvPicPr>
        <xdr:cNvPr id="2" name="Picture 1">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0689" y="21326475"/>
          <a:ext cx="3160938" cy="2394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2644588</xdr:colOff>
      <xdr:row>218</xdr:row>
      <xdr:rowOff>28014</xdr:rowOff>
    </xdr:from>
    <xdr:to>
      <xdr:col>6</xdr:col>
      <xdr:colOff>118218</xdr:colOff>
      <xdr:row>221</xdr:row>
      <xdr:rowOff>79561</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rotWithShape="1">
        <a:blip xmlns:r="http://schemas.openxmlformats.org/officeDocument/2006/relationships" r:embed="rId2"/>
        <a:srcRect l="19579" t="45011" r="35441" b="44534"/>
        <a:stretch/>
      </xdr:blipFill>
      <xdr:spPr>
        <a:xfrm>
          <a:off x="2644588" y="33594114"/>
          <a:ext cx="3883955" cy="556372"/>
        </a:xfrm>
        <a:prstGeom prst="rect">
          <a:avLst/>
        </a:prstGeom>
      </xdr:spPr>
    </xdr:pic>
    <xdr:clientData/>
  </xdr:twoCellAnchor>
  <mc:AlternateContent xmlns:mc="http://schemas.openxmlformats.org/markup-compatibility/2006">
    <mc:Choice xmlns:a14="http://schemas.microsoft.com/office/drawing/2010/main" Requires="a14">
      <xdr:twoCellAnchor>
        <xdr:from>
          <xdr:col>0</xdr:col>
          <xdr:colOff>0</xdr:colOff>
          <xdr:row>39</xdr:row>
          <xdr:rowOff>69850</xdr:rowOff>
        </xdr:from>
        <xdr:to>
          <xdr:col>4</xdr:col>
          <xdr:colOff>647700</xdr:colOff>
          <xdr:row>40</xdr:row>
          <xdr:rowOff>107950</xdr:rowOff>
        </xdr:to>
        <xdr:sp macro="" textlink="">
          <xdr:nvSpPr>
            <xdr:cNvPr id="32769" name="Object 1" hidden="1">
              <a:extLst>
                <a:ext uri="{63B3BB69-23CF-44E3-9099-C40C66FF867C}">
                  <a14:compatExt spid="_x0000_s32769"/>
                </a:ext>
                <a:ext uri="{FF2B5EF4-FFF2-40B4-BE49-F238E27FC236}">
                  <a16:creationId xmlns:a16="http://schemas.microsoft.com/office/drawing/2014/main" id="{00000000-0008-0000-1000-0000018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2736850</xdr:colOff>
          <xdr:row>81</xdr:row>
          <xdr:rowOff>12700</xdr:rowOff>
        </xdr:from>
        <xdr:to>
          <xdr:col>4</xdr:col>
          <xdr:colOff>336550</xdr:colOff>
          <xdr:row>82</xdr:row>
          <xdr:rowOff>69850</xdr:rowOff>
        </xdr:to>
        <xdr:sp macro="" textlink="">
          <xdr:nvSpPr>
            <xdr:cNvPr id="32770" name="Object 2" hidden="1">
              <a:extLst>
                <a:ext uri="{63B3BB69-23CF-44E3-9099-C40C66FF867C}">
                  <a14:compatExt spid="_x0000_s32770"/>
                </a:ext>
                <a:ext uri="{FF2B5EF4-FFF2-40B4-BE49-F238E27FC236}">
                  <a16:creationId xmlns:a16="http://schemas.microsoft.com/office/drawing/2014/main" id="{00000000-0008-0000-1000-0000028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1181100</xdr:colOff>
          <xdr:row>127</xdr:row>
          <xdr:rowOff>146050</xdr:rowOff>
        </xdr:from>
        <xdr:to>
          <xdr:col>1</xdr:col>
          <xdr:colOff>622300</xdr:colOff>
          <xdr:row>129</xdr:row>
          <xdr:rowOff>50800</xdr:rowOff>
        </xdr:to>
        <xdr:sp macro="" textlink="">
          <xdr:nvSpPr>
            <xdr:cNvPr id="32771" name="Object 3" hidden="1">
              <a:extLst>
                <a:ext uri="{63B3BB69-23CF-44E3-9099-C40C66FF867C}">
                  <a14:compatExt spid="_x0000_s32771"/>
                </a:ext>
                <a:ext uri="{FF2B5EF4-FFF2-40B4-BE49-F238E27FC236}">
                  <a16:creationId xmlns:a16="http://schemas.microsoft.com/office/drawing/2014/main" id="{00000000-0008-0000-1000-0000038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2279650</xdr:colOff>
          <xdr:row>170</xdr:row>
          <xdr:rowOff>0</xdr:rowOff>
        </xdr:from>
        <xdr:to>
          <xdr:col>2</xdr:col>
          <xdr:colOff>165100</xdr:colOff>
          <xdr:row>171</xdr:row>
          <xdr:rowOff>69850</xdr:rowOff>
        </xdr:to>
        <xdr:sp macro="" textlink="">
          <xdr:nvSpPr>
            <xdr:cNvPr id="32772" name="Object 4" hidden="1">
              <a:extLst>
                <a:ext uri="{63B3BB69-23CF-44E3-9099-C40C66FF867C}">
                  <a14:compatExt spid="_x0000_s32772"/>
                </a:ext>
                <a:ext uri="{FF2B5EF4-FFF2-40B4-BE49-F238E27FC236}">
                  <a16:creationId xmlns:a16="http://schemas.microsoft.com/office/drawing/2014/main" id="{00000000-0008-0000-1000-0000048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179</xdr:row>
          <xdr:rowOff>12700</xdr:rowOff>
        </xdr:from>
        <xdr:to>
          <xdr:col>1</xdr:col>
          <xdr:colOff>527050</xdr:colOff>
          <xdr:row>181</xdr:row>
          <xdr:rowOff>107950</xdr:rowOff>
        </xdr:to>
        <xdr:sp macro="" textlink="">
          <xdr:nvSpPr>
            <xdr:cNvPr id="32773" name="Object 5" hidden="1">
              <a:extLst>
                <a:ext uri="{63B3BB69-23CF-44E3-9099-C40C66FF867C}">
                  <a14:compatExt spid="_x0000_s32773"/>
                </a:ext>
                <a:ext uri="{FF2B5EF4-FFF2-40B4-BE49-F238E27FC236}">
                  <a16:creationId xmlns:a16="http://schemas.microsoft.com/office/drawing/2014/main" id="{00000000-0008-0000-1000-0000058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69850</xdr:colOff>
          <xdr:row>195</xdr:row>
          <xdr:rowOff>31750</xdr:rowOff>
        </xdr:from>
        <xdr:to>
          <xdr:col>2</xdr:col>
          <xdr:colOff>69850</xdr:colOff>
          <xdr:row>197</xdr:row>
          <xdr:rowOff>152400</xdr:rowOff>
        </xdr:to>
        <xdr:sp macro="" textlink="">
          <xdr:nvSpPr>
            <xdr:cNvPr id="32774" name="Object 6" hidden="1">
              <a:extLst>
                <a:ext uri="{63B3BB69-23CF-44E3-9099-C40C66FF867C}">
                  <a14:compatExt spid="_x0000_s32774"/>
                </a:ext>
                <a:ext uri="{FF2B5EF4-FFF2-40B4-BE49-F238E27FC236}">
                  <a16:creationId xmlns:a16="http://schemas.microsoft.com/office/drawing/2014/main" id="{00000000-0008-0000-1000-0000068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2590800</xdr:colOff>
          <xdr:row>208</xdr:row>
          <xdr:rowOff>38100</xdr:rowOff>
        </xdr:from>
        <xdr:to>
          <xdr:col>5</xdr:col>
          <xdr:colOff>990600</xdr:colOff>
          <xdr:row>210</xdr:row>
          <xdr:rowOff>165100</xdr:rowOff>
        </xdr:to>
        <xdr:sp macro="" textlink="">
          <xdr:nvSpPr>
            <xdr:cNvPr id="32775" name="Object 7" hidden="1">
              <a:extLst>
                <a:ext uri="{63B3BB69-23CF-44E3-9099-C40C66FF867C}">
                  <a14:compatExt spid="_x0000_s32775"/>
                </a:ext>
                <a:ext uri="{FF2B5EF4-FFF2-40B4-BE49-F238E27FC236}">
                  <a16:creationId xmlns:a16="http://schemas.microsoft.com/office/drawing/2014/main" id="{00000000-0008-0000-1000-0000078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xdr:col>
      <xdr:colOff>428625</xdr:colOff>
      <xdr:row>227</xdr:row>
      <xdr:rowOff>133350</xdr:rowOff>
    </xdr:from>
    <xdr:to>
      <xdr:col>5</xdr:col>
      <xdr:colOff>238125</xdr:colOff>
      <xdr:row>229</xdr:row>
      <xdr:rowOff>95249</xdr:rowOff>
    </xdr:to>
    <xdr:pic>
      <xdr:nvPicPr>
        <xdr:cNvPr id="11" name="Picture 8">
          <a:extLst>
            <a:ext uri="{FF2B5EF4-FFF2-40B4-BE49-F238E27FC236}">
              <a16:creationId xmlns:a16="http://schemas.microsoft.com/office/drawing/2014/main" id="{00000000-0008-0000-1000-00000B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3105150" y="35175825"/>
          <a:ext cx="2447925" cy="304798"/>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0</xdr:col>
          <xdr:colOff>127000</xdr:colOff>
          <xdr:row>20</xdr:row>
          <xdr:rowOff>31750</xdr:rowOff>
        </xdr:from>
        <xdr:to>
          <xdr:col>5</xdr:col>
          <xdr:colOff>457200</xdr:colOff>
          <xdr:row>22</xdr:row>
          <xdr:rowOff>38100</xdr:rowOff>
        </xdr:to>
        <xdr:sp macro="" textlink="">
          <xdr:nvSpPr>
            <xdr:cNvPr id="32776" name="Object 8" hidden="1">
              <a:extLst>
                <a:ext uri="{63B3BB69-23CF-44E3-9099-C40C66FF867C}">
                  <a14:compatExt spid="_x0000_s32776"/>
                </a:ext>
                <a:ext uri="{FF2B5EF4-FFF2-40B4-BE49-F238E27FC236}">
                  <a16:creationId xmlns:a16="http://schemas.microsoft.com/office/drawing/2014/main" id="{00000000-0008-0000-1000-0000088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938893</xdr:colOff>
      <xdr:row>112</xdr:row>
      <xdr:rowOff>149678</xdr:rowOff>
    </xdr:from>
    <xdr:to>
      <xdr:col>2</xdr:col>
      <xdr:colOff>255813</xdr:colOff>
      <xdr:row>114</xdr:row>
      <xdr:rowOff>81642</xdr:rowOff>
    </xdr:to>
    <xdr:pic>
      <xdr:nvPicPr>
        <xdr:cNvPr id="13" name="Picture 12">
          <a:extLst>
            <a:ext uri="{FF2B5EF4-FFF2-40B4-BE49-F238E27FC236}">
              <a16:creationId xmlns:a16="http://schemas.microsoft.com/office/drawing/2014/main" id="{00000000-0008-0000-1000-00000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38893" y="16389803"/>
          <a:ext cx="2679245" cy="2843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54</xdr:row>
      <xdr:rowOff>11207</xdr:rowOff>
    </xdr:from>
    <xdr:to>
      <xdr:col>5</xdr:col>
      <xdr:colOff>123264</xdr:colOff>
      <xdr:row>56</xdr:row>
      <xdr:rowOff>16809</xdr:rowOff>
    </xdr:to>
    <xdr:pic>
      <xdr:nvPicPr>
        <xdr:cNvPr id="14" name="Picture 13">
          <a:extLst>
            <a:ext uri="{FF2B5EF4-FFF2-40B4-BE49-F238E27FC236}">
              <a16:creationId xmlns:a16="http://schemas.microsoft.com/office/drawing/2014/main" id="{00000000-0008-0000-1000-00000E000000}"/>
            </a:ext>
          </a:extLst>
        </xdr:cNvPr>
        <xdr:cNvPicPr>
          <a:picLocks noChangeAspect="1"/>
        </xdr:cNvPicPr>
      </xdr:nvPicPr>
      <xdr:blipFill>
        <a:blip xmlns:r="http://schemas.openxmlformats.org/officeDocument/2006/relationships" r:embed="rId5"/>
        <a:stretch>
          <a:fillRect/>
        </a:stretch>
      </xdr:blipFill>
      <xdr:spPr>
        <a:xfrm>
          <a:off x="0" y="9222442"/>
          <a:ext cx="5446058" cy="386602"/>
        </a:xfrm>
        <a:prstGeom prst="rect">
          <a:avLst/>
        </a:prstGeom>
      </xdr:spPr>
    </xdr:pic>
    <xdr:clientData/>
  </xdr:twoCellAnchor>
  <xdr:twoCellAnchor editAs="oneCell">
    <xdr:from>
      <xdr:col>0</xdr:col>
      <xdr:colOff>0</xdr:colOff>
      <xdr:row>67</xdr:row>
      <xdr:rowOff>0</xdr:rowOff>
    </xdr:from>
    <xdr:to>
      <xdr:col>5</xdr:col>
      <xdr:colOff>20063</xdr:colOff>
      <xdr:row>68</xdr:row>
      <xdr:rowOff>171405</xdr:rowOff>
    </xdr:to>
    <xdr:pic>
      <xdr:nvPicPr>
        <xdr:cNvPr id="4" name="Picture 3">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6"/>
        <a:stretch>
          <a:fillRect/>
        </a:stretch>
      </xdr:blipFill>
      <xdr:spPr>
        <a:xfrm>
          <a:off x="0" y="11385176"/>
          <a:ext cx="5342857" cy="36190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371474</xdr:colOff>
      <xdr:row>79</xdr:row>
      <xdr:rowOff>276012</xdr:rowOff>
    </xdr:from>
    <xdr:to>
      <xdr:col>3</xdr:col>
      <xdr:colOff>3727255</xdr:colOff>
      <xdr:row>79</xdr:row>
      <xdr:rowOff>2724150</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7505699" y="15049287"/>
          <a:ext cx="3355781" cy="2448138"/>
        </a:xfrm>
        <a:prstGeom prst="rect">
          <a:avLst/>
        </a:prstGeom>
        <a:ln>
          <a:solidFill>
            <a:schemeClr val="accent1"/>
          </a:solidFill>
        </a:ln>
      </xdr:spPr>
    </xdr:pic>
    <xdr:clientData/>
  </xdr:twoCellAnchor>
  <xdr:twoCellAnchor editAs="oneCell">
    <xdr:from>
      <xdr:col>3</xdr:col>
      <xdr:colOff>361951</xdr:colOff>
      <xdr:row>79</xdr:row>
      <xdr:rowOff>3033709</xdr:rowOff>
    </xdr:from>
    <xdr:to>
      <xdr:col>3</xdr:col>
      <xdr:colOff>3209924</xdr:colOff>
      <xdr:row>86</xdr:row>
      <xdr:rowOff>37174</xdr:rowOff>
    </xdr:to>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a:stretch>
          <a:fillRect/>
        </a:stretch>
      </xdr:blipFill>
      <xdr:spPr>
        <a:xfrm>
          <a:off x="7496176" y="17806984"/>
          <a:ext cx="2847973" cy="1375440"/>
        </a:xfrm>
        <a:prstGeom prst="rect">
          <a:avLst/>
        </a:prstGeom>
        <a:ln>
          <a:solidFill>
            <a:schemeClr val="accent1"/>
          </a:solidFill>
        </a:ln>
      </xdr:spPr>
    </xdr:pic>
    <xdr:clientData/>
  </xdr:twoCellAnchor>
  <xdr:twoCellAnchor editAs="oneCell">
    <xdr:from>
      <xdr:col>1</xdr:col>
      <xdr:colOff>257175</xdr:colOff>
      <xdr:row>98</xdr:row>
      <xdr:rowOff>123825</xdr:rowOff>
    </xdr:from>
    <xdr:to>
      <xdr:col>2</xdr:col>
      <xdr:colOff>5390714</xdr:colOff>
      <xdr:row>116</xdr:row>
      <xdr:rowOff>18477</xdr:rowOff>
    </xdr:to>
    <xdr:pic>
      <xdr:nvPicPr>
        <xdr:cNvPr id="4" name="Picture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3"/>
        <a:stretch>
          <a:fillRect/>
        </a:stretch>
      </xdr:blipFill>
      <xdr:spPr>
        <a:xfrm>
          <a:off x="942975" y="22669500"/>
          <a:ext cx="5828864" cy="280930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1670050</xdr:colOff>
      <xdr:row>3</xdr:row>
      <xdr:rowOff>95250</xdr:rowOff>
    </xdr:from>
    <xdr:to>
      <xdr:col>2</xdr:col>
      <xdr:colOff>666750</xdr:colOff>
      <xdr:row>5</xdr:row>
      <xdr:rowOff>38101</xdr:rowOff>
    </xdr:to>
    <xdr:pic>
      <xdr:nvPicPr>
        <xdr:cNvPr id="3" name="Picture 2">
          <a:extLst>
            <a:ext uri="{FF2B5EF4-FFF2-40B4-BE49-F238E27FC236}">
              <a16:creationId xmlns:a16="http://schemas.microsoft.com/office/drawing/2014/main" id="{00000000-0008-0000-1200-000003000000}"/>
            </a:ext>
          </a:extLst>
        </xdr:cNvPr>
        <xdr:cNvPicPr>
          <a:picLocks noChangeAspect="1"/>
        </xdr:cNvPicPr>
      </xdr:nvPicPr>
      <xdr:blipFill rotWithShape="1">
        <a:blip xmlns:r="http://schemas.openxmlformats.org/officeDocument/2006/relationships" r:embed="rId1"/>
        <a:srcRect l="14394" t="37391" r="61370" b="57117"/>
        <a:stretch/>
      </xdr:blipFill>
      <xdr:spPr>
        <a:xfrm>
          <a:off x="1670050" y="638175"/>
          <a:ext cx="2181225" cy="295276"/>
        </a:xfrm>
        <a:prstGeom prst="rect">
          <a:avLst/>
        </a:prstGeom>
      </xdr:spPr>
    </xdr:pic>
    <xdr:clientData/>
  </xdr:twoCellAnchor>
  <xdr:twoCellAnchor editAs="oneCell">
    <xdr:from>
      <xdr:col>0</xdr:col>
      <xdr:colOff>2324099</xdr:colOff>
      <xdr:row>22</xdr:row>
      <xdr:rowOff>131233</xdr:rowOff>
    </xdr:from>
    <xdr:to>
      <xdr:col>6</xdr:col>
      <xdr:colOff>195790</xdr:colOff>
      <xdr:row>24</xdr:row>
      <xdr:rowOff>45509</xdr:rowOff>
    </xdr:to>
    <xdr:pic>
      <xdr:nvPicPr>
        <xdr:cNvPr id="4" name="Picture 3">
          <a:extLst>
            <a:ext uri="{FF2B5EF4-FFF2-40B4-BE49-F238E27FC236}">
              <a16:creationId xmlns:a16="http://schemas.microsoft.com/office/drawing/2014/main" id="{00000000-0008-0000-1200-000004000000}"/>
            </a:ext>
          </a:extLst>
        </xdr:cNvPr>
        <xdr:cNvPicPr>
          <a:picLocks noChangeAspect="1"/>
        </xdr:cNvPicPr>
      </xdr:nvPicPr>
      <xdr:blipFill rotWithShape="1">
        <a:blip xmlns:r="http://schemas.openxmlformats.org/officeDocument/2006/relationships" r:embed="rId1"/>
        <a:srcRect l="14394" t="65921" r="37134" b="29649"/>
        <a:stretch/>
      </xdr:blipFill>
      <xdr:spPr>
        <a:xfrm>
          <a:off x="2324099" y="3893608"/>
          <a:ext cx="4368800" cy="238126"/>
        </a:xfrm>
        <a:prstGeom prst="rect">
          <a:avLst/>
        </a:prstGeom>
      </xdr:spPr>
    </xdr:pic>
    <xdr:clientData/>
  </xdr:twoCellAnchor>
  <xdr:twoCellAnchor editAs="oneCell">
    <xdr:from>
      <xdr:col>0</xdr:col>
      <xdr:colOff>1827741</xdr:colOff>
      <xdr:row>33</xdr:row>
      <xdr:rowOff>112182</xdr:rowOff>
    </xdr:from>
    <xdr:to>
      <xdr:col>8</xdr:col>
      <xdr:colOff>28574</xdr:colOff>
      <xdr:row>35</xdr:row>
      <xdr:rowOff>93133</xdr:rowOff>
    </xdr:to>
    <xdr:pic>
      <xdr:nvPicPr>
        <xdr:cNvPr id="5" name="Picture 4">
          <a:extLst>
            <a:ext uri="{FF2B5EF4-FFF2-40B4-BE49-F238E27FC236}">
              <a16:creationId xmlns:a16="http://schemas.microsoft.com/office/drawing/2014/main" id="{00000000-0008-0000-1200-000005000000}"/>
            </a:ext>
          </a:extLst>
        </xdr:cNvPr>
        <xdr:cNvPicPr>
          <a:picLocks noChangeAspect="1"/>
        </xdr:cNvPicPr>
      </xdr:nvPicPr>
      <xdr:blipFill rotWithShape="1">
        <a:blip xmlns:r="http://schemas.openxmlformats.org/officeDocument/2006/relationships" r:embed="rId1"/>
        <a:srcRect l="14394" t="71947" r="19778" b="22382"/>
        <a:stretch/>
      </xdr:blipFill>
      <xdr:spPr>
        <a:xfrm>
          <a:off x="1827741" y="5655732"/>
          <a:ext cx="5930900" cy="304801"/>
        </a:xfrm>
        <a:prstGeom prst="rect">
          <a:avLst/>
        </a:prstGeom>
      </xdr:spPr>
    </xdr:pic>
    <xdr:clientData/>
  </xdr:twoCellAnchor>
  <xdr:twoCellAnchor>
    <xdr:from>
      <xdr:col>0</xdr:col>
      <xdr:colOff>2354792</xdr:colOff>
      <xdr:row>10</xdr:row>
      <xdr:rowOff>127000</xdr:rowOff>
    </xdr:from>
    <xdr:to>
      <xdr:col>8</xdr:col>
      <xdr:colOff>642178</xdr:colOff>
      <xdr:row>12</xdr:row>
      <xdr:rowOff>86499</xdr:rowOff>
    </xdr:to>
    <xdr:sp macro="" textlink="">
      <xdr:nvSpPr>
        <xdr:cNvPr id="6" name="TextBox 5">
          <a:extLst>
            <a:ext uri="{FF2B5EF4-FFF2-40B4-BE49-F238E27FC236}">
              <a16:creationId xmlns:a16="http://schemas.microsoft.com/office/drawing/2014/main" id="{00000000-0008-0000-1200-000006000000}"/>
            </a:ext>
          </a:extLst>
        </xdr:cNvPr>
        <xdr:cNvSpPr txBox="1"/>
      </xdr:nvSpPr>
      <xdr:spPr>
        <a:xfrm>
          <a:off x="2354792" y="1873250"/>
          <a:ext cx="6489469" cy="276999"/>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sz="1200" i="1">
              <a:latin typeface="Arial" panose="020B0604020202020204" pitchFamily="34" charset="0"/>
              <a:ea typeface="Verdana" panose="020B0604030504040204" pitchFamily="34" charset="0"/>
              <a:cs typeface="Arial" panose="020B0604020202020204" pitchFamily="34" charset="0"/>
            </a:rPr>
            <a:t>DSBR</a:t>
          </a:r>
          <a:r>
            <a:rPr lang="en-GB" sz="1200" i="1" baseline="-25000">
              <a:latin typeface="Arial" panose="020B0604020202020204" pitchFamily="34" charset="0"/>
              <a:ea typeface="Verdana" panose="020B0604030504040204" pitchFamily="34" charset="0"/>
              <a:cs typeface="Arial" panose="020B0604020202020204" pitchFamily="34" charset="0"/>
            </a:rPr>
            <a:t>t</a:t>
          </a:r>
          <a:r>
            <a:rPr lang="en-GB" sz="1200" i="1">
              <a:latin typeface="Arial" panose="020B0604020202020204" pitchFamily="34" charset="0"/>
              <a:ea typeface="Verdana" panose="020B0604030504040204" pitchFamily="34" charset="0"/>
              <a:cs typeface="Arial" panose="020B0604020202020204" pitchFamily="34" charset="0"/>
            </a:rPr>
            <a:t> = DSBRS</a:t>
          </a:r>
          <a:r>
            <a:rPr lang="en-GB" sz="1200" i="1" baseline="-25000">
              <a:latin typeface="Arial" panose="020B0604020202020204" pitchFamily="34" charset="0"/>
              <a:ea typeface="Verdana" panose="020B0604030504040204" pitchFamily="34" charset="0"/>
              <a:cs typeface="Arial" panose="020B0604020202020204" pitchFamily="34" charset="0"/>
            </a:rPr>
            <a:t>t</a:t>
          </a:r>
          <a:r>
            <a:rPr lang="en-GB" sz="1200" i="1">
              <a:latin typeface="Arial" panose="020B0604020202020204" pitchFamily="34" charset="0"/>
              <a:ea typeface="Verdana" panose="020B0604030504040204" pitchFamily="34" charset="0"/>
              <a:cs typeface="Arial" panose="020B0604020202020204" pitchFamily="34" charset="0"/>
            </a:rPr>
            <a:t> + DSBRSA</a:t>
          </a:r>
          <a:r>
            <a:rPr lang="en-GB" sz="1200" i="1" baseline="-25000">
              <a:latin typeface="Arial" panose="020B0604020202020204" pitchFamily="34" charset="0"/>
              <a:ea typeface="Verdana" panose="020B0604030504040204" pitchFamily="34" charset="0"/>
              <a:cs typeface="Arial" panose="020B0604020202020204" pitchFamily="34" charset="0"/>
            </a:rPr>
            <a:t>t</a:t>
          </a:r>
          <a:r>
            <a:rPr lang="en-GB" sz="1200" i="1">
              <a:latin typeface="Arial" panose="020B0604020202020204" pitchFamily="34" charset="0"/>
              <a:ea typeface="Verdana" panose="020B0604030504040204" pitchFamily="34" charset="0"/>
              <a:cs typeface="Arial" panose="020B0604020202020204" pitchFamily="34" charset="0"/>
            </a:rPr>
            <a:t> + DSBRAd</a:t>
          </a:r>
          <a:r>
            <a:rPr lang="en-GB" sz="1200" i="1" baseline="-25000">
              <a:latin typeface="Arial" panose="020B0604020202020204" pitchFamily="34" charset="0"/>
              <a:ea typeface="Verdana" panose="020B0604030504040204" pitchFamily="34" charset="0"/>
              <a:cs typeface="Arial" panose="020B0604020202020204" pitchFamily="34" charset="0"/>
            </a:rPr>
            <a:t>t</a:t>
          </a:r>
          <a:r>
            <a:rPr lang="en-GB" sz="1200" i="1">
              <a:latin typeface="Arial" panose="020B0604020202020204" pitchFamily="34" charset="0"/>
              <a:ea typeface="Verdana" panose="020B0604030504040204" pitchFamily="34" charset="0"/>
              <a:cs typeface="Arial" panose="020B0604020202020204" pitchFamily="34" charset="0"/>
            </a:rPr>
            <a:t> + DSBRAdA</a:t>
          </a:r>
          <a:r>
            <a:rPr lang="en-GB" sz="1200" i="1" baseline="-25000">
              <a:latin typeface="Arial" panose="020B0604020202020204" pitchFamily="34" charset="0"/>
              <a:ea typeface="Verdana" panose="020B0604030504040204" pitchFamily="34" charset="0"/>
              <a:cs typeface="Arial" panose="020B0604020202020204" pitchFamily="34" charset="0"/>
            </a:rPr>
            <a:t>t</a:t>
          </a:r>
          <a:r>
            <a:rPr lang="en-GB" sz="1200" i="1">
              <a:latin typeface="Arial" panose="020B0604020202020204" pitchFamily="34" charset="0"/>
              <a:ea typeface="Verdana" panose="020B0604030504040204" pitchFamily="34" charset="0"/>
              <a:cs typeface="Arial" panose="020B0604020202020204" pitchFamily="34" charset="0"/>
            </a:rPr>
            <a:t> + DSBRT</a:t>
          </a:r>
          <a:r>
            <a:rPr lang="en-GB" sz="1200" i="1" baseline="-25000">
              <a:latin typeface="Arial" panose="020B0604020202020204" pitchFamily="34" charset="0"/>
              <a:ea typeface="Verdana" panose="020B0604030504040204" pitchFamily="34" charset="0"/>
              <a:cs typeface="Arial" panose="020B0604020202020204" pitchFamily="34" charset="0"/>
            </a:rPr>
            <a:t>t</a:t>
          </a:r>
          <a:r>
            <a:rPr lang="en-GB" sz="1200" i="1">
              <a:latin typeface="Arial" panose="020B0604020202020204" pitchFamily="34" charset="0"/>
              <a:ea typeface="Verdana" panose="020B0604030504040204" pitchFamily="34" charset="0"/>
              <a:cs typeface="Arial" panose="020B0604020202020204" pitchFamily="34" charset="0"/>
            </a:rPr>
            <a:t> + DSBRTA</a:t>
          </a:r>
          <a:r>
            <a:rPr lang="en-GB" sz="1200" i="1" baseline="-25000">
              <a:latin typeface="Arial" panose="020B0604020202020204" pitchFamily="34" charset="0"/>
              <a:ea typeface="Verdana" panose="020B0604030504040204" pitchFamily="34" charset="0"/>
              <a:cs typeface="Arial" panose="020B0604020202020204" pitchFamily="34" charset="0"/>
            </a:rPr>
            <a:t>t</a:t>
          </a:r>
          <a:r>
            <a:rPr lang="en-GB" sz="1200" i="1">
              <a:latin typeface="Arial" panose="020B0604020202020204" pitchFamily="34" charset="0"/>
              <a:ea typeface="Verdana" panose="020B0604030504040204" pitchFamily="34" charset="0"/>
              <a:cs typeface="Arial" panose="020B0604020202020204" pitchFamily="34" charset="0"/>
            </a:rPr>
            <a:t> + DSBRU</a:t>
          </a:r>
          <a:r>
            <a:rPr lang="en-GB" sz="1200" i="1" baseline="-25000">
              <a:latin typeface="Arial" panose="020B0604020202020204" pitchFamily="34" charset="0"/>
              <a:ea typeface="Verdana" panose="020B0604030504040204" pitchFamily="34" charset="0"/>
              <a:cs typeface="Arial" panose="020B0604020202020204" pitchFamily="34" charset="0"/>
            </a:rPr>
            <a:t>t</a:t>
          </a:r>
          <a:r>
            <a:rPr lang="en-GB" sz="1200" i="1">
              <a:latin typeface="Arial" panose="020B0604020202020204" pitchFamily="34" charset="0"/>
              <a:ea typeface="Verdana" panose="020B0604030504040204" pitchFamily="34" charset="0"/>
              <a:cs typeface="Arial" panose="020B0604020202020204" pitchFamily="34" charset="0"/>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2013/RIIO%20CommonToSectors/Revenue%20RRPs/Revenue%20RRP/2019-20/Legacy%20-%20Extended%20Revenue%20RRPs/SPT/SPTL_Revenue_Return_Model-(Legac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ofgem.gov.uk/Shared/NGDSSWRK002/Strategic_Financial_Planning/A%20-%20RIIO%20Business%20Partnering/Revenue%20RRP/2018-19/Submission%20Files/NGET%20Revenue%20RRP%202018-19%20RPIA%20update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owsonR/AppData/Local/Microsoft/Windows/Temporary%20Internet%20Files/Content.Outlook/QBDPAQ7M/RIIO-T1%20NGET%20Revenue%20Reporting%20Template%2013-14%20(as%20per%20NG%20Comments)%20-%20v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2013/sgg/CO/Cost_and_Outputs_Lib/Transmission/RIIO_Reporting/RIGs_Development/RIGs_2020_21/5_Direction/2019-20%20NGET%20Revenue%20RRP%20Legac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harepoint2013/RIIO%20CommonToSectors/Revenue%20RRPs/Revenue%20RRP/2019-20/Legacy%20-%20Extended%20Revenue%20RRPs/Cadent/East%20Revenue%20RRP%20Update%20for%20LARt_submissio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ofgem.gov.uk/Amrita/Revenue%20Returns/2012-13%20returns/2013_NGET_RRP_B16_Revenue_v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RowsonR/AppData/Local/Microsoft/Windows/Temporary%20Internet%20Files/Content.Outlook/QBDPAQ7M/2014_15_SHE_Revenue_Return_Model%20-%20TEMPLATE%20v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harepoint2010/sgg/CO/Cost_and_Outputs_Lib/Transmission/RIIO_Reporting/RIGs_Development/RIGs_2016_17/2_Notice/2015-16_NGET_Revenue_Return_Model%20_Updated_Oct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nationalgridplc.sharepoint.com/sites/GRP-INT-RegulatoryReportingandAssurance/03%20Revenue/Final%20submissions/NGET%20Revenue%20RRP%202018-19%20RPIA%20upd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t Summary"/>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1 TIRG"/>
      <sheetName val="R12 TO MAR"/>
      <sheetName val="R13 Excluded Revenue"/>
      <sheetName val="R14 Rec to Stat Ac"/>
      <sheetName val="Legacy for Ofgem"/>
    </sheetNames>
    <sheetDataSet>
      <sheetData sheetId="0"/>
      <sheetData sheetId="1"/>
      <sheetData sheetId="2"/>
      <sheetData sheetId="3"/>
      <sheetData sheetId="4">
        <row r="9">
          <cell r="F9">
            <v>225.12200000000001</v>
          </cell>
          <cell r="G9">
            <v>236.95</v>
          </cell>
          <cell r="H9">
            <v>258.63299999999998</v>
          </cell>
          <cell r="I9">
            <v>244.655</v>
          </cell>
          <cell r="J9">
            <v>249.43899999999999</v>
          </cell>
          <cell r="K9">
            <v>253.065</v>
          </cell>
          <cell r="L9">
            <v>256.44499999999999</v>
          </cell>
          <cell r="M9">
            <v>254.238</v>
          </cell>
        </row>
        <row r="12">
          <cell r="F12">
            <v>24.1</v>
          </cell>
          <cell r="G12">
            <v>24.1</v>
          </cell>
          <cell r="H12">
            <v>24.1</v>
          </cell>
          <cell r="I12">
            <v>24.1</v>
          </cell>
          <cell r="J12">
            <v>24.1</v>
          </cell>
          <cell r="K12">
            <v>24.1</v>
          </cell>
          <cell r="L12">
            <v>24.1</v>
          </cell>
          <cell r="M12">
            <v>24.1</v>
          </cell>
        </row>
        <row r="22">
          <cell r="F22">
            <v>1.6E-2</v>
          </cell>
          <cell r="G22">
            <v>1.6E-2</v>
          </cell>
          <cell r="H22">
            <v>1.6E-2</v>
          </cell>
          <cell r="I22">
            <v>1.6E-2</v>
          </cell>
          <cell r="J22">
            <v>1.6E-2</v>
          </cell>
          <cell r="K22">
            <v>1.6E-2</v>
          </cell>
          <cell r="L22">
            <v>1.6E-2</v>
          </cell>
          <cell r="M22">
            <v>1.6E-2</v>
          </cell>
          <cell r="N22" t="str">
            <v>VOLL</v>
          </cell>
        </row>
        <row r="23">
          <cell r="F23">
            <v>225</v>
          </cell>
          <cell r="G23">
            <v>225</v>
          </cell>
          <cell r="H23">
            <v>225</v>
          </cell>
          <cell r="I23">
            <v>225</v>
          </cell>
          <cell r="J23">
            <v>225</v>
          </cell>
          <cell r="K23">
            <v>225</v>
          </cell>
          <cell r="L23">
            <v>225</v>
          </cell>
          <cell r="M23">
            <v>225</v>
          </cell>
        </row>
        <row r="24">
          <cell r="F24">
            <v>0.03</v>
          </cell>
          <cell r="G24">
            <v>0.03</v>
          </cell>
          <cell r="H24">
            <v>0.03</v>
          </cell>
          <cell r="I24">
            <v>0.03</v>
          </cell>
          <cell r="J24">
            <v>0.03</v>
          </cell>
          <cell r="K24">
            <v>0.03</v>
          </cell>
          <cell r="L24">
            <v>0.03</v>
          </cell>
          <cell r="M24">
            <v>0.03</v>
          </cell>
        </row>
        <row r="40">
          <cell r="F40">
            <v>0.5</v>
          </cell>
          <cell r="G40">
            <v>0.5</v>
          </cell>
          <cell r="H40">
            <v>0.5</v>
          </cell>
          <cell r="I40">
            <v>0.5</v>
          </cell>
          <cell r="J40">
            <v>0.5</v>
          </cell>
          <cell r="K40">
            <v>0.5</v>
          </cell>
          <cell r="L40">
            <v>0.5</v>
          </cell>
          <cell r="M40">
            <v>0.5</v>
          </cell>
        </row>
        <row r="42">
          <cell r="F42">
            <v>5.0000000000000001E-3</v>
          </cell>
          <cell r="G42">
            <v>5.0000000000000001E-3</v>
          </cell>
          <cell r="H42">
            <v>5.0000000000000001E-3</v>
          </cell>
          <cell r="I42">
            <v>5.0000000000000001E-3</v>
          </cell>
          <cell r="J42">
            <v>5.0000000000000001E-3</v>
          </cell>
          <cell r="K42">
            <v>5.0000000000000001E-3</v>
          </cell>
          <cell r="L42">
            <v>5.0000000000000001E-3</v>
          </cell>
          <cell r="M42">
            <v>5.0000000000000001E-3</v>
          </cell>
        </row>
        <row r="45">
          <cell r="F45">
            <v>23.9</v>
          </cell>
          <cell r="G45">
            <v>23.9</v>
          </cell>
          <cell r="H45">
            <v>23.9</v>
          </cell>
          <cell r="I45">
            <v>23.9</v>
          </cell>
          <cell r="J45">
            <v>23.9</v>
          </cell>
          <cell r="K45">
            <v>23.9</v>
          </cell>
          <cell r="L45">
            <v>23.9</v>
          </cell>
          <cell r="M45">
            <v>23.9</v>
          </cell>
        </row>
        <row r="49">
          <cell r="F49">
            <v>0</v>
          </cell>
          <cell r="G49">
            <v>0</v>
          </cell>
          <cell r="H49">
            <v>0</v>
          </cell>
          <cell r="I49">
            <v>7.4</v>
          </cell>
          <cell r="J49">
            <v>7.4</v>
          </cell>
          <cell r="K49">
            <v>7.4</v>
          </cell>
          <cell r="L49">
            <v>7.4</v>
          </cell>
          <cell r="M49">
            <v>7.4</v>
          </cell>
        </row>
        <row r="50">
          <cell r="F50">
            <v>0</v>
          </cell>
          <cell r="G50">
            <v>0</v>
          </cell>
          <cell r="H50">
            <v>0</v>
          </cell>
          <cell r="I50">
            <v>9</v>
          </cell>
          <cell r="J50">
            <v>9</v>
          </cell>
          <cell r="K50">
            <v>9</v>
          </cell>
          <cell r="L50">
            <v>9</v>
          </cell>
          <cell r="M50">
            <v>9</v>
          </cell>
        </row>
        <row r="51">
          <cell r="F51">
            <v>0</v>
          </cell>
          <cell r="G51">
            <v>0</v>
          </cell>
          <cell r="H51">
            <v>0</v>
          </cell>
          <cell r="I51">
            <v>5.8</v>
          </cell>
          <cell r="J51">
            <v>5.8</v>
          </cell>
          <cell r="K51">
            <v>5.8</v>
          </cell>
          <cell r="L51">
            <v>5.8</v>
          </cell>
          <cell r="M51">
            <v>5.8</v>
          </cell>
        </row>
        <row r="52">
          <cell r="F52">
            <v>1</v>
          </cell>
          <cell r="G52">
            <v>1</v>
          </cell>
          <cell r="H52">
            <v>1</v>
          </cell>
          <cell r="I52">
            <v>1</v>
          </cell>
          <cell r="J52">
            <v>1</v>
          </cell>
          <cell r="K52">
            <v>1</v>
          </cell>
          <cell r="L52">
            <v>1</v>
          </cell>
          <cell r="M52">
            <v>1</v>
          </cell>
        </row>
        <row r="53">
          <cell r="F53">
            <v>-1</v>
          </cell>
          <cell r="G53">
            <v>-1</v>
          </cell>
          <cell r="H53">
            <v>-1</v>
          </cell>
          <cell r="I53">
            <v>-1</v>
          </cell>
          <cell r="J53">
            <v>-1</v>
          </cell>
          <cell r="K53">
            <v>-1</v>
          </cell>
          <cell r="L53">
            <v>-1</v>
          </cell>
          <cell r="M53">
            <v>-1</v>
          </cell>
        </row>
        <row r="54">
          <cell r="F54">
            <v>5.0000000000000001E-3</v>
          </cell>
          <cell r="G54">
            <v>5.0000000000000001E-3</v>
          </cell>
          <cell r="H54">
            <v>5.0000000000000001E-3</v>
          </cell>
          <cell r="I54">
            <v>5.0000000000000001E-3</v>
          </cell>
          <cell r="J54">
            <v>5.0000000000000001E-3</v>
          </cell>
          <cell r="K54">
            <v>5.0000000000000001E-3</v>
          </cell>
          <cell r="L54">
            <v>5.0000000000000001E-3</v>
          </cell>
          <cell r="M54">
            <v>5.0000000000000001E-3</v>
          </cell>
        </row>
        <row r="55">
          <cell r="F55">
            <v>0</v>
          </cell>
          <cell r="G55">
            <v>0</v>
          </cell>
          <cell r="H55">
            <v>0</v>
          </cell>
          <cell r="I55">
            <v>0.6</v>
          </cell>
          <cell r="J55">
            <v>0.6</v>
          </cell>
          <cell r="K55">
            <v>0.6</v>
          </cell>
          <cell r="L55">
            <v>0.6</v>
          </cell>
          <cell r="M55">
            <v>0.6</v>
          </cell>
        </row>
        <row r="58">
          <cell r="F58">
            <v>0</v>
          </cell>
          <cell r="G58">
            <v>0</v>
          </cell>
          <cell r="H58">
            <v>0</v>
          </cell>
          <cell r="I58">
            <v>69</v>
          </cell>
          <cell r="J58">
            <v>69</v>
          </cell>
          <cell r="K58">
            <v>69</v>
          </cell>
          <cell r="L58">
            <v>69</v>
          </cell>
          <cell r="M58">
            <v>69</v>
          </cell>
        </row>
        <row r="59">
          <cell r="F59">
            <v>0</v>
          </cell>
          <cell r="G59">
            <v>0</v>
          </cell>
          <cell r="H59">
            <v>0</v>
          </cell>
          <cell r="I59">
            <v>85</v>
          </cell>
          <cell r="J59">
            <v>85</v>
          </cell>
          <cell r="K59">
            <v>85</v>
          </cell>
          <cell r="L59">
            <v>85</v>
          </cell>
          <cell r="M59">
            <v>85</v>
          </cell>
        </row>
        <row r="60">
          <cell r="F60">
            <v>1</v>
          </cell>
          <cell r="G60">
            <v>1</v>
          </cell>
          <cell r="H60">
            <v>1</v>
          </cell>
          <cell r="I60">
            <v>1</v>
          </cell>
          <cell r="J60">
            <v>1</v>
          </cell>
          <cell r="K60">
            <v>1</v>
          </cell>
          <cell r="L60">
            <v>1</v>
          </cell>
          <cell r="M60">
            <v>1</v>
          </cell>
        </row>
        <row r="61">
          <cell r="F61">
            <v>0</v>
          </cell>
          <cell r="G61">
            <v>0</v>
          </cell>
          <cell r="H61">
            <v>0</v>
          </cell>
          <cell r="I61">
            <v>53</v>
          </cell>
          <cell r="J61">
            <v>53</v>
          </cell>
          <cell r="K61">
            <v>53</v>
          </cell>
          <cell r="L61">
            <v>53</v>
          </cell>
          <cell r="M61">
            <v>53</v>
          </cell>
        </row>
        <row r="62">
          <cell r="F62">
            <v>-1</v>
          </cell>
          <cell r="G62">
            <v>-1</v>
          </cell>
          <cell r="H62">
            <v>-1</v>
          </cell>
          <cell r="I62">
            <v>-1</v>
          </cell>
          <cell r="J62">
            <v>-1</v>
          </cell>
          <cell r="K62">
            <v>-1</v>
          </cell>
          <cell r="L62">
            <v>-1</v>
          </cell>
          <cell r="M62">
            <v>-1</v>
          </cell>
        </row>
        <row r="63">
          <cell r="F63">
            <v>0</v>
          </cell>
          <cell r="G63">
            <v>0</v>
          </cell>
          <cell r="H63">
            <v>0</v>
          </cell>
          <cell r="I63">
            <v>0.3</v>
          </cell>
          <cell r="J63">
            <v>0.3</v>
          </cell>
          <cell r="K63">
            <v>0.3</v>
          </cell>
          <cell r="L63">
            <v>0.3</v>
          </cell>
          <cell r="M63">
            <v>0.3</v>
          </cell>
        </row>
        <row r="65">
          <cell r="F65">
            <v>0.1</v>
          </cell>
          <cell r="G65">
            <v>0.1</v>
          </cell>
          <cell r="H65">
            <v>0.1</v>
          </cell>
          <cell r="I65">
            <v>0.1</v>
          </cell>
          <cell r="J65">
            <v>0.1</v>
          </cell>
          <cell r="K65">
            <v>0.1</v>
          </cell>
          <cell r="L65">
            <v>0.1</v>
          </cell>
          <cell r="M65">
            <v>0.1</v>
          </cell>
        </row>
        <row r="70">
          <cell r="F70">
            <v>0.9</v>
          </cell>
          <cell r="G70">
            <v>0.9</v>
          </cell>
          <cell r="H70">
            <v>0.9</v>
          </cell>
          <cell r="I70">
            <v>0.9</v>
          </cell>
          <cell r="J70">
            <v>0.9</v>
          </cell>
          <cell r="K70">
            <v>0.9</v>
          </cell>
          <cell r="L70">
            <v>0.9</v>
          </cell>
          <cell r="M70">
            <v>0.9</v>
          </cell>
        </row>
        <row r="75">
          <cell r="F75">
            <v>0</v>
          </cell>
          <cell r="G75">
            <v>0</v>
          </cell>
          <cell r="H75">
            <v>0</v>
          </cell>
          <cell r="I75">
            <v>0</v>
          </cell>
          <cell r="J75">
            <v>0</v>
          </cell>
          <cell r="K75">
            <v>0</v>
          </cell>
          <cell r="L75">
            <v>0</v>
          </cell>
          <cell r="M75">
            <v>0</v>
          </cell>
        </row>
        <row r="76">
          <cell r="F76">
            <v>53.652000000000001</v>
          </cell>
          <cell r="G76">
            <v>0</v>
          </cell>
          <cell r="H76">
            <v>0</v>
          </cell>
          <cell r="I76">
            <v>0</v>
          </cell>
          <cell r="J76">
            <v>0</v>
          </cell>
          <cell r="K76">
            <v>0</v>
          </cell>
          <cell r="L76">
            <v>0</v>
          </cell>
          <cell r="M76">
            <v>0</v>
          </cell>
        </row>
        <row r="77">
          <cell r="F77">
            <v>2.855</v>
          </cell>
          <cell r="G77">
            <v>0</v>
          </cell>
          <cell r="H77">
            <v>0</v>
          </cell>
          <cell r="I77">
            <v>0</v>
          </cell>
          <cell r="J77">
            <v>0</v>
          </cell>
          <cell r="K77">
            <v>0</v>
          </cell>
          <cell r="L77">
            <v>0</v>
          </cell>
          <cell r="M77">
            <v>0</v>
          </cell>
        </row>
        <row r="78">
          <cell r="F78">
            <v>0</v>
          </cell>
          <cell r="G78">
            <v>0</v>
          </cell>
          <cell r="H78">
            <v>0</v>
          </cell>
          <cell r="I78">
            <v>0</v>
          </cell>
          <cell r="J78">
            <v>152.88</v>
          </cell>
          <cell r="K78">
            <v>0</v>
          </cell>
          <cell r="L78">
            <v>0</v>
          </cell>
          <cell r="M78">
            <v>0</v>
          </cell>
        </row>
        <row r="79">
          <cell r="F79">
            <v>0</v>
          </cell>
          <cell r="G79">
            <v>0</v>
          </cell>
          <cell r="H79">
            <v>0</v>
          </cell>
          <cell r="I79">
            <v>0</v>
          </cell>
          <cell r="J79">
            <v>7.6440000000000001</v>
          </cell>
          <cell r="K79">
            <v>7.6440000000000001</v>
          </cell>
          <cell r="L79">
            <v>7.6440000000000001</v>
          </cell>
          <cell r="M79">
            <v>7.6440000000000001</v>
          </cell>
        </row>
        <row r="80">
          <cell r="F80">
            <v>0</v>
          </cell>
          <cell r="G80">
            <v>0</v>
          </cell>
          <cell r="H80">
            <v>0</v>
          </cell>
          <cell r="I80">
            <v>0</v>
          </cell>
          <cell r="J80">
            <v>149.05799999999999</v>
          </cell>
          <cell r="K80">
            <v>141.41399999999999</v>
          </cell>
          <cell r="L80">
            <v>133.77000000000001</v>
          </cell>
          <cell r="M80">
            <v>126.126</v>
          </cell>
        </row>
        <row r="82">
          <cell r="F82">
            <v>8.7999999999999995E-2</v>
          </cell>
          <cell r="G82">
            <v>8.7999999999999995E-2</v>
          </cell>
          <cell r="H82">
            <v>8.7999999999999995E-2</v>
          </cell>
          <cell r="I82">
            <v>8.7999999999999995E-2</v>
          </cell>
          <cell r="J82">
            <v>8.7999999999999995E-2</v>
          </cell>
          <cell r="K82">
            <v>8.7999999999999995E-2</v>
          </cell>
          <cell r="L82">
            <v>8.7999999999999995E-2</v>
          </cell>
          <cell r="M82">
            <v>8.7999999999999995E-2</v>
          </cell>
        </row>
        <row r="86">
          <cell r="F86">
            <v>0</v>
          </cell>
          <cell r="G86">
            <v>0</v>
          </cell>
          <cell r="H86">
            <v>0</v>
          </cell>
          <cell r="I86">
            <v>0</v>
          </cell>
          <cell r="J86">
            <v>0</v>
          </cell>
          <cell r="K86">
            <v>0</v>
          </cell>
          <cell r="L86">
            <v>0</v>
          </cell>
          <cell r="M86">
            <v>0</v>
          </cell>
        </row>
        <row r="87">
          <cell r="F87">
            <v>0</v>
          </cell>
          <cell r="G87">
            <v>0</v>
          </cell>
          <cell r="H87">
            <v>0</v>
          </cell>
          <cell r="I87">
            <v>0</v>
          </cell>
          <cell r="J87">
            <v>0</v>
          </cell>
          <cell r="K87">
            <v>0</v>
          </cell>
          <cell r="L87">
            <v>0</v>
          </cell>
          <cell r="M87">
            <v>0</v>
          </cell>
        </row>
        <row r="88">
          <cell r="F88">
            <v>0</v>
          </cell>
          <cell r="G88">
            <v>0</v>
          </cell>
          <cell r="H88">
            <v>0</v>
          </cell>
          <cell r="I88">
            <v>0</v>
          </cell>
          <cell r="J88">
            <v>0</v>
          </cell>
          <cell r="K88">
            <v>0</v>
          </cell>
          <cell r="L88">
            <v>0</v>
          </cell>
          <cell r="M88">
            <v>0</v>
          </cell>
        </row>
        <row r="89">
          <cell r="F89">
            <v>0</v>
          </cell>
          <cell r="G89">
            <v>0</v>
          </cell>
          <cell r="H89">
            <v>0</v>
          </cell>
          <cell r="I89">
            <v>0</v>
          </cell>
          <cell r="J89">
            <v>0</v>
          </cell>
          <cell r="K89">
            <v>0</v>
          </cell>
          <cell r="L89">
            <v>0</v>
          </cell>
          <cell r="M89">
            <v>0</v>
          </cell>
        </row>
        <row r="91">
          <cell r="F91">
            <v>10.019</v>
          </cell>
          <cell r="G91">
            <v>9.4469999999999992</v>
          </cell>
          <cell r="H91">
            <v>8.8740000000000006</v>
          </cell>
          <cell r="I91">
            <v>0</v>
          </cell>
          <cell r="J91">
            <v>0</v>
          </cell>
          <cell r="K91">
            <v>0</v>
          </cell>
          <cell r="L91">
            <v>0</v>
          </cell>
          <cell r="M91">
            <v>0</v>
          </cell>
        </row>
        <row r="96">
          <cell r="F96">
            <v>0</v>
          </cell>
          <cell r="G96">
            <v>0</v>
          </cell>
          <cell r="H96">
            <v>0</v>
          </cell>
          <cell r="I96">
            <v>0</v>
          </cell>
          <cell r="J96">
            <v>0</v>
          </cell>
          <cell r="K96">
            <v>0</v>
          </cell>
          <cell r="L96">
            <v>0</v>
          </cell>
          <cell r="M96">
            <v>0</v>
          </cell>
        </row>
        <row r="97">
          <cell r="F97">
            <v>13.297000000000001</v>
          </cell>
          <cell r="G97">
            <v>33.79</v>
          </cell>
          <cell r="H97">
            <v>0</v>
          </cell>
          <cell r="I97">
            <v>0</v>
          </cell>
          <cell r="J97">
            <v>0</v>
          </cell>
          <cell r="K97">
            <v>0</v>
          </cell>
          <cell r="L97">
            <v>0</v>
          </cell>
          <cell r="M97">
            <v>0</v>
          </cell>
        </row>
        <row r="98">
          <cell r="F98">
            <v>1.0999999999999999E-2</v>
          </cell>
          <cell r="G98">
            <v>1.319</v>
          </cell>
          <cell r="H98">
            <v>0</v>
          </cell>
          <cell r="I98">
            <v>0</v>
          </cell>
          <cell r="J98">
            <v>0</v>
          </cell>
          <cell r="K98">
            <v>0</v>
          </cell>
          <cell r="L98">
            <v>0</v>
          </cell>
          <cell r="M98">
            <v>0</v>
          </cell>
        </row>
        <row r="99">
          <cell r="F99">
            <v>0</v>
          </cell>
          <cell r="G99">
            <v>0</v>
          </cell>
          <cell r="H99">
            <v>0</v>
          </cell>
          <cell r="I99">
            <v>0</v>
          </cell>
          <cell r="J99">
            <v>41.215000000000003</v>
          </cell>
          <cell r="K99">
            <v>0</v>
          </cell>
          <cell r="L99">
            <v>0</v>
          </cell>
          <cell r="M99">
            <v>0</v>
          </cell>
        </row>
        <row r="100">
          <cell r="F100">
            <v>0</v>
          </cell>
          <cell r="G100">
            <v>0</v>
          </cell>
          <cell r="H100">
            <v>0</v>
          </cell>
          <cell r="I100">
            <v>0</v>
          </cell>
          <cell r="J100">
            <v>2.0609999999999999</v>
          </cell>
          <cell r="K100">
            <v>2.0609999999999999</v>
          </cell>
          <cell r="L100">
            <v>2.0609999999999999</v>
          </cell>
          <cell r="M100">
            <v>2.0609999999999999</v>
          </cell>
        </row>
        <row r="101">
          <cell r="F101">
            <v>0</v>
          </cell>
          <cell r="G101">
            <v>0</v>
          </cell>
          <cell r="H101">
            <v>0</v>
          </cell>
          <cell r="I101">
            <v>0</v>
          </cell>
          <cell r="J101">
            <v>40.186</v>
          </cell>
          <cell r="K101">
            <v>38.125</v>
          </cell>
          <cell r="L101">
            <v>36.064</v>
          </cell>
          <cell r="M101">
            <v>34.003</v>
          </cell>
        </row>
        <row r="106">
          <cell r="F106">
            <v>0</v>
          </cell>
          <cell r="G106">
            <v>0</v>
          </cell>
          <cell r="H106">
            <v>0</v>
          </cell>
          <cell r="I106">
            <v>0</v>
          </cell>
          <cell r="J106">
            <v>0</v>
          </cell>
          <cell r="K106">
            <v>0</v>
          </cell>
          <cell r="L106">
            <v>0</v>
          </cell>
          <cell r="M106">
            <v>0</v>
          </cell>
        </row>
        <row r="107">
          <cell r="F107">
            <v>0</v>
          </cell>
          <cell r="G107">
            <v>0</v>
          </cell>
          <cell r="H107">
            <v>0</v>
          </cell>
          <cell r="I107">
            <v>0</v>
          </cell>
          <cell r="J107">
            <v>0</v>
          </cell>
          <cell r="K107">
            <v>0</v>
          </cell>
          <cell r="L107">
            <v>0</v>
          </cell>
          <cell r="M107">
            <v>0</v>
          </cell>
        </row>
        <row r="108">
          <cell r="F108">
            <v>0</v>
          </cell>
          <cell r="G108">
            <v>0</v>
          </cell>
          <cell r="H108">
            <v>0</v>
          </cell>
          <cell r="I108">
            <v>0</v>
          </cell>
          <cell r="J108">
            <v>0</v>
          </cell>
          <cell r="K108">
            <v>0</v>
          </cell>
          <cell r="L108">
            <v>0</v>
          </cell>
          <cell r="M108">
            <v>0</v>
          </cell>
        </row>
        <row r="109">
          <cell r="F109">
            <v>0</v>
          </cell>
          <cell r="G109">
            <v>0</v>
          </cell>
          <cell r="H109">
            <v>0</v>
          </cell>
          <cell r="I109">
            <v>0</v>
          </cell>
          <cell r="J109">
            <v>0</v>
          </cell>
          <cell r="K109">
            <v>0</v>
          </cell>
          <cell r="L109">
            <v>0</v>
          </cell>
          <cell r="M109">
            <v>0</v>
          </cell>
        </row>
        <row r="110">
          <cell r="F110">
            <v>3.919</v>
          </cell>
          <cell r="G110">
            <v>3.919</v>
          </cell>
          <cell r="H110">
            <v>3.919</v>
          </cell>
          <cell r="I110">
            <v>0</v>
          </cell>
          <cell r="J110">
            <v>0</v>
          </cell>
          <cell r="K110">
            <v>0</v>
          </cell>
          <cell r="L110">
            <v>0</v>
          </cell>
          <cell r="M110">
            <v>0</v>
          </cell>
        </row>
        <row r="111">
          <cell r="F111">
            <v>68.564999999999998</v>
          </cell>
          <cell r="G111">
            <v>64.646000000000001</v>
          </cell>
          <cell r="H111">
            <v>60.728999999999999</v>
          </cell>
          <cell r="I111">
            <v>0</v>
          </cell>
          <cell r="J111">
            <v>0</v>
          </cell>
          <cell r="K111">
            <v>0</v>
          </cell>
          <cell r="L111">
            <v>0</v>
          </cell>
          <cell r="M111">
            <v>0</v>
          </cell>
        </row>
        <row r="116">
          <cell r="F116">
            <v>0</v>
          </cell>
          <cell r="G116">
            <v>0</v>
          </cell>
          <cell r="H116">
            <v>0</v>
          </cell>
          <cell r="I116">
            <v>0</v>
          </cell>
          <cell r="J116">
            <v>0</v>
          </cell>
          <cell r="K116">
            <v>0</v>
          </cell>
          <cell r="L116">
            <v>0</v>
          </cell>
          <cell r="M116">
            <v>0</v>
          </cell>
        </row>
        <row r="117">
          <cell r="F117">
            <v>0</v>
          </cell>
          <cell r="G117">
            <v>0</v>
          </cell>
          <cell r="H117">
            <v>0</v>
          </cell>
          <cell r="I117">
            <v>0</v>
          </cell>
          <cell r="J117">
            <v>0</v>
          </cell>
          <cell r="K117">
            <v>0</v>
          </cell>
          <cell r="L117">
            <v>0</v>
          </cell>
          <cell r="M117">
            <v>0</v>
          </cell>
        </row>
        <row r="118">
          <cell r="F118">
            <v>0</v>
          </cell>
          <cell r="G118">
            <v>0</v>
          </cell>
          <cell r="H118">
            <v>0</v>
          </cell>
          <cell r="I118">
            <v>0</v>
          </cell>
          <cell r="J118">
            <v>0</v>
          </cell>
          <cell r="K118">
            <v>0</v>
          </cell>
          <cell r="L118">
            <v>0</v>
          </cell>
          <cell r="M118">
            <v>0</v>
          </cell>
        </row>
        <row r="119">
          <cell r="F119">
            <v>0</v>
          </cell>
          <cell r="G119">
            <v>0</v>
          </cell>
          <cell r="H119">
            <v>0</v>
          </cell>
          <cell r="I119">
            <v>0</v>
          </cell>
          <cell r="J119">
            <v>0</v>
          </cell>
          <cell r="K119">
            <v>0</v>
          </cell>
          <cell r="L119">
            <v>0</v>
          </cell>
          <cell r="M119">
            <v>0</v>
          </cell>
        </row>
        <row r="120">
          <cell r="F120">
            <v>0.96827999999999981</v>
          </cell>
          <cell r="G120">
            <v>0.96827999999999981</v>
          </cell>
          <cell r="H120">
            <v>0</v>
          </cell>
          <cell r="I120">
            <v>0</v>
          </cell>
          <cell r="J120">
            <v>0</v>
          </cell>
          <cell r="K120">
            <v>0</v>
          </cell>
          <cell r="L120">
            <v>0</v>
          </cell>
          <cell r="M120">
            <v>0</v>
          </cell>
        </row>
        <row r="121">
          <cell r="F121">
            <v>15.977</v>
          </cell>
          <cell r="G121">
            <v>15.007999999999999</v>
          </cell>
          <cell r="H121">
            <v>0</v>
          </cell>
          <cell r="I121">
            <v>0</v>
          </cell>
          <cell r="J121">
            <v>0</v>
          </cell>
          <cell r="K121">
            <v>0</v>
          </cell>
          <cell r="L121">
            <v>0</v>
          </cell>
          <cell r="M121">
            <v>0</v>
          </cell>
        </row>
      </sheetData>
      <sheetData sheetId="5">
        <row r="10">
          <cell r="D10">
            <v>1.1000000000000001</v>
          </cell>
          <cell r="E10">
            <v>1.1339999999999999</v>
          </cell>
          <cell r="F10">
            <v>1.167</v>
          </cell>
          <cell r="G10">
            <v>1.19</v>
          </cell>
          <cell r="H10">
            <v>1.202</v>
          </cell>
          <cell r="I10">
            <v>1.228</v>
          </cell>
          <cell r="J10">
            <v>1.274</v>
          </cell>
          <cell r="K10">
            <v>1.3129999999999999</v>
          </cell>
          <cell r="L10">
            <v>1.347</v>
          </cell>
          <cell r="M10">
            <v>1.3779999999999999</v>
          </cell>
        </row>
        <row r="27">
          <cell r="F27">
            <v>0</v>
          </cell>
          <cell r="G27">
            <v>6.2</v>
          </cell>
          <cell r="H27">
            <v>-20.3</v>
          </cell>
          <cell r="I27">
            <v>-21.8</v>
          </cell>
          <cell r="J27">
            <v>-13.5</v>
          </cell>
          <cell r="K27">
            <v>-3.7</v>
          </cell>
          <cell r="L27">
            <v>-1.8</v>
          </cell>
          <cell r="M27">
            <v>-3</v>
          </cell>
          <cell r="N27">
            <v>1.5</v>
          </cell>
          <cell r="O27">
            <v>1.7</v>
          </cell>
        </row>
        <row r="35">
          <cell r="E35">
            <v>240.17</v>
          </cell>
          <cell r="F35">
            <v>279.33</v>
          </cell>
          <cell r="G35">
            <v>322.97000000000003</v>
          </cell>
          <cell r="H35">
            <v>306.41000000000003</v>
          </cell>
          <cell r="I35">
            <v>306.44</v>
          </cell>
          <cell r="J35">
            <v>333.74</v>
          </cell>
          <cell r="K35">
            <v>364.83</v>
          </cell>
          <cell r="L35">
            <v>392.2</v>
          </cell>
        </row>
        <row r="43">
          <cell r="E43">
            <v>4.7500000000000001E-2</v>
          </cell>
          <cell r="F43">
            <v>4.7600000000000003E-2</v>
          </cell>
          <cell r="G43">
            <v>4.65E-2</v>
          </cell>
          <cell r="H43">
            <v>4.5499999999999999E-2</v>
          </cell>
          <cell r="I43">
            <v>4.4600000000000001E-2</v>
          </cell>
          <cell r="J43">
            <v>4.3700000000000003E-2</v>
          </cell>
          <cell r="K43">
            <v>4.2000000000000003E-2</v>
          </cell>
          <cell r="L43">
            <v>4.02E-2</v>
          </cell>
          <cell r="M43">
            <v>3.7499999999999999E-2</v>
          </cell>
          <cell r="N43">
            <v>2.7539999999999999E-2</v>
          </cell>
          <cell r="O43">
            <v>2.7539999999999999E-2</v>
          </cell>
        </row>
        <row r="44">
          <cell r="E44">
            <v>1.0475000000000001</v>
          </cell>
          <cell r="F44">
            <v>1.0476000000000001</v>
          </cell>
          <cell r="G44">
            <v>1.0465</v>
          </cell>
          <cell r="H44">
            <v>1.0455000000000001</v>
          </cell>
          <cell r="I44">
            <v>1.0446</v>
          </cell>
          <cell r="J44">
            <v>1.0437000000000001</v>
          </cell>
          <cell r="K44">
            <v>1.042</v>
          </cell>
          <cell r="L44">
            <v>1.0402</v>
          </cell>
          <cell r="M44">
            <v>1.0375000000000001</v>
          </cell>
          <cell r="N44">
            <v>1.0275399999999999</v>
          </cell>
          <cell r="O44">
            <v>1.0275399999999999</v>
          </cell>
        </row>
        <row r="47">
          <cell r="E47">
            <v>0.5</v>
          </cell>
          <cell r="F47">
            <v>0.5</v>
          </cell>
          <cell r="G47">
            <v>0.5</v>
          </cell>
          <cell r="H47">
            <v>0.5</v>
          </cell>
          <cell r="I47">
            <v>0.34</v>
          </cell>
          <cell r="J47">
            <v>0.35</v>
          </cell>
          <cell r="K47">
            <v>0.67</v>
          </cell>
          <cell r="L47">
            <v>0.75</v>
          </cell>
          <cell r="M47">
            <v>1</v>
          </cell>
          <cell r="N47">
            <v>1.25</v>
          </cell>
          <cell r="O47">
            <v>1.5</v>
          </cell>
        </row>
        <row r="51">
          <cell r="F51">
            <v>10.55</v>
          </cell>
          <cell r="G51">
            <v>24.71</v>
          </cell>
          <cell r="H51">
            <v>24.896999999999998</v>
          </cell>
          <cell r="I51">
            <v>26.443999999999999</v>
          </cell>
          <cell r="J51">
            <v>34.44</v>
          </cell>
          <cell r="K51">
            <v>35.42</v>
          </cell>
          <cell r="L51">
            <v>36.119999999999997</v>
          </cell>
        </row>
        <row r="53">
          <cell r="F53">
            <v>0</v>
          </cell>
          <cell r="G53">
            <v>0</v>
          </cell>
          <cell r="H53">
            <v>0</v>
          </cell>
          <cell r="I53">
            <v>0</v>
          </cell>
          <cell r="J53">
            <v>0</v>
          </cell>
          <cell r="K53">
            <v>0</v>
          </cell>
          <cell r="L53">
            <v>0</v>
          </cell>
        </row>
        <row r="63">
          <cell r="F63">
            <v>42.13</v>
          </cell>
          <cell r="G63">
            <v>2.8</v>
          </cell>
          <cell r="H63">
            <v>13.879999999999999</v>
          </cell>
          <cell r="I63">
            <v>10.315693333333332</v>
          </cell>
          <cell r="J63">
            <v>3.04</v>
          </cell>
          <cell r="K63">
            <v>39.440291669011657</v>
          </cell>
          <cell r="L63">
            <v>2</v>
          </cell>
        </row>
        <row r="66">
          <cell r="F66">
            <v>7.4</v>
          </cell>
          <cell r="G66">
            <v>7.1</v>
          </cell>
          <cell r="H66">
            <v>6.9</v>
          </cell>
          <cell r="I66">
            <v>7.9</v>
          </cell>
          <cell r="J66">
            <v>8.3000000000000007</v>
          </cell>
          <cell r="K66">
            <v>8.5</v>
          </cell>
          <cell r="L66">
            <v>8.4</v>
          </cell>
        </row>
        <row r="67">
          <cell r="F67">
            <v>0.26</v>
          </cell>
          <cell r="G67">
            <v>0.48299999999999998</v>
          </cell>
          <cell r="H67">
            <v>0.75</v>
          </cell>
          <cell r="I67">
            <v>0.67900000000000005</v>
          </cell>
          <cell r="J67">
            <v>0.78128500000000001</v>
          </cell>
          <cell r="K67">
            <v>0.33730199999999999</v>
          </cell>
        </row>
        <row r="68">
          <cell r="F68">
            <v>68</v>
          </cell>
          <cell r="G68">
            <v>69.16</v>
          </cell>
          <cell r="H68">
            <v>73.099999999999994</v>
          </cell>
          <cell r="I68">
            <v>77</v>
          </cell>
          <cell r="J68">
            <v>77.95</v>
          </cell>
          <cell r="K68">
            <v>70.67</v>
          </cell>
          <cell r="L68">
            <v>77.040000000000006</v>
          </cell>
        </row>
        <row r="69">
          <cell r="F69">
            <v>0.5</v>
          </cell>
          <cell r="G69">
            <v>0.5</v>
          </cell>
          <cell r="H69">
            <v>0.5</v>
          </cell>
          <cell r="I69">
            <v>1</v>
          </cell>
          <cell r="J69">
            <v>1</v>
          </cell>
          <cell r="K69">
            <v>1</v>
          </cell>
          <cell r="L69">
            <v>1</v>
          </cell>
        </row>
        <row r="72">
          <cell r="D72">
            <v>0.26</v>
          </cell>
          <cell r="E72">
            <v>0.24</v>
          </cell>
          <cell r="F72">
            <v>0.23</v>
          </cell>
          <cell r="G72">
            <v>0.21</v>
          </cell>
          <cell r="H72">
            <v>0.2</v>
          </cell>
          <cell r="I72">
            <v>0.2</v>
          </cell>
          <cell r="J72">
            <v>0.19</v>
          </cell>
          <cell r="K72">
            <v>0.19</v>
          </cell>
          <cell r="L72">
            <v>0.19</v>
          </cell>
          <cell r="M72">
            <v>0.19</v>
          </cell>
        </row>
        <row r="77">
          <cell r="E77">
            <v>570.04012000000023</v>
          </cell>
        </row>
        <row r="78">
          <cell r="F78">
            <v>20.146000000000004</v>
          </cell>
          <cell r="G78">
            <v>19.225499999999997</v>
          </cell>
          <cell r="H78">
            <v>42.866500000000002</v>
          </cell>
          <cell r="I78">
            <v>51.559595000000002</v>
          </cell>
          <cell r="J78">
            <v>5.3808000000000007</v>
          </cell>
          <cell r="K78">
            <v>39.634</v>
          </cell>
          <cell r="L78">
            <v>36.466000000000008</v>
          </cell>
        </row>
        <row r="79">
          <cell r="G79">
            <v>36.974000000000004</v>
          </cell>
          <cell r="H79">
            <v>26.379999999999995</v>
          </cell>
          <cell r="I79">
            <v>97.331999999999994</v>
          </cell>
          <cell r="J79">
            <v>126.75438000000003</v>
          </cell>
          <cell r="K79">
            <v>11.56345</v>
          </cell>
          <cell r="L79">
            <v>41.226499999999994</v>
          </cell>
        </row>
        <row r="80">
          <cell r="F80">
            <v>0</v>
          </cell>
          <cell r="G80">
            <v>21.520800000000001</v>
          </cell>
          <cell r="H80">
            <v>0.7320000000000001</v>
          </cell>
          <cell r="I80">
            <v>0</v>
          </cell>
          <cell r="J80">
            <v>0.18300000000000002</v>
          </cell>
          <cell r="K80">
            <v>12.090200000000003</v>
          </cell>
          <cell r="L80">
            <v>0.44530000000000003</v>
          </cell>
        </row>
        <row r="81">
          <cell r="G81">
            <v>0</v>
          </cell>
          <cell r="H81">
            <v>43.041600000000003</v>
          </cell>
          <cell r="I81">
            <v>0.97600000000000009</v>
          </cell>
          <cell r="J81">
            <v>0</v>
          </cell>
          <cell r="K81">
            <v>0.24400000000000002</v>
          </cell>
          <cell r="L81">
            <v>12.090200000000003</v>
          </cell>
        </row>
        <row r="82">
          <cell r="F82">
            <v>729.5</v>
          </cell>
          <cell r="G82">
            <v>640.01</v>
          </cell>
          <cell r="H82">
            <v>586.4</v>
          </cell>
          <cell r="I82">
            <v>533.52</v>
          </cell>
          <cell r="J82">
            <v>605.4</v>
          </cell>
          <cell r="K82">
            <v>841.15</v>
          </cell>
          <cell r="L82">
            <v>529.78</v>
          </cell>
        </row>
        <row r="83">
          <cell r="F83">
            <v>50</v>
          </cell>
          <cell r="G83">
            <v>51</v>
          </cell>
          <cell r="H83">
            <v>52</v>
          </cell>
          <cell r="I83">
            <v>53</v>
          </cell>
          <cell r="J83">
            <v>54</v>
          </cell>
          <cell r="K83">
            <v>55</v>
          </cell>
          <cell r="L83">
            <v>56</v>
          </cell>
          <cell r="M83">
            <v>57</v>
          </cell>
        </row>
        <row r="85">
          <cell r="F85">
            <v>0</v>
          </cell>
          <cell r="G85">
            <v>0</v>
          </cell>
          <cell r="H85">
            <v>4</v>
          </cell>
          <cell r="I85">
            <v>4</v>
          </cell>
          <cell r="J85">
            <v>0</v>
          </cell>
          <cell r="K85">
            <v>1</v>
          </cell>
        </row>
        <row r="89">
          <cell r="F89">
            <v>2</v>
          </cell>
          <cell r="G89">
            <v>2</v>
          </cell>
          <cell r="H89">
            <v>0</v>
          </cell>
          <cell r="I89">
            <v>0</v>
          </cell>
          <cell r="J89">
            <v>1</v>
          </cell>
          <cell r="K89">
            <v>0</v>
          </cell>
          <cell r="L89">
            <v>0</v>
          </cell>
        </row>
        <row r="90">
          <cell r="F90">
            <v>52</v>
          </cell>
          <cell r="G90">
            <v>88</v>
          </cell>
          <cell r="H90">
            <v>116</v>
          </cell>
          <cell r="I90">
            <v>63</v>
          </cell>
          <cell r="J90">
            <v>60</v>
          </cell>
          <cell r="K90">
            <v>104</v>
          </cell>
          <cell r="L90">
            <v>100</v>
          </cell>
        </row>
        <row r="94">
          <cell r="F94">
            <v>0.47751299999999997</v>
          </cell>
          <cell r="G94">
            <v>0.69962806587942483</v>
          </cell>
          <cell r="H94">
            <v>0.78148059176395268</v>
          </cell>
          <cell r="I94">
            <v>1.0181799681670682</v>
          </cell>
          <cell r="J94">
            <v>1.310215347499891</v>
          </cell>
          <cell r="K94">
            <v>1.2957664374627189</v>
          </cell>
          <cell r="L94">
            <v>1.6852410250086955</v>
          </cell>
        </row>
        <row r="95">
          <cell r="F95">
            <v>0.17499999999999999</v>
          </cell>
          <cell r="G95">
            <v>0</v>
          </cell>
          <cell r="H95">
            <v>0.10747354999999999</v>
          </cell>
          <cell r="I95">
            <v>0.17499999999999999</v>
          </cell>
          <cell r="J95">
            <v>0</v>
          </cell>
          <cell r="K95">
            <v>0</v>
          </cell>
          <cell r="L95">
            <v>0</v>
          </cell>
        </row>
        <row r="96">
          <cell r="F96">
            <v>0</v>
          </cell>
          <cell r="G96">
            <v>0</v>
          </cell>
          <cell r="H96">
            <v>0</v>
          </cell>
          <cell r="I96">
            <v>0</v>
          </cell>
          <cell r="J96">
            <v>0</v>
          </cell>
          <cell r="K96">
            <v>0</v>
          </cell>
          <cell r="L96">
            <v>0</v>
          </cell>
        </row>
        <row r="97">
          <cell r="F97">
            <v>0</v>
          </cell>
          <cell r="G97">
            <v>6.49</v>
          </cell>
          <cell r="H97">
            <v>8.3356092000000004</v>
          </cell>
          <cell r="I97">
            <v>15.55978279</v>
          </cell>
          <cell r="J97">
            <v>0</v>
          </cell>
          <cell r="K97">
            <v>0</v>
          </cell>
          <cell r="L97">
            <v>0</v>
          </cell>
        </row>
        <row r="98">
          <cell r="F98">
            <v>0.11</v>
          </cell>
          <cell r="G98">
            <v>0.15</v>
          </cell>
          <cell r="H98">
            <v>0.19700000000000001</v>
          </cell>
          <cell r="I98">
            <v>0.188</v>
          </cell>
          <cell r="J98">
            <v>4.1966206989473689E-2</v>
          </cell>
          <cell r="K98">
            <v>0.30411232800000004</v>
          </cell>
          <cell r="L98">
            <v>0.39643290000000009</v>
          </cell>
        </row>
        <row r="103">
          <cell r="F103">
            <v>-14.141</v>
          </cell>
          <cell r="G103">
            <v>72.007000000000005</v>
          </cell>
          <cell r="H103">
            <v>114.899</v>
          </cell>
          <cell r="I103">
            <v>146.15199999999999</v>
          </cell>
        </row>
        <row r="104">
          <cell r="F104">
            <v>-1.573</v>
          </cell>
          <cell r="G104">
            <v>2.7589999999999999</v>
          </cell>
          <cell r="H104">
            <v>4.734</v>
          </cell>
          <cell r="I104">
            <v>7.423</v>
          </cell>
        </row>
        <row r="105">
          <cell r="F105">
            <v>0</v>
          </cell>
          <cell r="G105">
            <v>0</v>
          </cell>
          <cell r="H105">
            <v>0</v>
          </cell>
          <cell r="I105">
            <v>0</v>
          </cell>
        </row>
        <row r="106">
          <cell r="F106">
            <v>0</v>
          </cell>
          <cell r="G106">
            <v>0</v>
          </cell>
          <cell r="H106">
            <v>0</v>
          </cell>
          <cell r="I106">
            <v>0</v>
          </cell>
        </row>
        <row r="107">
          <cell r="F107">
            <v>0</v>
          </cell>
          <cell r="G107">
            <v>0</v>
          </cell>
          <cell r="H107">
            <v>0</v>
          </cell>
          <cell r="I107">
            <v>0</v>
          </cell>
        </row>
      </sheetData>
      <sheetData sheetId="6">
        <row r="12">
          <cell r="O12">
            <v>-0.43311718968500318</v>
          </cell>
        </row>
        <row r="14">
          <cell r="F14">
            <v>261.81688600000001</v>
          </cell>
          <cell r="G14">
            <v>292.91396867050065</v>
          </cell>
          <cell r="H14">
            <v>293.56548160019321</v>
          </cell>
          <cell r="I14">
            <v>270.19283203620506</v>
          </cell>
          <cell r="J14">
            <v>292.65591934504403</v>
          </cell>
          <cell r="K14">
            <v>326.27617665473349</v>
          </cell>
          <cell r="L14">
            <v>346.69563579952631</v>
          </cell>
          <cell r="M14">
            <v>346.39683311443741</v>
          </cell>
        </row>
        <row r="32">
          <cell r="E32">
            <v>1.1344000000000001</v>
          </cell>
          <cell r="F32">
            <v>1.163</v>
          </cell>
          <cell r="G32">
            <v>1.2050000000000001</v>
          </cell>
          <cell r="H32">
            <v>1.2270000000000001</v>
          </cell>
          <cell r="I32">
            <v>1.2330000000000001</v>
          </cell>
          <cell r="J32">
            <v>1.2709999999999999</v>
          </cell>
          <cell r="K32">
            <v>1.3140000000000001</v>
          </cell>
          <cell r="L32">
            <v>1.3580000000000001</v>
          </cell>
          <cell r="M32">
            <v>1.38</v>
          </cell>
          <cell r="N32">
            <v>1.4039999999999999</v>
          </cell>
          <cell r="O32">
            <v>1.4570000000000001</v>
          </cell>
        </row>
        <row r="80">
          <cell r="E80">
            <v>175.33582510578276</v>
          </cell>
          <cell r="F80">
            <v>245.27437280825455</v>
          </cell>
          <cell r="G80">
            <v>269.77043567676401</v>
          </cell>
          <cell r="H80">
            <v>250.17009074112843</v>
          </cell>
          <cell r="I80">
            <v>238.20178392794242</v>
          </cell>
          <cell r="J80">
            <v>255.2606334557793</v>
          </cell>
          <cell r="K80">
            <v>273.53198490396875</v>
          </cell>
          <cell r="L80">
            <v>285.70766053063636</v>
          </cell>
          <cell r="M80">
            <v>279.9224946824379</v>
          </cell>
        </row>
      </sheetData>
      <sheetData sheetId="7">
        <row r="10">
          <cell r="F10">
            <v>0</v>
          </cell>
          <cell r="G10">
            <v>0</v>
          </cell>
          <cell r="H10">
            <v>-20.257989862187202</v>
          </cell>
          <cell r="I10">
            <v>-4.4994609182250009</v>
          </cell>
          <cell r="J10">
            <v>-4.7015123299745119</v>
          </cell>
          <cell r="K10">
            <v>-3.6757294694233145</v>
          </cell>
          <cell r="L10">
            <v>4.3316200355723016</v>
          </cell>
          <cell r="M10">
            <v>4.3024062619850731</v>
          </cell>
        </row>
        <row r="11">
          <cell r="F11">
            <v>0</v>
          </cell>
          <cell r="G11">
            <v>0</v>
          </cell>
          <cell r="H11">
            <v>0</v>
          </cell>
          <cell r="I11">
            <v>0</v>
          </cell>
          <cell r="J11">
            <v>0</v>
          </cell>
          <cell r="K11">
            <v>0</v>
          </cell>
          <cell r="L11">
            <v>0</v>
          </cell>
          <cell r="M11">
            <v>0</v>
          </cell>
          <cell r="N11">
            <v>0</v>
          </cell>
          <cell r="O11">
            <v>0</v>
          </cell>
        </row>
        <row r="12">
          <cell r="F12">
            <v>0</v>
          </cell>
          <cell r="G12">
            <v>0</v>
          </cell>
          <cell r="H12">
            <v>-20.257989862187202</v>
          </cell>
          <cell r="I12">
            <v>-4.4994609182250009</v>
          </cell>
          <cell r="J12">
            <v>-4.7015123299745119</v>
          </cell>
          <cell r="K12">
            <v>-3.6757294694233145</v>
          </cell>
          <cell r="L12">
            <v>4.3316200355723016</v>
          </cell>
          <cell r="M12">
            <v>4.3024062619850731</v>
          </cell>
          <cell r="N12">
            <v>4.1140072516770578</v>
          </cell>
          <cell r="O12">
            <v>-37.433758721675005</v>
          </cell>
        </row>
      </sheetData>
      <sheetData sheetId="8">
        <row r="9">
          <cell r="N9">
            <v>3.3371973786666671</v>
          </cell>
        </row>
        <row r="14">
          <cell r="F14">
            <v>0.50197499999999995</v>
          </cell>
          <cell r="G14">
            <v>0</v>
          </cell>
          <cell r="H14">
            <v>2.7614475372308771</v>
          </cell>
          <cell r="I14">
            <v>3.6134905686450391</v>
          </cell>
          <cell r="J14">
            <v>7.9339910650030827</v>
          </cell>
          <cell r="K14">
            <v>9.3195401052582092</v>
          </cell>
          <cell r="L14">
            <v>6.2447858088857036</v>
          </cell>
          <cell r="M14">
            <v>6.0956556897740777</v>
          </cell>
          <cell r="N14">
            <v>6.2087819003277627</v>
          </cell>
          <cell r="O14">
            <v>1.0767368844498366</v>
          </cell>
        </row>
        <row r="32">
          <cell r="F32">
            <v>0.50197499999999995</v>
          </cell>
          <cell r="H32">
            <v>2.5557655501191276</v>
          </cell>
          <cell r="I32">
            <v>3.0355213845918985</v>
          </cell>
          <cell r="J32">
            <v>2.9305489936413602</v>
          </cell>
          <cell r="K32">
            <v>3.0755399240786461</v>
          </cell>
          <cell r="L32">
            <v>3.2375975044688601</v>
          </cell>
          <cell r="M32">
            <v>2.7412730983400637</v>
          </cell>
          <cell r="N32">
            <v>3.3371973786666671</v>
          </cell>
          <cell r="O32">
            <v>3.4517066594444445</v>
          </cell>
        </row>
        <row r="64">
          <cell r="H64">
            <v>0.40640988029238712</v>
          </cell>
          <cell r="I64">
            <v>0.65200819278738997</v>
          </cell>
          <cell r="J64">
            <v>0.92008286977714449</v>
          </cell>
          <cell r="K64">
            <v>1.9841351747534413</v>
          </cell>
          <cell r="L64">
            <v>2.7837286454243646</v>
          </cell>
          <cell r="M64">
            <v>2.3265679144323079</v>
          </cell>
          <cell r="N64">
            <v>2.4207287124273749</v>
          </cell>
          <cell r="O64">
            <v>-3.4903440794157436</v>
          </cell>
        </row>
        <row r="83">
          <cell r="F83">
            <v>0.14237606028800001</v>
          </cell>
          <cell r="G83">
            <v>0.16253668749525033</v>
          </cell>
          <cell r="H83">
            <v>0.1624031722760966</v>
          </cell>
          <cell r="I83">
            <v>1.2915151709433972</v>
          </cell>
          <cell r="J83">
            <v>1.9742723427090458</v>
          </cell>
          <cell r="K83">
            <v>1.9565775572713022</v>
          </cell>
          <cell r="L83">
            <v>2.3789192073580567</v>
          </cell>
          <cell r="M83">
            <v>-3.4131221898699367</v>
          </cell>
        </row>
        <row r="107">
          <cell r="I107">
            <v>0.5</v>
          </cell>
          <cell r="J107">
            <v>0.55937500000000018</v>
          </cell>
          <cell r="K107">
            <v>0.10437500000000011</v>
          </cell>
          <cell r="L107">
            <v>0.50250000000000039</v>
          </cell>
          <cell r="M107">
            <v>-1</v>
          </cell>
        </row>
        <row r="121">
          <cell r="H121">
            <v>-0.14541890076048847</v>
          </cell>
          <cell r="I121">
            <v>-3.6728527418933295E-2</v>
          </cell>
          <cell r="J121">
            <v>4.969120158457864E-2</v>
          </cell>
          <cell r="K121">
            <v>0.23221740642612149</v>
          </cell>
          <cell r="L121">
            <v>0.25091732503675435</v>
          </cell>
          <cell r="M121">
            <v>1.3564427001706861E-2</v>
          </cell>
          <cell r="N121">
            <v>0.45085580923372048</v>
          </cell>
          <cell r="O121">
            <v>1.1153743044211357</v>
          </cell>
        </row>
        <row r="130">
          <cell r="F130">
            <v>0.64935064935064934</v>
          </cell>
          <cell r="G130">
            <v>0.63291139240506322</v>
          </cell>
          <cell r="H130">
            <v>0.625</v>
          </cell>
          <cell r="I130">
            <v>0.625</v>
          </cell>
          <cell r="J130">
            <v>0.61728395061728392</v>
          </cell>
          <cell r="K130">
            <v>0.61728395061728392</v>
          </cell>
          <cell r="L130">
            <v>0.61728395061728392</v>
          </cell>
          <cell r="M130">
            <v>0.61728395061728392</v>
          </cell>
        </row>
        <row r="137">
          <cell r="H137">
            <v>0</v>
          </cell>
          <cell r="I137">
            <v>0</v>
          </cell>
          <cell r="J137">
            <v>4.0336679999999996</v>
          </cell>
          <cell r="K137">
            <v>4.0276476000000008</v>
          </cell>
          <cell r="L137">
            <v>0</v>
          </cell>
          <cell r="M137">
            <v>1.0142502499999999</v>
          </cell>
          <cell r="N137">
            <v>0</v>
          </cell>
          <cell r="O137">
            <v>0</v>
          </cell>
        </row>
        <row r="151">
          <cell r="H151">
            <v>5.5308992420148931E-2</v>
          </cell>
          <cell r="I151">
            <v>3.7310481315315953E-2</v>
          </cell>
          <cell r="J151">
            <v>0</v>
          </cell>
          <cell r="K151">
            <v>0</v>
          </cell>
          <cell r="L151">
            <v>2.7457666044276213E-2</v>
          </cell>
          <cell r="M151">
            <v>0</v>
          </cell>
          <cell r="N151">
            <v>0</v>
          </cell>
          <cell r="O151">
            <v>0</v>
          </cell>
        </row>
      </sheetData>
      <sheetData sheetId="9">
        <row r="17">
          <cell r="F17">
            <v>0.58726169999999989</v>
          </cell>
          <cell r="G17">
            <v>0.62966525929148232</v>
          </cell>
          <cell r="H17">
            <v>0.80005872758755747</v>
          </cell>
          <cell r="I17">
            <v>1.0738619713503614</v>
          </cell>
          <cell r="J17">
            <v>1.179193812749902</v>
          </cell>
          <cell r="K17">
            <v>1.1661897937164472</v>
          </cell>
          <cell r="L17">
            <v>1.5167169225078261</v>
          </cell>
          <cell r="M17">
            <v>0</v>
          </cell>
        </row>
        <row r="27">
          <cell r="F27">
            <v>0.58726169999999989</v>
          </cell>
          <cell r="G27">
            <v>0.62966525929148232</v>
          </cell>
          <cell r="H27">
            <v>0.80005872758755747</v>
          </cell>
          <cell r="I27">
            <v>1.0738619713503614</v>
          </cell>
          <cell r="J27">
            <v>1.179193812749902</v>
          </cell>
          <cell r="K27">
            <v>1.1661897937164472</v>
          </cell>
          <cell r="L27">
            <v>1.5167169225078261</v>
          </cell>
          <cell r="M27">
            <v>0</v>
          </cell>
        </row>
      </sheetData>
      <sheetData sheetId="10">
        <row r="18">
          <cell r="F18">
            <v>11.181499999999987</v>
          </cell>
          <cell r="H18">
            <v>4.9065686994023965</v>
          </cell>
          <cell r="I18">
            <v>-2.8714004124378367</v>
          </cell>
          <cell r="J18">
            <v>3.3637883234461654</v>
          </cell>
          <cell r="K18">
            <v>8.5652495571219962</v>
          </cell>
          <cell r="L18">
            <v>6.8667144815500354</v>
          </cell>
          <cell r="M18">
            <v>7.1695956568429153</v>
          </cell>
          <cell r="N18">
            <v>7.19949243180639</v>
          </cell>
          <cell r="O18">
            <v>-398.84329732523122</v>
          </cell>
        </row>
      </sheetData>
      <sheetData sheetId="11">
        <row r="12">
          <cell r="F12">
            <v>22.935234575999999</v>
          </cell>
          <cell r="G12">
            <v>32.159406320000002</v>
          </cell>
          <cell r="H12">
            <v>31.240862952000001</v>
          </cell>
          <cell r="I12">
            <v>25.010635608000001</v>
          </cell>
          <cell r="J12">
            <v>33.501617912</v>
          </cell>
          <cell r="K12">
            <v>33.512823648000001</v>
          </cell>
          <cell r="L12">
            <v>33.475232336000005</v>
          </cell>
          <cell r="M12">
            <v>32.838965759999994</v>
          </cell>
        </row>
        <row r="16">
          <cell r="F16">
            <v>22.935234575999999</v>
          </cell>
          <cell r="G16">
            <v>32.159406320000002</v>
          </cell>
          <cell r="H16">
            <v>31.240862952000001</v>
          </cell>
          <cell r="I16">
            <v>25.010635608000001</v>
          </cell>
          <cell r="J16">
            <v>33.501617912</v>
          </cell>
          <cell r="K16">
            <v>33.512823648000001</v>
          </cell>
          <cell r="L16">
            <v>33.475232336000005</v>
          </cell>
          <cell r="M16">
            <v>32.838965759999994</v>
          </cell>
        </row>
      </sheetData>
      <sheetData sheetId="12">
        <row r="16">
          <cell r="F16">
            <v>274.65985727600008</v>
          </cell>
          <cell r="G16">
            <v>325.70304024979214</v>
          </cell>
          <cell r="H16">
            <v>303.20329225542201</v>
          </cell>
          <cell r="I16">
            <v>298.26275967841326</v>
          </cell>
          <cell r="J16">
            <v>327.20542148137639</v>
          </cell>
          <cell r="K16">
            <v>358.03375117516288</v>
          </cell>
          <cell r="L16">
            <v>385.39727642094215</v>
          </cell>
          <cell r="M16">
            <v>382.46426516935367</v>
          </cell>
        </row>
      </sheetData>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1 TIRG"/>
      <sheetName val="R12 TO MAR"/>
      <sheetName val="R13 Excluded Revenue"/>
      <sheetName val="R14 Rec to Stat Ac"/>
      <sheetName val="R15 SO Internal"/>
      <sheetName val="R16 SO External Rev"/>
      <sheetName val="R17 SO Bal Services"/>
    </sheetNames>
    <sheetDataSet>
      <sheetData sheetId="0"/>
      <sheetData sheetId="1"/>
      <sheetData sheetId="2"/>
      <sheetData sheetId="3">
        <row r="9">
          <cell r="F9">
            <v>1342.2809999999999</v>
          </cell>
          <cell r="G9">
            <v>1443.829</v>
          </cell>
          <cell r="H9">
            <v>1475.5930000000001</v>
          </cell>
          <cell r="I9">
            <v>1571.3869999999999</v>
          </cell>
          <cell r="J9">
            <v>1554.942</v>
          </cell>
          <cell r="K9">
            <v>1587.627</v>
          </cell>
          <cell r="L9">
            <v>1585.2280000000001</v>
          </cell>
          <cell r="M9">
            <v>1571.5840000000001</v>
          </cell>
        </row>
        <row r="10">
          <cell r="F10">
            <v>113.976</v>
          </cell>
          <cell r="G10">
            <v>113.533</v>
          </cell>
          <cell r="H10">
            <v>114.357</v>
          </cell>
          <cell r="I10">
            <v>116.705</v>
          </cell>
          <cell r="J10">
            <v>122.833</v>
          </cell>
          <cell r="K10">
            <v>117.524</v>
          </cell>
          <cell r="L10">
            <v>124.73099999999999</v>
          </cell>
          <cell r="M10">
            <v>126.191</v>
          </cell>
        </row>
        <row r="12">
          <cell r="F12">
            <v>73.453000000000003</v>
          </cell>
          <cell r="G12">
            <v>66.884</v>
          </cell>
          <cell r="H12">
            <v>66.882000000000005</v>
          </cell>
          <cell r="I12">
            <v>66.882999999999996</v>
          </cell>
          <cell r="J12">
            <v>66.882000000000005</v>
          </cell>
          <cell r="K12">
            <v>66.882000000000005</v>
          </cell>
          <cell r="L12">
            <v>66.882000000000005</v>
          </cell>
          <cell r="M12">
            <v>66.882000000000005</v>
          </cell>
        </row>
        <row r="13">
          <cell r="D13">
            <v>0</v>
          </cell>
          <cell r="E13">
            <v>0</v>
          </cell>
          <cell r="F13">
            <v>12.794</v>
          </cell>
          <cell r="G13">
            <v>12.794</v>
          </cell>
          <cell r="H13">
            <v>12.794</v>
          </cell>
          <cell r="I13">
            <v>12.794</v>
          </cell>
          <cell r="J13">
            <v>12.794</v>
          </cell>
          <cell r="K13">
            <v>12.794</v>
          </cell>
          <cell r="L13">
            <v>12.794</v>
          </cell>
          <cell r="M13">
            <v>12.794</v>
          </cell>
        </row>
        <row r="14">
          <cell r="D14">
            <v>0</v>
          </cell>
          <cell r="E14">
            <v>0</v>
          </cell>
          <cell r="F14">
            <v>8</v>
          </cell>
          <cell r="G14">
            <v>8</v>
          </cell>
          <cell r="H14">
            <v>8</v>
          </cell>
          <cell r="I14">
            <v>8</v>
          </cell>
          <cell r="J14">
            <v>8</v>
          </cell>
          <cell r="K14">
            <v>8</v>
          </cell>
          <cell r="L14">
            <v>8</v>
          </cell>
          <cell r="M14">
            <v>8</v>
          </cell>
        </row>
        <row r="24">
          <cell r="F24">
            <v>0.03</v>
          </cell>
          <cell r="G24">
            <v>0.03</v>
          </cell>
          <cell r="H24">
            <v>0.03</v>
          </cell>
          <cell r="I24">
            <v>0.03</v>
          </cell>
          <cell r="J24">
            <v>0.03</v>
          </cell>
          <cell r="K24">
            <v>0.03</v>
          </cell>
          <cell r="L24">
            <v>0.03</v>
          </cell>
          <cell r="M24">
            <v>0.03</v>
          </cell>
        </row>
        <row r="41">
          <cell r="F41">
            <v>0.46889999999999998</v>
          </cell>
          <cell r="G41">
            <v>0.46889999999999998</v>
          </cell>
          <cell r="H41">
            <v>0.46889999999999998</v>
          </cell>
          <cell r="I41">
            <v>0.46889999999999998</v>
          </cell>
          <cell r="J41">
            <v>0.46889999999999998</v>
          </cell>
          <cell r="K41">
            <v>0.46889999999999998</v>
          </cell>
          <cell r="L41">
            <v>0.46889999999999998</v>
          </cell>
          <cell r="M41">
            <v>0.46889999999999998</v>
          </cell>
        </row>
        <row r="45">
          <cell r="F45">
            <v>0.7</v>
          </cell>
          <cell r="G45">
            <v>0.7</v>
          </cell>
          <cell r="H45">
            <v>0.7</v>
          </cell>
          <cell r="I45">
            <v>0.7</v>
          </cell>
          <cell r="J45">
            <v>0.7</v>
          </cell>
          <cell r="K45">
            <v>0.7</v>
          </cell>
          <cell r="L45">
            <v>0.7</v>
          </cell>
          <cell r="M45">
            <v>0.7</v>
          </cell>
        </row>
        <row r="47">
          <cell r="F47">
            <v>6.9</v>
          </cell>
          <cell r="G47">
            <v>6.9</v>
          </cell>
          <cell r="H47">
            <v>6.9</v>
          </cell>
          <cell r="I47">
            <v>6.9</v>
          </cell>
          <cell r="J47">
            <v>6.9</v>
          </cell>
          <cell r="K47">
            <v>6.9</v>
          </cell>
          <cell r="L47">
            <v>6.9</v>
          </cell>
          <cell r="M47">
            <v>6.9</v>
          </cell>
        </row>
        <row r="48">
          <cell r="F48">
            <v>8.5</v>
          </cell>
          <cell r="G48">
            <v>8.5</v>
          </cell>
          <cell r="H48">
            <v>8.5</v>
          </cell>
          <cell r="I48">
            <v>8.5</v>
          </cell>
          <cell r="J48">
            <v>8.5</v>
          </cell>
          <cell r="K48">
            <v>8.5</v>
          </cell>
          <cell r="L48">
            <v>8.5</v>
          </cell>
          <cell r="M48">
            <v>8.5</v>
          </cell>
        </row>
        <row r="49">
          <cell r="F49">
            <v>5.3</v>
          </cell>
          <cell r="G49">
            <v>5.3</v>
          </cell>
          <cell r="H49">
            <v>5.3</v>
          </cell>
          <cell r="I49">
            <v>5.3</v>
          </cell>
          <cell r="J49">
            <v>5.3</v>
          </cell>
          <cell r="K49">
            <v>5.3</v>
          </cell>
          <cell r="L49">
            <v>5.3</v>
          </cell>
          <cell r="M49">
            <v>5.3</v>
          </cell>
        </row>
        <row r="50">
          <cell r="F50">
            <v>0.01</v>
          </cell>
          <cell r="G50">
            <v>0.01</v>
          </cell>
          <cell r="H50">
            <v>0.01</v>
          </cell>
          <cell r="I50">
            <v>0.01</v>
          </cell>
          <cell r="J50">
            <v>0.01</v>
          </cell>
          <cell r="K50">
            <v>0.01</v>
          </cell>
          <cell r="L50">
            <v>0.01</v>
          </cell>
          <cell r="M50">
            <v>0.01</v>
          </cell>
        </row>
        <row r="51">
          <cell r="F51">
            <v>-0.01</v>
          </cell>
          <cell r="G51">
            <v>-0.01</v>
          </cell>
          <cell r="H51">
            <v>-0.01</v>
          </cell>
          <cell r="I51">
            <v>-0.01</v>
          </cell>
          <cell r="J51">
            <v>-0.01</v>
          </cell>
          <cell r="K51">
            <v>-0.01</v>
          </cell>
          <cell r="L51">
            <v>-0.01</v>
          </cell>
          <cell r="M51">
            <v>-0.01</v>
          </cell>
        </row>
        <row r="53">
          <cell r="F53">
            <v>0</v>
          </cell>
          <cell r="G53">
            <v>0</v>
          </cell>
          <cell r="H53">
            <v>0</v>
          </cell>
          <cell r="I53">
            <v>0.30000000000000004</v>
          </cell>
          <cell r="J53">
            <v>0.30000000000000004</v>
          </cell>
          <cell r="K53">
            <v>0.30000000000000004</v>
          </cell>
          <cell r="L53">
            <v>0.30000000000000004</v>
          </cell>
          <cell r="M53">
            <v>0.30000000000000004</v>
          </cell>
        </row>
        <row r="54">
          <cell r="F54">
            <v>7.4</v>
          </cell>
          <cell r="G54">
            <v>7.4</v>
          </cell>
          <cell r="H54">
            <v>7.4</v>
          </cell>
          <cell r="I54">
            <v>7.4</v>
          </cell>
          <cell r="J54">
            <v>7.4</v>
          </cell>
          <cell r="K54">
            <v>7.4</v>
          </cell>
          <cell r="L54">
            <v>7.4</v>
          </cell>
          <cell r="M54">
            <v>7.4</v>
          </cell>
        </row>
        <row r="55">
          <cell r="F55">
            <v>9</v>
          </cell>
          <cell r="G55">
            <v>9</v>
          </cell>
          <cell r="H55">
            <v>9</v>
          </cell>
          <cell r="I55">
            <v>9</v>
          </cell>
          <cell r="J55">
            <v>9</v>
          </cell>
          <cell r="K55">
            <v>9</v>
          </cell>
          <cell r="L55">
            <v>9</v>
          </cell>
          <cell r="M55">
            <v>9</v>
          </cell>
        </row>
        <row r="56">
          <cell r="F56">
            <v>5.8</v>
          </cell>
          <cell r="G56">
            <v>5.8</v>
          </cell>
          <cell r="H56">
            <v>5.8</v>
          </cell>
          <cell r="I56">
            <v>5.8</v>
          </cell>
          <cell r="J56">
            <v>5.8</v>
          </cell>
          <cell r="K56">
            <v>5.8</v>
          </cell>
          <cell r="L56">
            <v>5.8</v>
          </cell>
          <cell r="M56">
            <v>5.8</v>
          </cell>
        </row>
        <row r="57">
          <cell r="F57">
            <v>0.01</v>
          </cell>
          <cell r="G57">
            <v>0.01</v>
          </cell>
          <cell r="H57">
            <v>0.01</v>
          </cell>
          <cell r="I57">
            <v>0.01</v>
          </cell>
          <cell r="J57">
            <v>0.01</v>
          </cell>
          <cell r="K57">
            <v>0.01</v>
          </cell>
          <cell r="L57">
            <v>0.01</v>
          </cell>
          <cell r="M57">
            <v>0.01</v>
          </cell>
        </row>
        <row r="58">
          <cell r="F58">
            <v>-0.01</v>
          </cell>
          <cell r="G58">
            <v>-0.01</v>
          </cell>
          <cell r="H58">
            <v>-0.01</v>
          </cell>
          <cell r="I58">
            <v>-0.01</v>
          </cell>
          <cell r="J58">
            <v>-0.01</v>
          </cell>
          <cell r="K58">
            <v>-0.01</v>
          </cell>
          <cell r="L58">
            <v>-0.01</v>
          </cell>
          <cell r="M58">
            <v>-0.01</v>
          </cell>
        </row>
        <row r="59">
          <cell r="F59">
            <v>5.0000000000000001E-3</v>
          </cell>
          <cell r="G59">
            <v>5.0000000000000001E-3</v>
          </cell>
          <cell r="H59">
            <v>5.0000000000000001E-3</v>
          </cell>
          <cell r="I59">
            <v>5.0000000000000001E-3</v>
          </cell>
          <cell r="J59">
            <v>5.0000000000000001E-3</v>
          </cell>
          <cell r="K59">
            <v>5.0000000000000001E-3</v>
          </cell>
          <cell r="L59">
            <v>5.0000000000000001E-3</v>
          </cell>
          <cell r="M59">
            <v>5.0000000000000001E-3</v>
          </cell>
        </row>
        <row r="61">
          <cell r="F61">
            <v>23.9</v>
          </cell>
          <cell r="G61">
            <v>23.9</v>
          </cell>
          <cell r="H61">
            <v>23.9</v>
          </cell>
          <cell r="I61">
            <v>23.9</v>
          </cell>
          <cell r="J61">
            <v>23.9</v>
          </cell>
          <cell r="K61">
            <v>23.9</v>
          </cell>
          <cell r="L61">
            <v>23.9</v>
          </cell>
          <cell r="M61">
            <v>23.9</v>
          </cell>
        </row>
        <row r="63">
          <cell r="F63">
            <v>7.0000000000000001E-3</v>
          </cell>
          <cell r="G63">
            <v>7.0000000000000001E-3</v>
          </cell>
          <cell r="H63">
            <v>7.0000000000000001E-3</v>
          </cell>
          <cell r="I63">
            <v>7.0000000000000001E-3</v>
          </cell>
          <cell r="J63">
            <v>7.0000000000000001E-3</v>
          </cell>
          <cell r="K63">
            <v>7.0000000000000001E-3</v>
          </cell>
          <cell r="L63">
            <v>7.0000000000000001E-3</v>
          </cell>
          <cell r="M63">
            <v>7.0000000000000001E-3</v>
          </cell>
        </row>
        <row r="66">
          <cell r="F66">
            <v>0.9</v>
          </cell>
          <cell r="G66">
            <v>0.9</v>
          </cell>
          <cell r="H66">
            <v>0.9</v>
          </cell>
          <cell r="I66">
            <v>0.9</v>
          </cell>
          <cell r="J66">
            <v>0.9</v>
          </cell>
          <cell r="K66">
            <v>0.9</v>
          </cell>
          <cell r="L66">
            <v>0.9</v>
          </cell>
          <cell r="M66">
            <v>0.9</v>
          </cell>
        </row>
        <row r="74">
          <cell r="E74">
            <v>0</v>
          </cell>
          <cell r="F74">
            <v>0</v>
          </cell>
          <cell r="G74">
            <v>0</v>
          </cell>
          <cell r="H74">
            <v>0</v>
          </cell>
          <cell r="I74">
            <v>0</v>
          </cell>
          <cell r="J74">
            <v>0</v>
          </cell>
          <cell r="K74">
            <v>0</v>
          </cell>
          <cell r="L74">
            <v>0</v>
          </cell>
          <cell r="M74">
            <v>0</v>
          </cell>
        </row>
        <row r="75">
          <cell r="E75">
            <v>0</v>
          </cell>
          <cell r="F75">
            <v>0</v>
          </cell>
          <cell r="G75">
            <v>0</v>
          </cell>
          <cell r="H75">
            <v>0</v>
          </cell>
          <cell r="I75">
            <v>0</v>
          </cell>
          <cell r="J75">
            <v>0</v>
          </cell>
          <cell r="K75">
            <v>0</v>
          </cell>
          <cell r="L75">
            <v>0</v>
          </cell>
          <cell r="M75">
            <v>0</v>
          </cell>
        </row>
        <row r="76">
          <cell r="E76">
            <v>0</v>
          </cell>
          <cell r="F76">
            <v>0</v>
          </cell>
          <cell r="G76">
            <v>0</v>
          </cell>
          <cell r="H76">
            <v>0</v>
          </cell>
          <cell r="I76">
            <v>0</v>
          </cell>
          <cell r="J76">
            <v>0</v>
          </cell>
          <cell r="K76">
            <v>0</v>
          </cell>
          <cell r="L76">
            <v>0</v>
          </cell>
          <cell r="M76">
            <v>0</v>
          </cell>
        </row>
        <row r="77">
          <cell r="D77">
            <v>105.983</v>
          </cell>
        </row>
        <row r="78">
          <cell r="E78">
            <v>5.4139999999999997</v>
          </cell>
          <cell r="F78">
            <v>5.4139999999999997</v>
          </cell>
          <cell r="G78">
            <v>5.4139999999999997</v>
          </cell>
          <cell r="H78">
            <v>5.4139999999999997</v>
          </cell>
          <cell r="I78">
            <v>0</v>
          </cell>
          <cell r="J78">
            <v>0</v>
          </cell>
          <cell r="K78">
            <v>0</v>
          </cell>
          <cell r="L78">
            <v>0</v>
          </cell>
          <cell r="M78">
            <v>0</v>
          </cell>
        </row>
        <row r="79">
          <cell r="E79">
            <v>100.15300000000001</v>
          </cell>
          <cell r="F79">
            <v>94.739000000000004</v>
          </cell>
          <cell r="G79">
            <v>89.325999999999993</v>
          </cell>
          <cell r="H79">
            <v>83.912000000000006</v>
          </cell>
          <cell r="I79">
            <v>0</v>
          </cell>
          <cell r="J79">
            <v>0</v>
          </cell>
          <cell r="K79">
            <v>0</v>
          </cell>
          <cell r="L79">
            <v>0</v>
          </cell>
          <cell r="M79">
            <v>0</v>
          </cell>
        </row>
        <row r="81">
          <cell r="E81">
            <v>8.7999999999999995E-2</v>
          </cell>
          <cell r="F81">
            <v>8.7999999999999995E-2</v>
          </cell>
          <cell r="G81">
            <v>8.7999999999999995E-2</v>
          </cell>
          <cell r="H81">
            <v>8.7999999999999995E-2</v>
          </cell>
          <cell r="I81">
            <v>8.7999999999999995E-2</v>
          </cell>
          <cell r="J81">
            <v>8.7999999999999995E-2</v>
          </cell>
          <cell r="K81">
            <v>8.7999999999999995E-2</v>
          </cell>
          <cell r="L81">
            <v>8.7999999999999995E-2</v>
          </cell>
          <cell r="M81">
            <v>8.7999999999999995E-2</v>
          </cell>
        </row>
        <row r="87">
          <cell r="E87">
            <v>0</v>
          </cell>
          <cell r="F87">
            <v>0</v>
          </cell>
          <cell r="G87">
            <v>14.7</v>
          </cell>
          <cell r="H87">
            <v>0</v>
          </cell>
          <cell r="I87">
            <v>0</v>
          </cell>
          <cell r="J87">
            <v>0</v>
          </cell>
          <cell r="K87">
            <v>0</v>
          </cell>
          <cell r="L87">
            <v>0</v>
          </cell>
          <cell r="M87">
            <v>0</v>
          </cell>
        </row>
      </sheetData>
      <sheetData sheetId="4">
        <row r="6">
          <cell r="E6" t="str">
            <v>National Grid Electricity Transmission Plc</v>
          </cell>
        </row>
        <row r="7">
          <cell r="F7" t="str">
            <v>Regulatory Year ending 31 March 2019</v>
          </cell>
        </row>
        <row r="10">
          <cell r="D10">
            <v>1.1000000000000001</v>
          </cell>
          <cell r="E10">
            <v>1.1339999999999999</v>
          </cell>
          <cell r="F10">
            <v>1.167</v>
          </cell>
          <cell r="G10">
            <v>1.19</v>
          </cell>
          <cell r="H10">
            <v>1.202</v>
          </cell>
          <cell r="I10">
            <v>1.228</v>
          </cell>
          <cell r="J10">
            <v>1.274</v>
          </cell>
          <cell r="K10">
            <v>1.3129999999999999</v>
          </cell>
          <cell r="L10">
            <v>1.35</v>
          </cell>
          <cell r="M10">
            <v>1.3879999999999999</v>
          </cell>
        </row>
        <row r="25">
          <cell r="F25">
            <v>0</v>
          </cell>
          <cell r="G25">
            <v>-5.4</v>
          </cell>
          <cell r="H25">
            <v>-114.4</v>
          </cell>
          <cell r="I25">
            <v>-185.4</v>
          </cell>
          <cell r="J25">
            <v>-253.3</v>
          </cell>
          <cell r="K25">
            <v>-310.2</v>
          </cell>
          <cell r="L25">
            <v>-378</v>
          </cell>
          <cell r="M25">
            <v>0</v>
          </cell>
        </row>
        <row r="27">
          <cell r="F27">
            <v>0</v>
          </cell>
          <cell r="G27">
            <v>3.7</v>
          </cell>
          <cell r="H27">
            <v>6</v>
          </cell>
          <cell r="I27">
            <v>20.9</v>
          </cell>
          <cell r="J27">
            <v>9.1999999999999993</v>
          </cell>
          <cell r="K27">
            <v>30.1</v>
          </cell>
          <cell r="L27">
            <v>97</v>
          </cell>
          <cell r="M27">
            <v>0</v>
          </cell>
        </row>
        <row r="29">
          <cell r="F29">
            <v>2089.5659999999998</v>
          </cell>
          <cell r="G29">
            <v>2376.2289194499999</v>
          </cell>
          <cell r="H29">
            <v>2592.6842391499995</v>
          </cell>
          <cell r="I29">
            <v>2800.3277643199999</v>
          </cell>
          <cell r="J29">
            <v>2627.723</v>
          </cell>
          <cell r="K29">
            <v>2749.12146764</v>
          </cell>
          <cell r="L29">
            <v>0</v>
          </cell>
          <cell r="M29">
            <v>0</v>
          </cell>
        </row>
        <row r="45">
          <cell r="E45">
            <v>1.0475000000000001</v>
          </cell>
          <cell r="F45">
            <v>1.04552</v>
          </cell>
          <cell r="G45">
            <v>1.0443199999999999</v>
          </cell>
          <cell r="H45">
            <v>1.0432999999999999</v>
          </cell>
          <cell r="I45">
            <v>1.0422800000000001</v>
          </cell>
          <cell r="J45">
            <v>1.04132</v>
          </cell>
          <cell r="K45">
            <v>1.0394600000000001</v>
          </cell>
          <cell r="L45">
            <v>1.03748</v>
          </cell>
          <cell r="M45">
            <v>1.03748</v>
          </cell>
        </row>
        <row r="50">
          <cell r="E50">
            <v>0</v>
          </cell>
          <cell r="F50">
            <v>-1.5719999999999992</v>
          </cell>
          <cell r="G50">
            <v>3.3879999999999981</v>
          </cell>
          <cell r="H50">
            <v>1.3327371300000017</v>
          </cell>
          <cell r="I50">
            <v>3.0600804640000092</v>
          </cell>
          <cell r="J50">
            <v>6.2309143033333569</v>
          </cell>
          <cell r="K50">
            <v>6.7071654877208005</v>
          </cell>
          <cell r="L50">
            <v>-13.187715539149927</v>
          </cell>
          <cell r="M50">
            <v>0</v>
          </cell>
        </row>
        <row r="55">
          <cell r="E55">
            <v>0</v>
          </cell>
          <cell r="F55">
            <v>-0.38300000000000001</v>
          </cell>
          <cell r="G55">
            <v>-0.28567453999999998</v>
          </cell>
          <cell r="H55">
            <v>-1.89777855</v>
          </cell>
          <cell r="I55">
            <v>-2.0895062300000005</v>
          </cell>
          <cell r="J55">
            <v>-6.4820997099999982</v>
          </cell>
          <cell r="K55">
            <v>3.3975077599999999</v>
          </cell>
          <cell r="L55">
            <v>1.2943379500000001</v>
          </cell>
          <cell r="M55">
            <v>0</v>
          </cell>
        </row>
        <row r="57">
          <cell r="E57">
            <v>0.5</v>
          </cell>
          <cell r="F57">
            <v>0.5</v>
          </cell>
          <cell r="G57">
            <v>0.5</v>
          </cell>
          <cell r="H57">
            <v>0.5</v>
          </cell>
          <cell r="I57">
            <v>0.34</v>
          </cell>
          <cell r="J57">
            <v>0.35</v>
          </cell>
          <cell r="K57">
            <v>0.67</v>
          </cell>
          <cell r="L57">
            <v>0</v>
          </cell>
          <cell r="M57">
            <v>0</v>
          </cell>
        </row>
        <row r="60">
          <cell r="F60">
            <v>86.772999999999996</v>
          </cell>
          <cell r="G60">
            <v>80.920781000000005</v>
          </cell>
          <cell r="H60">
            <v>82.731136960000001</v>
          </cell>
          <cell r="I60">
            <v>83.404192960000003</v>
          </cell>
          <cell r="J60">
            <v>115.66811</v>
          </cell>
          <cell r="K60">
            <v>119.06063</v>
          </cell>
          <cell r="L60">
            <v>0</v>
          </cell>
          <cell r="M60">
            <v>0</v>
          </cell>
        </row>
        <row r="61">
          <cell r="D61">
            <v>0</v>
          </cell>
          <cell r="E61">
            <v>0</v>
          </cell>
          <cell r="F61">
            <v>16.687000000000001</v>
          </cell>
          <cell r="G61">
            <v>17.610700000000001</v>
          </cell>
          <cell r="H61">
            <v>18.150700000000001</v>
          </cell>
          <cell r="I61">
            <v>15.386900000000001</v>
          </cell>
          <cell r="J61">
            <v>20.033000000000001</v>
          </cell>
          <cell r="K61">
            <v>20.948799999999999</v>
          </cell>
          <cell r="L61">
            <v>0</v>
          </cell>
          <cell r="M61">
            <v>0</v>
          </cell>
        </row>
        <row r="62">
          <cell r="E62">
            <v>0.124</v>
          </cell>
          <cell r="F62">
            <v>1.0999999999999999E-2</v>
          </cell>
          <cell r="G62">
            <v>8.0146729999999999E-2</v>
          </cell>
          <cell r="H62">
            <v>0</v>
          </cell>
          <cell r="I62">
            <v>0.60954520999999995</v>
          </cell>
          <cell r="J62">
            <v>0.31993953000000003</v>
          </cell>
          <cell r="K62">
            <v>1.3765156199999999</v>
          </cell>
          <cell r="L62">
            <v>0</v>
          </cell>
          <cell r="M62">
            <v>0</v>
          </cell>
        </row>
        <row r="63">
          <cell r="D63">
            <v>0</v>
          </cell>
          <cell r="E63">
            <v>0</v>
          </cell>
          <cell r="F63">
            <v>12.663</v>
          </cell>
          <cell r="G63">
            <v>11.88914035</v>
          </cell>
          <cell r="H63">
            <v>10.049648400000001</v>
          </cell>
          <cell r="I63">
            <v>10.981934020000001</v>
          </cell>
          <cell r="J63">
            <v>5.6481040199999999</v>
          </cell>
          <cell r="K63">
            <v>8.1413806799999993</v>
          </cell>
          <cell r="L63">
            <v>0</v>
          </cell>
          <cell r="M63">
            <v>0</v>
          </cell>
        </row>
        <row r="64">
          <cell r="D64">
            <v>0</v>
          </cell>
          <cell r="E64">
            <v>0</v>
          </cell>
          <cell r="F64">
            <v>2.5659999999999998</v>
          </cell>
          <cell r="G64">
            <v>3.1656612800000001</v>
          </cell>
          <cell r="H64">
            <v>26.490020950000002</v>
          </cell>
          <cell r="I64">
            <v>13.08643953</v>
          </cell>
          <cell r="J64">
            <v>0.69965599999999994</v>
          </cell>
          <cell r="K64">
            <v>43.48776058</v>
          </cell>
          <cell r="L64">
            <v>0</v>
          </cell>
          <cell r="M64">
            <v>0</v>
          </cell>
        </row>
        <row r="65">
          <cell r="D65">
            <v>0</v>
          </cell>
          <cell r="E65">
            <v>0</v>
          </cell>
          <cell r="F65">
            <v>271.274</v>
          </cell>
          <cell r="G65">
            <v>312.17914780000001</v>
          </cell>
          <cell r="H65">
            <v>295.66455672000001</v>
          </cell>
          <cell r="I65">
            <v>294.62336268285998</v>
          </cell>
          <cell r="J65">
            <v>320.96520035999998</v>
          </cell>
          <cell r="K65">
            <v>349.96085314999999</v>
          </cell>
          <cell r="L65">
            <v>0</v>
          </cell>
          <cell r="M65">
            <v>0</v>
          </cell>
        </row>
        <row r="66">
          <cell r="D66">
            <v>0</v>
          </cell>
          <cell r="E66">
            <v>0</v>
          </cell>
          <cell r="F66">
            <v>172.46</v>
          </cell>
          <cell r="G66">
            <v>213.95951769999999</v>
          </cell>
          <cell r="H66">
            <v>338.20730220000002</v>
          </cell>
          <cell r="I66">
            <v>322.83631648970299</v>
          </cell>
          <cell r="J66">
            <v>301.36826292000001</v>
          </cell>
          <cell r="K66">
            <v>366.41088400000001</v>
          </cell>
          <cell r="L66">
            <v>0</v>
          </cell>
          <cell r="M66">
            <v>0</v>
          </cell>
        </row>
        <row r="67">
          <cell r="D67">
            <v>0</v>
          </cell>
          <cell r="E67">
            <v>0</v>
          </cell>
          <cell r="F67">
            <v>105.429</v>
          </cell>
          <cell r="G67">
            <v>166.85828409999999</v>
          </cell>
          <cell r="H67">
            <v>231.37380934000001</v>
          </cell>
          <cell r="I67">
            <v>253.11297273</v>
          </cell>
          <cell r="J67">
            <v>265.53230083</v>
          </cell>
          <cell r="K67">
            <v>306.47826020999997</v>
          </cell>
          <cell r="L67">
            <v>0</v>
          </cell>
          <cell r="M67">
            <v>0</v>
          </cell>
        </row>
        <row r="68">
          <cell r="D68">
            <v>0</v>
          </cell>
          <cell r="E68">
            <v>0</v>
          </cell>
          <cell r="F68">
            <v>0.58599999999999997</v>
          </cell>
          <cell r="G68">
            <v>0.63683741999999999</v>
          </cell>
          <cell r="H68">
            <v>0.6231344860000001</v>
          </cell>
          <cell r="I68">
            <v>0.49429468999999998</v>
          </cell>
          <cell r="J68">
            <v>0.52631649000000003</v>
          </cell>
          <cell r="K68">
            <v>0.58447148999999998</v>
          </cell>
          <cell r="L68">
            <v>0</v>
          </cell>
          <cell r="M68">
            <v>0</v>
          </cell>
        </row>
        <row r="73">
          <cell r="F73">
            <v>0</v>
          </cell>
          <cell r="G73">
            <v>2</v>
          </cell>
          <cell r="H73">
            <v>0</v>
          </cell>
          <cell r="I73">
            <v>0</v>
          </cell>
          <cell r="J73">
            <v>0</v>
          </cell>
          <cell r="K73">
            <v>0</v>
          </cell>
          <cell r="L73">
            <v>0</v>
          </cell>
          <cell r="M73">
            <v>0</v>
          </cell>
        </row>
        <row r="80">
          <cell r="D80">
            <v>0</v>
          </cell>
          <cell r="E80">
            <v>0</v>
          </cell>
          <cell r="F80">
            <v>135</v>
          </cell>
          <cell r="G80">
            <v>8.7000000000000011</v>
          </cell>
          <cell r="H80">
            <v>4.5</v>
          </cell>
          <cell r="I80">
            <v>6.7999999999999972</v>
          </cell>
          <cell r="J80">
            <v>39.699999999999996</v>
          </cell>
          <cell r="K80">
            <v>12.000000000000004</v>
          </cell>
          <cell r="L80">
            <v>0</v>
          </cell>
          <cell r="M80">
            <v>0</v>
          </cell>
        </row>
        <row r="83">
          <cell r="D83">
            <v>0</v>
          </cell>
          <cell r="E83">
            <v>0</v>
          </cell>
          <cell r="F83">
            <v>7.5330000000000004</v>
          </cell>
          <cell r="G83">
            <v>7.5330000000000004</v>
          </cell>
          <cell r="H83">
            <v>7.5330000000000004</v>
          </cell>
          <cell r="I83">
            <v>7.6609999999999996</v>
          </cell>
          <cell r="J83">
            <v>7.883</v>
          </cell>
          <cell r="K83">
            <v>7.9189999999999996</v>
          </cell>
          <cell r="L83">
            <v>0</v>
          </cell>
          <cell r="M83">
            <v>0</v>
          </cell>
        </row>
        <row r="84">
          <cell r="F84">
            <v>2.759903</v>
          </cell>
          <cell r="G84">
            <v>3.5</v>
          </cell>
          <cell r="H84">
            <v>3.81</v>
          </cell>
          <cell r="I84">
            <v>5.05</v>
          </cell>
          <cell r="J84">
            <v>1.78</v>
          </cell>
          <cell r="K84">
            <v>0</v>
          </cell>
          <cell r="L84">
            <v>0</v>
          </cell>
          <cell r="M84">
            <v>0</v>
          </cell>
        </row>
        <row r="85">
          <cell r="D85">
            <v>0</v>
          </cell>
          <cell r="E85">
            <v>0</v>
          </cell>
          <cell r="F85">
            <v>7.4089999999999998</v>
          </cell>
          <cell r="G85">
            <v>7.4009999999999998</v>
          </cell>
          <cell r="H85">
            <v>7.5380000000000003</v>
          </cell>
          <cell r="I85">
            <v>7.41</v>
          </cell>
          <cell r="J85">
            <v>7.7430000000000003</v>
          </cell>
          <cell r="K85">
            <v>7.9240000000000004</v>
          </cell>
          <cell r="L85">
            <v>0</v>
          </cell>
          <cell r="M85">
            <v>0</v>
          </cell>
        </row>
        <row r="87">
          <cell r="F87">
            <v>0.23</v>
          </cell>
          <cell r="G87">
            <v>0.21</v>
          </cell>
          <cell r="H87">
            <v>0.2</v>
          </cell>
          <cell r="I87">
            <v>0.2</v>
          </cell>
          <cell r="J87">
            <v>0.19</v>
          </cell>
          <cell r="K87">
            <v>0.19</v>
          </cell>
          <cell r="L87">
            <v>0.19</v>
          </cell>
          <cell r="M87">
            <v>0.17</v>
          </cell>
        </row>
        <row r="91">
          <cell r="E91">
            <v>12001.047795</v>
          </cell>
        </row>
        <row r="92">
          <cell r="D92">
            <v>0</v>
          </cell>
          <cell r="E92">
            <v>0</v>
          </cell>
          <cell r="F92">
            <v>84.281512499999991</v>
          </cell>
          <cell r="G92">
            <v>122.60346249999995</v>
          </cell>
          <cell r="H92">
            <v>82.249237500000035</v>
          </cell>
          <cell r="I92">
            <v>94.434437499999987</v>
          </cell>
          <cell r="J92">
            <v>211.62173749999994</v>
          </cell>
          <cell r="K92">
            <v>63.654149999999973</v>
          </cell>
          <cell r="L92">
            <v>0</v>
          </cell>
          <cell r="M92">
            <v>0</v>
          </cell>
        </row>
        <row r="93">
          <cell r="F93">
            <v>0</v>
          </cell>
          <cell r="G93">
            <v>124.22605000000001</v>
          </cell>
          <cell r="H93">
            <v>190.37189999999993</v>
          </cell>
          <cell r="I93">
            <v>193.70265000000018</v>
          </cell>
          <cell r="J93">
            <v>136.55895000000004</v>
          </cell>
          <cell r="K93">
            <v>241.48649999999998</v>
          </cell>
          <cell r="L93">
            <v>0</v>
          </cell>
          <cell r="M93">
            <v>0</v>
          </cell>
        </row>
        <row r="94">
          <cell r="D94">
            <v>0</v>
          </cell>
          <cell r="E94">
            <v>0</v>
          </cell>
          <cell r="F94">
            <v>33.494175000000006</v>
          </cell>
          <cell r="G94">
            <v>43.39920750000001</v>
          </cell>
          <cell r="H94">
            <v>10.493999999999998</v>
          </cell>
          <cell r="I94">
            <v>116.90497500000001</v>
          </cell>
          <cell r="J94">
            <v>52.600350000000006</v>
          </cell>
          <cell r="K94">
            <v>21.678525000000004</v>
          </cell>
          <cell r="L94">
            <v>0</v>
          </cell>
          <cell r="M94">
            <v>0</v>
          </cell>
        </row>
        <row r="95">
          <cell r="F95">
            <v>0</v>
          </cell>
          <cell r="G95">
            <v>49.988399999999999</v>
          </cell>
          <cell r="H95">
            <v>58.469565000000003</v>
          </cell>
          <cell r="I95">
            <v>26.500319999999999</v>
          </cell>
          <cell r="J95">
            <v>214.59916500000003</v>
          </cell>
          <cell r="K95">
            <v>88.567050000000023</v>
          </cell>
          <cell r="L95">
            <v>0</v>
          </cell>
          <cell r="M95">
            <v>0</v>
          </cell>
        </row>
        <row r="96">
          <cell r="D96">
            <v>0</v>
          </cell>
          <cell r="E96">
            <v>0</v>
          </cell>
          <cell r="F96">
            <v>10110.16</v>
          </cell>
          <cell r="G96">
            <v>9544.2800000000007</v>
          </cell>
          <cell r="H96">
            <v>9743.8340000000007</v>
          </cell>
          <cell r="I96">
            <v>11000.049000000003</v>
          </cell>
          <cell r="J96">
            <v>9617</v>
          </cell>
          <cell r="K96">
            <v>11934.811</v>
          </cell>
          <cell r="L96">
            <v>0</v>
          </cell>
          <cell r="M96">
            <v>0</v>
          </cell>
        </row>
        <row r="97">
          <cell r="D97">
            <v>0</v>
          </cell>
          <cell r="E97">
            <v>0</v>
          </cell>
          <cell r="F97">
            <v>50</v>
          </cell>
          <cell r="G97">
            <v>51</v>
          </cell>
          <cell r="H97">
            <v>52</v>
          </cell>
          <cell r="I97">
            <v>53</v>
          </cell>
          <cell r="J97">
            <v>54</v>
          </cell>
          <cell r="K97">
            <v>55</v>
          </cell>
          <cell r="L97">
            <v>56</v>
          </cell>
          <cell r="M97">
            <v>57</v>
          </cell>
        </row>
        <row r="100">
          <cell r="F100">
            <v>6.5880000000000001</v>
          </cell>
          <cell r="G100">
            <v>9.9161124049999998</v>
          </cell>
          <cell r="H100">
            <v>9.6420139999999943</v>
          </cell>
          <cell r="I100">
            <v>6.5580606499999998</v>
          </cell>
          <cell r="J100">
            <v>6.2363435999999997</v>
          </cell>
          <cell r="K100">
            <v>10.76899536</v>
          </cell>
          <cell r="L100">
            <v>0</v>
          </cell>
          <cell r="M100">
            <v>0</v>
          </cell>
        </row>
        <row r="101">
          <cell r="F101">
            <v>0.97499999999999998</v>
          </cell>
          <cell r="G101">
            <v>2.407645</v>
          </cell>
          <cell r="H101">
            <v>2.2890079999999999</v>
          </cell>
          <cell r="I101">
            <v>1.27138879</v>
          </cell>
          <cell r="J101">
            <v>0.88531216000000001</v>
          </cell>
          <cell r="K101">
            <v>1.6457414799999999</v>
          </cell>
          <cell r="L101">
            <v>0</v>
          </cell>
          <cell r="M101">
            <v>0</v>
          </cell>
        </row>
        <row r="102">
          <cell r="F102">
            <v>0.16900000000000001</v>
          </cell>
          <cell r="G102">
            <v>0.17373109</v>
          </cell>
          <cell r="H102">
            <v>0.17361299999999999</v>
          </cell>
          <cell r="I102">
            <v>0.17093721999999997</v>
          </cell>
          <cell r="J102">
            <v>0</v>
          </cell>
          <cell r="K102">
            <v>0</v>
          </cell>
          <cell r="L102">
            <v>0</v>
          </cell>
          <cell r="M102">
            <v>0</v>
          </cell>
        </row>
        <row r="103">
          <cell r="F103">
            <v>0</v>
          </cell>
          <cell r="G103">
            <v>0</v>
          </cell>
          <cell r="H103">
            <v>0</v>
          </cell>
          <cell r="I103">
            <v>0</v>
          </cell>
          <cell r="J103">
            <v>0</v>
          </cell>
          <cell r="K103">
            <v>0</v>
          </cell>
          <cell r="L103">
            <v>0</v>
          </cell>
          <cell r="M103">
            <v>0</v>
          </cell>
        </row>
        <row r="104">
          <cell r="F104">
            <v>0</v>
          </cell>
          <cell r="G104">
            <v>17.849214</v>
          </cell>
          <cell r="H104">
            <v>18.82390994</v>
          </cell>
          <cell r="I104">
            <v>44.854879889999999</v>
          </cell>
          <cell r="J104">
            <v>32.071100479999998</v>
          </cell>
          <cell r="K104">
            <v>32.664404039999994</v>
          </cell>
          <cell r="L104">
            <v>0</v>
          </cell>
          <cell r="M104">
            <v>0</v>
          </cell>
        </row>
        <row r="109">
          <cell r="E109">
            <v>0</v>
          </cell>
          <cell r="F109">
            <v>0</v>
          </cell>
          <cell r="G109">
            <v>0</v>
          </cell>
          <cell r="H109">
            <v>0</v>
          </cell>
          <cell r="I109">
            <v>0</v>
          </cell>
          <cell r="J109">
            <v>0</v>
          </cell>
          <cell r="K109">
            <v>0</v>
          </cell>
          <cell r="L109">
            <v>0</v>
          </cell>
          <cell r="M109">
            <v>0</v>
          </cell>
        </row>
        <row r="110">
          <cell r="E110">
            <v>0</v>
          </cell>
          <cell r="F110">
            <v>0</v>
          </cell>
          <cell r="G110">
            <v>0</v>
          </cell>
          <cell r="H110">
            <v>0</v>
          </cell>
          <cell r="I110">
            <v>0</v>
          </cell>
          <cell r="J110">
            <v>0</v>
          </cell>
          <cell r="K110">
            <v>0</v>
          </cell>
          <cell r="L110">
            <v>0</v>
          </cell>
          <cell r="M110">
            <v>0</v>
          </cell>
        </row>
        <row r="111">
          <cell r="D111">
            <v>0</v>
          </cell>
          <cell r="E111">
            <v>0</v>
          </cell>
          <cell r="F111">
            <v>0</v>
          </cell>
          <cell r="G111">
            <v>0</v>
          </cell>
          <cell r="H111">
            <v>105.983</v>
          </cell>
          <cell r="I111">
            <v>105.983</v>
          </cell>
          <cell r="J111">
            <v>105.983</v>
          </cell>
          <cell r="K111">
            <v>105.983</v>
          </cell>
          <cell r="L111">
            <v>0</v>
          </cell>
          <cell r="M111">
            <v>0</v>
          </cell>
        </row>
        <row r="112">
          <cell r="E112">
            <v>0</v>
          </cell>
          <cell r="F112">
            <v>0</v>
          </cell>
          <cell r="G112">
            <v>0</v>
          </cell>
          <cell r="H112">
            <v>0</v>
          </cell>
          <cell r="I112">
            <v>0</v>
          </cell>
          <cell r="J112">
            <v>0</v>
          </cell>
          <cell r="K112">
            <v>0</v>
          </cell>
          <cell r="L112">
            <v>0</v>
          </cell>
          <cell r="M112">
            <v>0</v>
          </cell>
        </row>
        <row r="113">
          <cell r="E113">
            <v>0</v>
          </cell>
          <cell r="F113">
            <v>0</v>
          </cell>
          <cell r="G113">
            <v>0</v>
          </cell>
          <cell r="H113">
            <v>0</v>
          </cell>
          <cell r="I113">
            <v>0</v>
          </cell>
          <cell r="J113">
            <v>0</v>
          </cell>
          <cell r="K113">
            <v>0</v>
          </cell>
          <cell r="L113">
            <v>0</v>
          </cell>
          <cell r="M113">
            <v>0</v>
          </cell>
        </row>
        <row r="118">
          <cell r="F118">
            <v>0</v>
          </cell>
          <cell r="G118">
            <v>0</v>
          </cell>
          <cell r="H118">
            <v>0</v>
          </cell>
          <cell r="I118">
            <v>-7.4</v>
          </cell>
          <cell r="J118">
            <v>0</v>
          </cell>
          <cell r="K118">
            <v>0</v>
          </cell>
          <cell r="L118">
            <v>0</v>
          </cell>
          <cell r="M118">
            <v>0</v>
          </cell>
        </row>
        <row r="121">
          <cell r="F121">
            <v>0</v>
          </cell>
          <cell r="G121">
            <v>0</v>
          </cell>
          <cell r="H121">
            <v>0</v>
          </cell>
          <cell r="I121">
            <v>0</v>
          </cell>
          <cell r="J121">
            <v>1.72</v>
          </cell>
          <cell r="K121">
            <v>2.125</v>
          </cell>
          <cell r="L121">
            <v>0</v>
          </cell>
          <cell r="M121">
            <v>0</v>
          </cell>
        </row>
        <row r="122">
          <cell r="E122">
            <v>0</v>
          </cell>
          <cell r="F122">
            <v>0</v>
          </cell>
          <cell r="G122">
            <v>0</v>
          </cell>
          <cell r="H122">
            <v>0</v>
          </cell>
          <cell r="I122">
            <v>0.125</v>
          </cell>
          <cell r="J122">
            <v>7.4999999999999997E-2</v>
          </cell>
          <cell r="K122">
            <v>0</v>
          </cell>
          <cell r="L122">
            <v>0</v>
          </cell>
          <cell r="M122">
            <v>0</v>
          </cell>
        </row>
        <row r="123">
          <cell r="F123">
            <v>0</v>
          </cell>
          <cell r="G123">
            <v>0</v>
          </cell>
          <cell r="H123">
            <v>0</v>
          </cell>
          <cell r="I123">
            <v>0</v>
          </cell>
          <cell r="J123">
            <v>49.4</v>
          </cell>
          <cell r="K123">
            <v>47.5</v>
          </cell>
          <cell r="L123">
            <v>0</v>
          </cell>
          <cell r="M123">
            <v>0</v>
          </cell>
        </row>
        <row r="125">
          <cell r="F125">
            <v>0</v>
          </cell>
          <cell r="G125">
            <v>0</v>
          </cell>
          <cell r="H125">
            <v>0</v>
          </cell>
          <cell r="I125">
            <v>0</v>
          </cell>
          <cell r="J125">
            <v>49.9</v>
          </cell>
          <cell r="K125">
            <v>45.6</v>
          </cell>
          <cell r="L125">
            <v>0</v>
          </cell>
          <cell r="M125">
            <v>0</v>
          </cell>
        </row>
        <row r="126">
          <cell r="F126">
            <v>0</v>
          </cell>
          <cell r="G126">
            <v>0</v>
          </cell>
          <cell r="H126">
            <v>0</v>
          </cell>
          <cell r="I126">
            <v>0</v>
          </cell>
          <cell r="J126">
            <v>8.5</v>
          </cell>
          <cell r="K126">
            <v>0</v>
          </cell>
          <cell r="L126">
            <v>0</v>
          </cell>
          <cell r="M126">
            <v>0</v>
          </cell>
        </row>
        <row r="127">
          <cell r="F127">
            <v>0</v>
          </cell>
          <cell r="G127">
            <v>0</v>
          </cell>
          <cell r="H127">
            <v>0</v>
          </cell>
          <cell r="I127">
            <v>0</v>
          </cell>
          <cell r="J127">
            <v>1.51</v>
          </cell>
          <cell r="K127">
            <v>0</v>
          </cell>
          <cell r="L127">
            <v>0</v>
          </cell>
          <cell r="M127">
            <v>0</v>
          </cell>
        </row>
        <row r="128">
          <cell r="F128">
            <v>0</v>
          </cell>
          <cell r="G128">
            <v>0</v>
          </cell>
          <cell r="H128">
            <v>7.5</v>
          </cell>
          <cell r="I128">
            <v>7.3</v>
          </cell>
          <cell r="J128">
            <v>6.82</v>
          </cell>
          <cell r="K128">
            <v>0</v>
          </cell>
          <cell r="L128">
            <v>0</v>
          </cell>
          <cell r="M128">
            <v>0</v>
          </cell>
        </row>
        <row r="129">
          <cell r="F129">
            <v>0</v>
          </cell>
          <cell r="G129">
            <v>0</v>
          </cell>
          <cell r="H129">
            <v>1.1000000000000001</v>
          </cell>
          <cell r="I129">
            <v>0</v>
          </cell>
          <cell r="J129">
            <v>0</v>
          </cell>
          <cell r="K129">
            <v>0</v>
          </cell>
          <cell r="L129">
            <v>0</v>
          </cell>
          <cell r="M129">
            <v>0</v>
          </cell>
        </row>
      </sheetData>
      <sheetData sheetId="5">
        <row r="12">
          <cell r="F12">
            <v>1561.072803</v>
          </cell>
          <cell r="G12">
            <v>1732.7426765239791</v>
          </cell>
          <cell r="H12">
            <v>1676.4597606148129</v>
          </cell>
          <cell r="I12">
            <v>1684.3452532696908</v>
          </cell>
          <cell r="J12">
            <v>1614.4784027473279</v>
          </cell>
          <cell r="K12">
            <v>1670.543513324749</v>
          </cell>
          <cell r="L12">
            <v>1643.8476679442244</v>
          </cell>
          <cell r="M12">
            <v>2062.1115958614955</v>
          </cell>
        </row>
        <row r="28">
          <cell r="E28">
            <v>1.1344000000000001</v>
          </cell>
          <cell r="F28">
            <v>1.163</v>
          </cell>
          <cell r="G28">
            <v>1.2050000000000001</v>
          </cell>
          <cell r="H28">
            <v>1.2270000000000001</v>
          </cell>
          <cell r="I28">
            <v>1.2330000000000001</v>
          </cell>
          <cell r="J28">
            <v>1.2709999999999999</v>
          </cell>
          <cell r="K28">
            <v>1.3140000000000001</v>
          </cell>
          <cell r="L28">
            <v>1.3580000000000001</v>
          </cell>
          <cell r="M28">
            <v>1.3129999999999999</v>
          </cell>
        </row>
        <row r="38">
          <cell r="F38">
            <v>0</v>
          </cell>
          <cell r="G38">
            <v>-0.46827259420819323</v>
          </cell>
          <cell r="H38">
            <v>5.1148733617056434</v>
          </cell>
          <cell r="I38">
            <v>-19.932455580137159</v>
          </cell>
          <cell r="J38">
            <v>-31.399354250725473</v>
          </cell>
          <cell r="K38">
            <v>-6.0849046234786668</v>
          </cell>
          <cell r="L38">
            <v>3.2636553344801986</v>
          </cell>
          <cell r="M38">
            <v>-1.0496543324481777</v>
          </cell>
        </row>
        <row r="75">
          <cell r="E75">
            <v>1212.1752933709447</v>
          </cell>
          <cell r="F75">
            <v>1366.7208189107612</v>
          </cell>
          <cell r="G75">
            <v>1451.3551707786312</v>
          </cell>
          <cell r="H75">
            <v>1388.3263416987168</v>
          </cell>
          <cell r="I75">
            <v>1376.9352679905573</v>
          </cell>
          <cell r="J75">
            <v>1280.4436472412426</v>
          </cell>
          <cell r="K75">
            <v>1277.9784004186281</v>
          </cell>
          <cell r="L75">
            <v>1241.0199785039413</v>
          </cell>
          <cell r="M75">
            <v>1602.2887499216413</v>
          </cell>
        </row>
      </sheetData>
      <sheetData sheetId="6">
        <row r="9">
          <cell r="F9">
            <v>0</v>
          </cell>
          <cell r="G9">
            <v>0</v>
          </cell>
          <cell r="H9">
            <v>1.2092384119973343</v>
          </cell>
          <cell r="I9">
            <v>1.5001179260431778</v>
          </cell>
          <cell r="J9">
            <v>2.6894278366800055</v>
          </cell>
          <cell r="K9">
            <v>1.4770934791966908</v>
          </cell>
          <cell r="L9">
            <v>35.144594296242758</v>
          </cell>
          <cell r="M9">
            <v>33.694730239529093</v>
          </cell>
        </row>
        <row r="10">
          <cell r="F10">
            <v>0</v>
          </cell>
          <cell r="G10">
            <v>0</v>
          </cell>
          <cell r="H10">
            <v>2.0163390911359582</v>
          </cell>
          <cell r="I10">
            <v>2.6933961403912288</v>
          </cell>
          <cell r="J10">
            <v>3.1876952800523406</v>
          </cell>
          <cell r="K10">
            <v>-0.37643285484298472</v>
          </cell>
          <cell r="L10">
            <v>4.3075663415436258</v>
          </cell>
          <cell r="M10">
            <v>4.4757384877910997</v>
          </cell>
        </row>
        <row r="20">
          <cell r="F20">
            <v>552.31499999999994</v>
          </cell>
          <cell r="G20">
            <v>696.94375352427153</v>
          </cell>
          <cell r="H20">
            <v>899.41640542493803</v>
          </cell>
          <cell r="I20">
            <v>891.11192230614779</v>
          </cell>
          <cell r="J20">
            <v>895.46748287238074</v>
          </cell>
          <cell r="K20">
            <v>1063.3055638182047</v>
          </cell>
          <cell r="L20">
            <v>34.578651718899131</v>
          </cell>
          <cell r="M20">
            <v>37.107035799925157</v>
          </cell>
        </row>
        <row r="31">
          <cell r="F31">
            <v>0</v>
          </cell>
          <cell r="G31">
            <v>0</v>
          </cell>
          <cell r="H31">
            <v>1.2092384119973343</v>
          </cell>
          <cell r="I31">
            <v>1.5001179260431778</v>
          </cell>
          <cell r="J31">
            <v>2.6894278366800055</v>
          </cell>
          <cell r="K31">
            <v>1.4770934791966908</v>
          </cell>
          <cell r="L31">
            <v>35.144594296242758</v>
          </cell>
          <cell r="M31">
            <v>33.694730239529093</v>
          </cell>
        </row>
        <row r="42">
          <cell r="F42">
            <v>0</v>
          </cell>
          <cell r="G42">
            <v>0</v>
          </cell>
          <cell r="H42">
            <v>2.0163390911359582</v>
          </cell>
          <cell r="I42">
            <v>2.6933961403912288</v>
          </cell>
          <cell r="J42">
            <v>3.1876952800523406</v>
          </cell>
          <cell r="K42">
            <v>-0.37643285484298472</v>
          </cell>
          <cell r="L42">
            <v>4.3075663415436258</v>
          </cell>
          <cell r="M42">
            <v>4.4757384877910997</v>
          </cell>
        </row>
        <row r="52">
          <cell r="F52">
            <v>0</v>
          </cell>
          <cell r="G52">
            <v>0.14430522427160497</v>
          </cell>
          <cell r="H52">
            <v>1.2627934836384575E-2</v>
          </cell>
          <cell r="I52">
            <v>9.0478361183892353E-2</v>
          </cell>
          <cell r="J52">
            <v>0</v>
          </cell>
          <cell r="K52">
            <v>0.70789938530033258</v>
          </cell>
          <cell r="L52">
            <v>0.36913925875338893</v>
          </cell>
          <cell r="M52">
            <v>1.4844605444453676</v>
          </cell>
        </row>
        <row r="63">
          <cell r="F63">
            <v>0</v>
          </cell>
          <cell r="G63">
            <v>0</v>
          </cell>
          <cell r="H63">
            <v>3.8193762909683171</v>
          </cell>
          <cell r="I63">
            <v>2.6745437559665035</v>
          </cell>
          <cell r="J63">
            <v>0.49862315564851811</v>
          </cell>
          <cell r="K63">
            <v>1.3447743785507609</v>
          </cell>
          <cell r="L63">
            <v>-5.2426481776406417</v>
          </cell>
          <cell r="M63">
            <v>-2.5478934718404038</v>
          </cell>
        </row>
      </sheetData>
      <sheetData sheetId="7">
        <row r="13">
          <cell r="F13">
            <v>12.431059177215189</v>
          </cell>
          <cell r="G13">
            <v>0</v>
          </cell>
          <cell r="H13">
            <v>10.590324091942172</v>
          </cell>
          <cell r="I13">
            <v>15.883976054843176</v>
          </cell>
          <cell r="J13">
            <v>15.194801583979221</v>
          </cell>
          <cell r="K13">
            <v>15.265820923667457</v>
          </cell>
          <cell r="L13">
            <v>16.169341369671354</v>
          </cell>
          <cell r="M13">
            <v>13.757214455186547</v>
          </cell>
        </row>
        <row r="32">
          <cell r="F32">
            <v>12.431059177215189</v>
          </cell>
          <cell r="H32">
            <v>2.362645525801367</v>
          </cell>
          <cell r="I32">
            <v>3.92050095236202</v>
          </cell>
          <cell r="J32">
            <v>4.0374526456863435</v>
          </cell>
          <cell r="K32">
            <v>4.135363525320833</v>
          </cell>
          <cell r="L32">
            <v>3.7617319239425644</v>
          </cell>
          <cell r="M32">
            <v>3.9869521298930986</v>
          </cell>
        </row>
        <row r="63">
          <cell r="F63">
            <v>0</v>
          </cell>
          <cell r="G63">
            <v>0</v>
          </cell>
          <cell r="H63">
            <v>6.3347052833675734</v>
          </cell>
          <cell r="I63">
            <v>7.4065300757614221</v>
          </cell>
          <cell r="J63">
            <v>8.6050749600685155</v>
          </cell>
          <cell r="K63">
            <v>9.699050486543598</v>
          </cell>
          <cell r="L63">
            <v>9.2905302244425805</v>
          </cell>
          <cell r="M63">
            <v>9.170717469492887</v>
          </cell>
        </row>
        <row r="80">
          <cell r="F80">
            <v>3.5119271857553769</v>
          </cell>
          <cell r="G80">
            <v>3.8330165845017934</v>
          </cell>
          <cell r="H80">
            <v>4.7232505898537172</v>
          </cell>
          <cell r="I80">
            <v>4.5824718046768496</v>
          </cell>
          <cell r="J80">
            <v>7.4165101626205372</v>
          </cell>
          <cell r="K80">
            <v>9.1096825960990238</v>
          </cell>
          <cell r="L80">
            <v>-16.438476679442246</v>
          </cell>
          <cell r="M80">
            <v>-20.621115958614954</v>
          </cell>
        </row>
        <row r="123">
          <cell r="E123">
            <v>0</v>
          </cell>
          <cell r="F123">
            <v>0</v>
          </cell>
          <cell r="G123">
            <v>0</v>
          </cell>
          <cell r="H123">
            <v>1.8929732827732317</v>
          </cell>
          <cell r="I123">
            <v>2.5368950267197343</v>
          </cell>
          <cell r="J123">
            <v>2.5522739782243624</v>
          </cell>
          <cell r="K123">
            <v>1.4314069118030246</v>
          </cell>
          <cell r="L123">
            <v>3.1170792212862084</v>
          </cell>
          <cell r="M123">
            <v>0.59954485580056149</v>
          </cell>
        </row>
        <row r="131">
          <cell r="F131">
            <v>0.60896103896103893</v>
          </cell>
          <cell r="G131">
            <v>0.59354430379746825</v>
          </cell>
          <cell r="H131">
            <v>0.5861249999999999</v>
          </cell>
          <cell r="I131">
            <v>0.5861249999999999</v>
          </cell>
          <cell r="J131">
            <v>0.57888888888888879</v>
          </cell>
          <cell r="K131">
            <v>0.57888888888888879</v>
          </cell>
          <cell r="L131">
            <v>0.57888888888888879</v>
          </cell>
          <cell r="M131">
            <v>0.56493975903614457</v>
          </cell>
        </row>
        <row r="140">
          <cell r="H140">
            <v>0</v>
          </cell>
          <cell r="I140">
            <v>2.0200499999999995</v>
          </cell>
          <cell r="J140">
            <v>0</v>
          </cell>
          <cell r="K140">
            <v>0</v>
          </cell>
          <cell r="L140">
            <v>0</v>
          </cell>
          <cell r="M140">
            <v>0</v>
          </cell>
        </row>
      </sheetData>
      <sheetData sheetId="8">
        <row r="9">
          <cell r="F9">
            <v>0</v>
          </cell>
          <cell r="G9">
            <v>17.849214</v>
          </cell>
          <cell r="H9">
            <v>18.82390994</v>
          </cell>
          <cell r="I9">
            <v>44.854879889999999</v>
          </cell>
          <cell r="J9">
            <v>32.071100479999998</v>
          </cell>
          <cell r="K9">
            <v>32.664404039999994</v>
          </cell>
          <cell r="L9">
            <v>0</v>
          </cell>
          <cell r="M9">
            <v>0</v>
          </cell>
        </row>
        <row r="16">
          <cell r="F16">
            <v>6.0812999999999997</v>
          </cell>
          <cell r="G16">
            <v>9.0808591454999998</v>
          </cell>
          <cell r="H16">
            <v>8.8340642999999943</v>
          </cell>
          <cell r="I16">
            <v>6.0560980830000002</v>
          </cell>
          <cell r="J16">
            <v>5.61270924</v>
          </cell>
          <cell r="K16">
            <v>9.6920958240000008</v>
          </cell>
          <cell r="L16">
            <v>0</v>
          </cell>
          <cell r="M16">
            <v>0</v>
          </cell>
        </row>
        <row r="26">
          <cell r="F26">
            <v>6.0812999999999997</v>
          </cell>
          <cell r="G26">
            <v>9.0808591454999998</v>
          </cell>
          <cell r="H26">
            <v>8.8340642999999943</v>
          </cell>
          <cell r="I26">
            <v>6.0560980830000002</v>
          </cell>
          <cell r="J26">
            <v>5.61270924</v>
          </cell>
          <cell r="K26">
            <v>9.6920958240000008</v>
          </cell>
          <cell r="L26">
            <v>0</v>
          </cell>
          <cell r="M26">
            <v>0</v>
          </cell>
        </row>
      </sheetData>
      <sheetData sheetId="9">
        <row r="17">
          <cell r="F17">
            <v>2.690385000000135</v>
          </cell>
          <cell r="G17">
            <v>0</v>
          </cell>
          <cell r="H17">
            <v>-56.398839529996579</v>
          </cell>
          <cell r="I17">
            <v>-104.52238234859047</v>
          </cell>
          <cell r="J17">
            <v>-97.531985470178981</v>
          </cell>
          <cell r="K17">
            <v>55.077720952905345</v>
          </cell>
          <cell r="L17">
            <v>-34.02820656820289</v>
          </cell>
          <cell r="M17">
            <v>2.7470177425231959</v>
          </cell>
        </row>
      </sheetData>
      <sheetData sheetId="10">
        <row r="12">
          <cell r="E12">
            <v>16.139635161599998</v>
          </cell>
          <cell r="F12">
            <v>15.992450216000002</v>
          </cell>
          <cell r="G12">
            <v>15.995999039999997</v>
          </cell>
          <cell r="H12">
            <v>15.703460112000002</v>
          </cell>
          <cell r="I12">
            <v>0</v>
          </cell>
          <cell r="J12">
            <v>0</v>
          </cell>
          <cell r="K12">
            <v>0</v>
          </cell>
          <cell r="L12">
            <v>0</v>
          </cell>
          <cell r="M12">
            <v>0</v>
          </cell>
        </row>
        <row r="15">
          <cell r="E15">
            <v>16.139635161599998</v>
          </cell>
          <cell r="F15">
            <v>15.992450216000002</v>
          </cell>
          <cell r="G15">
            <v>15.995999039999997</v>
          </cell>
          <cell r="H15">
            <v>15.703460112000002</v>
          </cell>
          <cell r="I15">
            <v>0</v>
          </cell>
          <cell r="J15">
            <v>0</v>
          </cell>
          <cell r="K15">
            <v>0</v>
          </cell>
          <cell r="L15">
            <v>0</v>
          </cell>
          <cell r="M15">
            <v>0</v>
          </cell>
        </row>
        <row r="23">
          <cell r="E23">
            <v>0</v>
          </cell>
          <cell r="F23">
            <v>0</v>
          </cell>
          <cell r="G23">
            <v>0</v>
          </cell>
          <cell r="H23">
            <v>0</v>
          </cell>
          <cell r="I23">
            <v>0</v>
          </cell>
          <cell r="J23">
            <v>0</v>
          </cell>
          <cell r="K23">
            <v>0</v>
          </cell>
          <cell r="L23">
            <v>0</v>
          </cell>
          <cell r="M23">
            <v>0</v>
          </cell>
        </row>
        <row r="41">
          <cell r="E41">
            <v>0</v>
          </cell>
          <cell r="F41">
            <v>0</v>
          </cell>
          <cell r="G41">
            <v>0</v>
          </cell>
          <cell r="H41">
            <v>0</v>
          </cell>
          <cell r="I41">
            <v>0</v>
          </cell>
          <cell r="J41">
            <v>0</v>
          </cell>
          <cell r="K41">
            <v>0</v>
          </cell>
          <cell r="L41">
            <v>0</v>
          </cell>
          <cell r="M41">
            <v>0</v>
          </cell>
        </row>
        <row r="69">
          <cell r="E69">
            <v>16.139635161599998</v>
          </cell>
          <cell r="F69">
            <v>15.992450216000002</v>
          </cell>
          <cell r="G69">
            <v>15.995999039999997</v>
          </cell>
          <cell r="H69">
            <v>15.703460112000002</v>
          </cell>
          <cell r="I69">
            <v>0</v>
          </cell>
          <cell r="J69">
            <v>0</v>
          </cell>
          <cell r="K69">
            <v>0</v>
          </cell>
          <cell r="L69">
            <v>0</v>
          </cell>
          <cell r="M69">
            <v>0</v>
          </cell>
        </row>
      </sheetData>
      <sheetData sheetId="11">
        <row r="19">
          <cell r="F19">
            <v>2143.2472273932149</v>
          </cell>
          <cell r="G19">
            <v>2475.7148276937505</v>
          </cell>
          <cell r="H19">
            <v>2685.6617225936893</v>
          </cell>
          <cell r="I19">
            <v>2747.7450861862721</v>
          </cell>
          <cell r="J19">
            <v>2660.1052969872007</v>
          </cell>
          <cell r="K19">
            <v>2746.4983502254363</v>
          </cell>
          <cell r="L19">
            <v>1716.7304900118481</v>
          </cell>
          <cell r="M19">
            <v>2110.2288283740841</v>
          </cell>
        </row>
      </sheetData>
      <sheetData sheetId="12">
        <row r="13">
          <cell r="G13">
            <v>164.01416836000001</v>
          </cell>
        </row>
      </sheetData>
      <sheetData sheetId="13"/>
      <sheetData sheetId="14">
        <row r="27">
          <cell r="G27">
            <v>-3.9893144200247609E-2</v>
          </cell>
          <cell r="H27">
            <v>0.42654856661829127</v>
          </cell>
          <cell r="I27">
            <v>-1.8113784597047438</v>
          </cell>
          <cell r="J27">
            <v>-2.7317247502935995</v>
          </cell>
          <cell r="K27">
            <v>-0.56794503895226711</v>
          </cell>
          <cell r="L27">
            <v>0.32976036999645519</v>
          </cell>
          <cell r="M27">
            <v>-0.12073816840674122</v>
          </cell>
        </row>
        <row r="39">
          <cell r="F39">
            <v>113.976</v>
          </cell>
          <cell r="G39">
            <v>131.89310685579974</v>
          </cell>
          <cell r="H39">
            <v>120.78354856661829</v>
          </cell>
          <cell r="I39">
            <v>128.51862154029524</v>
          </cell>
          <cell r="J39">
            <v>129.37627524970637</v>
          </cell>
          <cell r="K39">
            <v>147.00150950650226</v>
          </cell>
          <cell r="L39">
            <v>222.17530582454191</v>
          </cell>
          <cell r="M39">
            <v>114014.3591507205</v>
          </cell>
        </row>
        <row r="60">
          <cell r="F60">
            <v>0</v>
          </cell>
          <cell r="G60">
            <v>0</v>
          </cell>
          <cell r="H60">
            <v>0</v>
          </cell>
          <cell r="I60">
            <v>0.125</v>
          </cell>
          <cell r="J60">
            <v>7.4999999999999997E-2</v>
          </cell>
          <cell r="K60">
            <v>-5.4545454545454612E-2</v>
          </cell>
          <cell r="L60">
            <v>0.11454545454545456</v>
          </cell>
          <cell r="M60">
            <v>113888.2888888889</v>
          </cell>
        </row>
        <row r="68">
          <cell r="F68">
            <v>0</v>
          </cell>
          <cell r="G68">
            <v>0</v>
          </cell>
          <cell r="H68">
            <v>0</v>
          </cell>
          <cell r="I68">
            <v>0</v>
          </cell>
          <cell r="J68">
            <v>0</v>
          </cell>
          <cell r="K68">
            <v>0</v>
          </cell>
          <cell r="L68">
            <v>0</v>
          </cell>
          <cell r="M68">
            <v>0</v>
          </cell>
        </row>
        <row r="82">
          <cell r="F82">
            <v>0</v>
          </cell>
          <cell r="G82">
            <v>0</v>
          </cell>
          <cell r="H82">
            <v>0</v>
          </cell>
          <cell r="I82">
            <v>0</v>
          </cell>
          <cell r="J82">
            <v>0</v>
          </cell>
          <cell r="K82">
            <v>0</v>
          </cell>
          <cell r="L82">
            <v>0</v>
          </cell>
          <cell r="M82">
            <v>113888.88888888891</v>
          </cell>
        </row>
        <row r="91">
          <cell r="F91">
            <v>0</v>
          </cell>
          <cell r="G91">
            <v>0</v>
          </cell>
          <cell r="H91">
            <v>0</v>
          </cell>
          <cell r="I91">
            <v>0</v>
          </cell>
          <cell r="J91">
            <v>0</v>
          </cell>
          <cell r="K91">
            <v>-5.4545454545454612E-2</v>
          </cell>
          <cell r="L91">
            <v>0.11454545454545456</v>
          </cell>
          <cell r="M91">
            <v>-0.6</v>
          </cell>
        </row>
      </sheetData>
      <sheetData sheetId="15">
        <row r="117">
          <cell r="V117">
            <v>0</v>
          </cell>
        </row>
      </sheetData>
      <sheetData sheetId="16">
        <row r="10">
          <cell r="L10">
            <v>29.960526479999999</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1 TIRG"/>
      <sheetName val="R12 TO MAR"/>
      <sheetName val="R13 Excluded Revenue"/>
      <sheetName val="R14 Rec to Stat Ac"/>
      <sheetName val="R15 SO Internal"/>
      <sheetName val="R16 SO Exter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t Summary"/>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1 TIRG"/>
      <sheetName val="R12 TO MAR"/>
      <sheetName val="R13 Excluded Revenue"/>
      <sheetName val="Draft Changes"/>
      <sheetName val="R14 Rec to Stat Ac"/>
      <sheetName val="R15 SO Internal"/>
      <sheetName val="R16 SO External Rev"/>
      <sheetName val="R17 SO Bal Services"/>
    </sheetNames>
    <sheetDataSet>
      <sheetData sheetId="0" refreshError="1"/>
      <sheetData sheetId="1" refreshError="1"/>
      <sheetData sheetId="2" refreshError="1"/>
      <sheetData sheetId="3" refreshError="1"/>
      <sheetData sheetId="4">
        <row r="10">
          <cell r="F10">
            <v>113.976</v>
          </cell>
          <cell r="G10">
            <v>113.533</v>
          </cell>
          <cell r="H10">
            <v>114.357</v>
          </cell>
          <cell r="I10">
            <v>116.705</v>
          </cell>
          <cell r="J10">
            <v>122.833</v>
          </cell>
          <cell r="K10">
            <v>117.524</v>
          </cell>
          <cell r="L10">
            <v>124.73099999999999</v>
          </cell>
          <cell r="M10">
            <v>126.191</v>
          </cell>
        </row>
        <row r="13">
          <cell r="F13">
            <v>12.794</v>
          </cell>
          <cell r="G13">
            <v>12.794</v>
          </cell>
          <cell r="H13">
            <v>12.794</v>
          </cell>
          <cell r="I13">
            <v>12.794</v>
          </cell>
          <cell r="J13">
            <v>12.794</v>
          </cell>
          <cell r="K13">
            <v>12.794</v>
          </cell>
          <cell r="L13">
            <v>12.794</v>
          </cell>
          <cell r="M13">
            <v>12.794</v>
          </cell>
        </row>
        <row r="14">
          <cell r="F14">
            <v>8</v>
          </cell>
          <cell r="G14">
            <v>8</v>
          </cell>
          <cell r="H14">
            <v>8</v>
          </cell>
          <cell r="I14">
            <v>8</v>
          </cell>
          <cell r="J14">
            <v>8</v>
          </cell>
          <cell r="K14">
            <v>8</v>
          </cell>
          <cell r="L14">
            <v>8</v>
          </cell>
          <cell r="M14">
            <v>8</v>
          </cell>
        </row>
        <row r="47">
          <cell r="F47">
            <v>6.9</v>
          </cell>
          <cell r="G47">
            <v>6.9</v>
          </cell>
          <cell r="H47">
            <v>6.9</v>
          </cell>
          <cell r="I47">
            <v>6.9</v>
          </cell>
          <cell r="J47">
            <v>6.9</v>
          </cell>
          <cell r="K47">
            <v>6.9</v>
          </cell>
          <cell r="L47">
            <v>6.9</v>
          </cell>
          <cell r="M47">
            <v>6.9</v>
          </cell>
        </row>
        <row r="48">
          <cell r="F48">
            <v>8.5</v>
          </cell>
          <cell r="G48">
            <v>8.5</v>
          </cell>
          <cell r="H48">
            <v>8.5</v>
          </cell>
          <cell r="I48">
            <v>8.5</v>
          </cell>
          <cell r="J48">
            <v>8.5</v>
          </cell>
          <cell r="K48">
            <v>8.5</v>
          </cell>
          <cell r="L48">
            <v>8.5</v>
          </cell>
          <cell r="M48">
            <v>8.5</v>
          </cell>
        </row>
        <row r="49">
          <cell r="F49">
            <v>5.3</v>
          </cell>
          <cell r="G49">
            <v>5.3</v>
          </cell>
          <cell r="H49">
            <v>5.3</v>
          </cell>
          <cell r="I49">
            <v>5.3</v>
          </cell>
          <cell r="J49">
            <v>5.3</v>
          </cell>
          <cell r="K49">
            <v>5.3</v>
          </cell>
          <cell r="L49">
            <v>5.3</v>
          </cell>
          <cell r="M49">
            <v>5.3</v>
          </cell>
        </row>
        <row r="50">
          <cell r="F50">
            <v>0.01</v>
          </cell>
          <cell r="G50">
            <v>0.01</v>
          </cell>
          <cell r="H50">
            <v>0.01</v>
          </cell>
          <cell r="I50">
            <v>0.01</v>
          </cell>
          <cell r="J50">
            <v>0.01</v>
          </cell>
          <cell r="K50">
            <v>0.01</v>
          </cell>
          <cell r="L50">
            <v>0.01</v>
          </cell>
          <cell r="M50">
            <v>0.01</v>
          </cell>
        </row>
        <row r="51">
          <cell r="F51">
            <v>-0.01</v>
          </cell>
          <cell r="G51">
            <v>-0.01</v>
          </cell>
          <cell r="H51">
            <v>-0.01</v>
          </cell>
          <cell r="I51">
            <v>-0.01</v>
          </cell>
          <cell r="J51">
            <v>-0.01</v>
          </cell>
          <cell r="K51">
            <v>-0.01</v>
          </cell>
          <cell r="L51">
            <v>-0.01</v>
          </cell>
          <cell r="M51">
            <v>-0.01</v>
          </cell>
        </row>
        <row r="53">
          <cell r="F53">
            <v>0</v>
          </cell>
          <cell r="G53">
            <v>0</v>
          </cell>
          <cell r="H53">
            <v>0</v>
          </cell>
          <cell r="I53">
            <v>0.30000000000000004</v>
          </cell>
          <cell r="J53">
            <v>0.30000000000000004</v>
          </cell>
          <cell r="K53">
            <v>0.30000000000000004</v>
          </cell>
          <cell r="L53">
            <v>0.30000000000000004</v>
          </cell>
          <cell r="M53">
            <v>0.30000000000000004</v>
          </cell>
        </row>
        <row r="74">
          <cell r="E74">
            <v>0</v>
          </cell>
          <cell r="F74">
            <v>0</v>
          </cell>
          <cell r="G74">
            <v>0</v>
          </cell>
          <cell r="H74">
            <v>0</v>
          </cell>
          <cell r="I74">
            <v>0</v>
          </cell>
          <cell r="J74">
            <v>0</v>
          </cell>
          <cell r="K74">
            <v>0</v>
          </cell>
          <cell r="L74">
            <v>0</v>
          </cell>
          <cell r="M74">
            <v>0</v>
          </cell>
        </row>
        <row r="87">
          <cell r="E87">
            <v>0</v>
          </cell>
          <cell r="F87">
            <v>0</v>
          </cell>
          <cell r="G87">
            <v>14.7</v>
          </cell>
          <cell r="H87">
            <v>0</v>
          </cell>
          <cell r="I87">
            <v>0</v>
          </cell>
          <cell r="J87">
            <v>0</v>
          </cell>
          <cell r="K87">
            <v>0</v>
          </cell>
          <cell r="L87">
            <v>0</v>
          </cell>
          <cell r="M87">
            <v>0</v>
          </cell>
        </row>
      </sheetData>
      <sheetData sheetId="5">
        <row r="29">
          <cell r="F29">
            <v>0</v>
          </cell>
          <cell r="G29">
            <v>3.7</v>
          </cell>
          <cell r="H29">
            <v>6</v>
          </cell>
          <cell r="I29">
            <v>20.9</v>
          </cell>
          <cell r="J29">
            <v>9.1999999999999993</v>
          </cell>
          <cell r="K29">
            <v>30.1</v>
          </cell>
          <cell r="L29">
            <v>97</v>
          </cell>
        </row>
        <row r="67">
          <cell r="D67">
            <v>0</v>
          </cell>
          <cell r="E67">
            <v>0</v>
          </cell>
          <cell r="F67">
            <v>16.687000000000001</v>
          </cell>
          <cell r="G67">
            <v>17.610700000000001</v>
          </cell>
          <cell r="H67">
            <v>18.150700000000001</v>
          </cell>
          <cell r="I67">
            <v>15.386900000000001</v>
          </cell>
          <cell r="J67">
            <v>20.033000000000001</v>
          </cell>
          <cell r="K67">
            <v>20.948799999999999</v>
          </cell>
          <cell r="L67">
            <v>0</v>
          </cell>
        </row>
        <row r="69">
          <cell r="D69">
            <v>0</v>
          </cell>
          <cell r="E69">
            <v>0</v>
          </cell>
          <cell r="F69">
            <v>12.663</v>
          </cell>
          <cell r="G69">
            <v>11.88914035</v>
          </cell>
          <cell r="H69">
            <v>10.049648400000001</v>
          </cell>
          <cell r="I69">
            <v>10.981934020000001</v>
          </cell>
          <cell r="J69">
            <v>5.6481040199999999</v>
          </cell>
          <cell r="K69">
            <v>8.1413806799999993</v>
          </cell>
          <cell r="L69">
            <v>0</v>
          </cell>
        </row>
        <row r="70">
          <cell r="F70">
            <v>2.5659999999999998</v>
          </cell>
          <cell r="G70">
            <v>3.1656612800000001</v>
          </cell>
          <cell r="H70">
            <v>26.490020950000002</v>
          </cell>
          <cell r="I70">
            <v>13.08643953</v>
          </cell>
          <cell r="J70">
            <v>0.69965599999999994</v>
          </cell>
          <cell r="K70">
            <v>43.48776058</v>
          </cell>
        </row>
        <row r="71">
          <cell r="F71">
            <v>271.274</v>
          </cell>
          <cell r="G71">
            <v>312.17914780000001</v>
          </cell>
          <cell r="H71">
            <v>295.66455672000001</v>
          </cell>
          <cell r="I71">
            <v>294.62336268285998</v>
          </cell>
          <cell r="J71">
            <v>320.96520035999998</v>
          </cell>
          <cell r="K71">
            <v>349.96085314999999</v>
          </cell>
        </row>
        <row r="72">
          <cell r="F72">
            <v>172.46</v>
          </cell>
          <cell r="G72">
            <v>213.95951769999999</v>
          </cell>
          <cell r="H72">
            <v>338.20730220000002</v>
          </cell>
          <cell r="I72">
            <v>322.83631648970299</v>
          </cell>
          <cell r="J72">
            <v>301.36826292000001</v>
          </cell>
          <cell r="K72">
            <v>366.41088400000001</v>
          </cell>
        </row>
        <row r="73">
          <cell r="F73">
            <v>105.429</v>
          </cell>
          <cell r="G73">
            <v>166.85828409999999</v>
          </cell>
          <cell r="H73">
            <v>231.37380934000001</v>
          </cell>
          <cell r="I73">
            <v>253.11297273</v>
          </cell>
          <cell r="J73">
            <v>265.53230083</v>
          </cell>
          <cell r="K73">
            <v>306.47826020999997</v>
          </cell>
        </row>
        <row r="74">
          <cell r="F74">
            <v>0.58599999999999997</v>
          </cell>
          <cell r="G74">
            <v>0.63683741999999999</v>
          </cell>
          <cell r="H74">
            <v>0.6231344860000001</v>
          </cell>
          <cell r="I74">
            <v>0.49429468999999998</v>
          </cell>
          <cell r="J74">
            <v>0.52631649000000003</v>
          </cell>
          <cell r="K74">
            <v>0.58447148999999998</v>
          </cell>
        </row>
        <row r="91">
          <cell r="D91">
            <v>0</v>
          </cell>
          <cell r="E91">
            <v>0</v>
          </cell>
          <cell r="F91">
            <v>7.4089999999999998</v>
          </cell>
          <cell r="G91">
            <v>7.4009999999999998</v>
          </cell>
          <cell r="H91">
            <v>7.5380000000000003</v>
          </cell>
          <cell r="I91">
            <v>7.41</v>
          </cell>
          <cell r="J91">
            <v>7.7430000000000003</v>
          </cell>
          <cell r="K91">
            <v>7.9240000000000004</v>
          </cell>
          <cell r="L91">
            <v>8.2110000000000003</v>
          </cell>
        </row>
        <row r="117">
          <cell r="E117">
            <v>0</v>
          </cell>
          <cell r="F117">
            <v>0</v>
          </cell>
          <cell r="G117">
            <v>0</v>
          </cell>
          <cell r="H117">
            <v>105.983</v>
          </cell>
          <cell r="I117">
            <v>105.983</v>
          </cell>
          <cell r="J117">
            <v>105.983</v>
          </cell>
          <cell r="K117">
            <v>105.983</v>
          </cell>
          <cell r="L117">
            <v>105.983</v>
          </cell>
        </row>
        <row r="124">
          <cell r="H124">
            <v>0</v>
          </cell>
          <cell r="I124">
            <v>-7.4</v>
          </cell>
        </row>
      </sheetData>
      <sheetData sheetId="6">
        <row r="12">
          <cell r="F12">
            <v>1561.072803</v>
          </cell>
          <cell r="G12">
            <v>1732.7426765239791</v>
          </cell>
          <cell r="H12">
            <v>1676.4597606148129</v>
          </cell>
          <cell r="I12">
            <v>1684.3452532696908</v>
          </cell>
          <cell r="J12">
            <v>1614.4784080810628</v>
          </cell>
          <cell r="K12">
            <v>1670.5435077166524</v>
          </cell>
          <cell r="L12">
            <v>1643.847671617485</v>
          </cell>
          <cell r="M12">
            <v>1639.6253956108778</v>
          </cell>
        </row>
        <row r="40">
          <cell r="F40">
            <v>0</v>
          </cell>
          <cell r="G40">
            <v>-0.46827259420819323</v>
          </cell>
          <cell r="H40">
            <v>5.1148733617056434</v>
          </cell>
          <cell r="I40">
            <v>-19.932455580137159</v>
          </cell>
          <cell r="J40">
            <v>-31.399350054238433</v>
          </cell>
          <cell r="K40">
            <v>-6.084908891436525</v>
          </cell>
          <cell r="L40">
            <v>3.2636580393850534</v>
          </cell>
          <cell r="M40">
            <v>-1.0496553544364084</v>
          </cell>
          <cell r="N40">
            <v>-10.622949924458919</v>
          </cell>
          <cell r="O40">
            <v>-1.7875945990960402</v>
          </cell>
        </row>
      </sheetData>
      <sheetData sheetId="7">
        <row r="16">
          <cell r="F16">
            <v>0</v>
          </cell>
          <cell r="G16">
            <v>0</v>
          </cell>
          <cell r="H16">
            <v>2.0163390911359582</v>
          </cell>
          <cell r="I16">
            <v>2.6933961403912288</v>
          </cell>
          <cell r="J16">
            <v>3.1876952800523406</v>
          </cell>
          <cell r="K16">
            <v>-0.37643285484298472</v>
          </cell>
        </row>
        <row r="52">
          <cell r="F52">
            <v>0</v>
          </cell>
          <cell r="G52">
            <v>0</v>
          </cell>
          <cell r="H52">
            <v>1.2092384119973343</v>
          </cell>
          <cell r="I52">
            <v>1.5001179260431778</v>
          </cell>
          <cell r="J52">
            <v>2.6894278366800055</v>
          </cell>
          <cell r="K52">
            <v>1.4770934791966908</v>
          </cell>
          <cell r="L52">
            <v>35.144594296242758</v>
          </cell>
          <cell r="M52">
            <v>35.414110990518012</v>
          </cell>
          <cell r="N52">
            <v>34.644601306321142</v>
          </cell>
          <cell r="O52">
            <v>-100.81289593596001</v>
          </cell>
        </row>
        <row r="63">
          <cell r="F63">
            <v>0</v>
          </cell>
          <cell r="G63">
            <v>0</v>
          </cell>
          <cell r="H63">
            <v>2.0163390911359582</v>
          </cell>
          <cell r="I63">
            <v>2.6933961403912288</v>
          </cell>
          <cell r="J63">
            <v>3.1876952800523406</v>
          </cell>
          <cell r="K63">
            <v>-0.37643285484298472</v>
          </cell>
          <cell r="L63">
            <v>4.3075663415436258</v>
          </cell>
          <cell r="M63">
            <v>4.7041272758200439</v>
          </cell>
        </row>
        <row r="84">
          <cell r="F84">
            <v>0</v>
          </cell>
          <cell r="G84">
            <v>0</v>
          </cell>
          <cell r="H84">
            <v>3.8193762909683171</v>
          </cell>
          <cell r="I84">
            <v>2.6745437559665035</v>
          </cell>
          <cell r="J84">
            <v>0.49862315564851811</v>
          </cell>
          <cell r="K84">
            <v>1.3447743785507609</v>
          </cell>
          <cell r="L84">
            <v>-5.2426481776406417</v>
          </cell>
          <cell r="M84">
            <v>-2.6779078378825263</v>
          </cell>
        </row>
      </sheetData>
      <sheetData sheetId="8">
        <row r="80">
          <cell r="F80">
            <v>3.5119271857553769</v>
          </cell>
          <cell r="G80">
            <v>3.8330165845017934</v>
          </cell>
          <cell r="H80">
            <v>4.7232505898537172</v>
          </cell>
          <cell r="I80">
            <v>4.5824718046768496</v>
          </cell>
          <cell r="J80">
            <v>7.4165101871223813</v>
          </cell>
          <cell r="K80">
            <v>9.109682565517371</v>
          </cell>
          <cell r="L80">
            <v>13.241192994878844</v>
          </cell>
          <cell r="M80">
            <v>-16.396253956108779</v>
          </cell>
        </row>
      </sheetData>
      <sheetData sheetId="9">
        <row r="9">
          <cell r="F9">
            <v>0</v>
          </cell>
          <cell r="G9">
            <v>17.849214</v>
          </cell>
          <cell r="H9">
            <v>18.82390994</v>
          </cell>
          <cell r="I9">
            <v>44.854879889999999</v>
          </cell>
          <cell r="J9">
            <v>32.071100479999998</v>
          </cell>
          <cell r="K9">
            <v>32.664404039999994</v>
          </cell>
        </row>
      </sheetData>
      <sheetData sheetId="10">
        <row r="19">
          <cell r="F19">
            <v>2.690385000000135</v>
          </cell>
          <cell r="H19">
            <v>-56.398839529996579</v>
          </cell>
          <cell r="I19">
            <v>-104.52238234859047</v>
          </cell>
          <cell r="J19">
            <v>-97.531746650244841</v>
          </cell>
          <cell r="K19">
            <v>62.167709460727117</v>
          </cell>
          <cell r="L19">
            <v>-25.226591437206416</v>
          </cell>
          <cell r="M19">
            <v>16.05190801707052</v>
          </cell>
          <cell r="N19">
            <v>12.082688274333066</v>
          </cell>
          <cell r="O19">
            <v>-1737.565265245468</v>
          </cell>
        </row>
      </sheetData>
      <sheetData sheetId="11">
        <row r="23">
          <cell r="E23">
            <v>0</v>
          </cell>
          <cell r="F23">
            <v>0</v>
          </cell>
          <cell r="G23">
            <v>0</v>
          </cell>
          <cell r="H23">
            <v>0</v>
          </cell>
          <cell r="I23">
            <v>0</v>
          </cell>
          <cell r="J23">
            <v>0</v>
          </cell>
          <cell r="K23">
            <v>0</v>
          </cell>
          <cell r="L23">
            <v>0</v>
          </cell>
          <cell r="M23">
            <v>0</v>
          </cell>
        </row>
        <row r="41">
          <cell r="E41">
            <v>0</v>
          </cell>
          <cell r="F41">
            <v>0</v>
          </cell>
          <cell r="G41">
            <v>0</v>
          </cell>
          <cell r="H41">
            <v>0</v>
          </cell>
          <cell r="I41">
            <v>0</v>
          </cell>
          <cell r="J41">
            <v>0</v>
          </cell>
          <cell r="K41">
            <v>0</v>
          </cell>
          <cell r="L41">
            <v>0</v>
          </cell>
          <cell r="M41">
            <v>0</v>
          </cell>
        </row>
        <row r="69">
          <cell r="E69">
            <v>16.139635161599998</v>
          </cell>
          <cell r="F69">
            <v>15.992450216000002</v>
          </cell>
          <cell r="G69">
            <v>15.995999039999997</v>
          </cell>
          <cell r="H69">
            <v>15.703460112000002</v>
          </cell>
          <cell r="I69">
            <v>0</v>
          </cell>
          <cell r="J69">
            <v>0</v>
          </cell>
          <cell r="K69">
            <v>0</v>
          </cell>
          <cell r="L69">
            <v>0</v>
          </cell>
          <cell r="M69">
            <v>0</v>
          </cell>
        </row>
      </sheetData>
      <sheetData sheetId="12" refreshError="1"/>
      <sheetData sheetId="13" refreshError="1"/>
      <sheetData sheetId="14" refreshError="1"/>
      <sheetData sheetId="15" refreshError="1"/>
      <sheetData sheetId="16">
        <row r="27">
          <cell r="G27">
            <v>0</v>
          </cell>
          <cell r="H27">
            <v>0.42654856661829127</v>
          </cell>
          <cell r="I27">
            <v>-1.8119263396039809</v>
          </cell>
          <cell r="J27">
            <v>-2.7317247502935995</v>
          </cell>
          <cell r="K27">
            <v>-0.56739022211183443</v>
          </cell>
          <cell r="L27">
            <v>0.32880455225854299</v>
          </cell>
          <cell r="M27">
            <v>-0.12053702254929091</v>
          </cell>
        </row>
        <row r="39">
          <cell r="F39">
            <v>113.976</v>
          </cell>
          <cell r="G39">
            <v>131.93299999999999</v>
          </cell>
          <cell r="H39">
            <v>120.78354856661829</v>
          </cell>
          <cell r="I39">
            <v>128.393073660396</v>
          </cell>
          <cell r="J39">
            <v>129.00127524970637</v>
          </cell>
          <cell r="K39">
            <v>146.75660977788814</v>
          </cell>
          <cell r="L39">
            <v>221.45980455225853</v>
          </cell>
          <cell r="M39">
            <v>125.47046297745072</v>
          </cell>
        </row>
        <row r="60">
          <cell r="F60">
            <v>0</v>
          </cell>
          <cell r="G60">
            <v>0</v>
          </cell>
          <cell r="H60">
            <v>0</v>
          </cell>
          <cell r="I60">
            <v>0</v>
          </cell>
          <cell r="J60">
            <v>-0.3</v>
          </cell>
          <cell r="K60">
            <v>-0.3</v>
          </cell>
          <cell r="L60">
            <v>-0.6</v>
          </cell>
          <cell r="M60">
            <v>-0.6</v>
          </cell>
        </row>
        <row r="68">
          <cell r="H68">
            <v>0</v>
          </cell>
          <cell r="I68">
            <v>0</v>
          </cell>
          <cell r="J68">
            <v>0</v>
          </cell>
          <cell r="K68">
            <v>0</v>
          </cell>
          <cell r="L68">
            <v>0</v>
          </cell>
          <cell r="M68">
            <v>0</v>
          </cell>
        </row>
        <row r="82">
          <cell r="M82">
            <v>0</v>
          </cell>
        </row>
        <row r="91">
          <cell r="J91">
            <v>-0.3</v>
          </cell>
          <cell r="K91">
            <v>-0.3</v>
          </cell>
          <cell r="L91">
            <v>-0.6</v>
          </cell>
          <cell r="M91">
            <v>-0.6</v>
          </cell>
        </row>
      </sheetData>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t Summary"/>
      <sheetName val="Cover"/>
      <sheetName val="Log"/>
      <sheetName val="Input"/>
      <sheetName val="Licence condition values"/>
      <sheetName val="Gas prices"/>
      <sheetName val="NTS Charges"/>
      <sheetName val="BR"/>
      <sheetName val="AR"/>
      <sheetName val="PT"/>
      <sheetName val="EX"/>
      <sheetName val="BM"/>
      <sheetName val="SHR"/>
      <sheetName val="EEI"/>
      <sheetName val="DRS"/>
      <sheetName val="NIA"/>
      <sheetName val="Kt"/>
      <sheetName val="Rec to Reg accts"/>
    </sheetNames>
    <sheetDataSet>
      <sheetData sheetId="0"/>
      <sheetData sheetId="1"/>
      <sheetData sheetId="2"/>
      <sheetData sheetId="3">
        <row r="8">
          <cell r="E8" t="str">
            <v>East of England</v>
          </cell>
        </row>
        <row r="9">
          <cell r="F9">
            <v>2022</v>
          </cell>
        </row>
      </sheetData>
      <sheetData sheetId="4"/>
      <sheetData sheetId="5"/>
      <sheetData sheetId="6"/>
      <sheetData sheetId="7">
        <row r="10">
          <cell r="N10">
            <v>496.2</v>
          </cell>
        </row>
      </sheetData>
      <sheetData sheetId="8"/>
      <sheetData sheetId="9">
        <row r="15">
          <cell r="N15">
            <v>1.41915514</v>
          </cell>
        </row>
      </sheetData>
      <sheetData sheetId="10">
        <row r="38">
          <cell r="N38">
            <v>9.3702505404444505</v>
          </cell>
        </row>
      </sheetData>
      <sheetData sheetId="11">
        <row r="14">
          <cell r="N14">
            <v>4.2340012041366792</v>
          </cell>
        </row>
      </sheetData>
      <sheetData sheetId="12">
        <row r="37">
          <cell r="O37">
            <v>9.8842656830601117E-3</v>
          </cell>
        </row>
      </sheetData>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 Changes Made"/>
      <sheetName val="Cover"/>
      <sheetName val="Index"/>
      <sheetName val="Log"/>
      <sheetName val="Diagram of Worksheets"/>
      <sheetName val="Input TO"/>
      <sheetName val="Input SO"/>
      <sheetName val="Inputs Capex Incentive 1"/>
      <sheetName val="Inputs Capex Incentive 2"/>
      <sheetName val="Enhanced TO Incentives"/>
      <sheetName val="TIRG_DataSheet"/>
      <sheetName val="TIRG t"/>
      <sheetName val="PR t"/>
      <sheetName val="PT t"/>
      <sheetName val="IP t"/>
      <sheetName val="CxIncRA t "/>
      <sheetName val="TOInc t"/>
      <sheetName val="LVGC n"/>
      <sheetName val="LVZS n"/>
      <sheetName val="LVZD n"/>
      <sheetName val="LVST n"/>
      <sheetName val="Other terms"/>
      <sheetName val="TO Summary "/>
      <sheetName val="BXext (External Costs)"/>
      <sheetName val="BXint (Internal Costs)"/>
      <sheetName val="SO Summary"/>
      <sheetName val="Section 1"/>
      <sheetName val="Section 2"/>
      <sheetName val="Section 2a"/>
      <sheetName val="Section 2b"/>
      <sheetName val="Section 2c"/>
      <sheetName val="Section 2d"/>
      <sheetName val="Section 3a"/>
      <sheetName val="Section 3b"/>
      <sheetName val="BExRepositorySheet"/>
      <sheetName val="Section 4"/>
      <sheetName val="Section 5"/>
      <sheetName val="NGET_Published Data"/>
      <sheetName val="Forecast"/>
      <sheetName val="Sheet1"/>
    </sheetNames>
    <sheetDataSet>
      <sheetData sheetId="0" refreshError="1"/>
      <sheetData sheetId="1" refreshError="1"/>
      <sheetData sheetId="2" refreshError="1"/>
      <sheetData sheetId="3" refreshError="1"/>
      <sheetData sheetId="4" refreshError="1"/>
      <sheetData sheetId="5">
        <row r="59">
          <cell r="I59">
            <v>248</v>
          </cell>
          <cell r="J59">
            <v>237</v>
          </cell>
          <cell r="K59">
            <v>237</v>
          </cell>
          <cell r="L59">
            <v>237</v>
          </cell>
          <cell r="M59">
            <v>237</v>
          </cell>
          <cell r="N59">
            <v>237</v>
          </cell>
          <cell r="P59" t="str">
            <v>RILT</v>
          </cell>
        </row>
        <row r="60">
          <cell r="I60">
            <v>274</v>
          </cell>
          <cell r="J60">
            <v>263</v>
          </cell>
          <cell r="K60">
            <v>263</v>
          </cell>
          <cell r="L60">
            <v>263</v>
          </cell>
          <cell r="M60">
            <v>263</v>
          </cell>
          <cell r="N60">
            <v>263</v>
          </cell>
          <cell r="P60" t="str">
            <v>RIUT</v>
          </cell>
        </row>
        <row r="62">
          <cell r="I62">
            <v>0.01</v>
          </cell>
          <cell r="J62">
            <v>0.01</v>
          </cell>
          <cell r="K62">
            <v>0.01</v>
          </cell>
          <cell r="L62">
            <v>0.01</v>
          </cell>
          <cell r="M62">
            <v>0.01</v>
          </cell>
          <cell r="N62">
            <v>0.01</v>
          </cell>
          <cell r="P62" t="str">
            <v>RIUPA</v>
          </cell>
        </row>
        <row r="63">
          <cell r="I63">
            <v>-1.4999999999999999E-2</v>
          </cell>
          <cell r="J63">
            <v>-1.4999999999999999E-2</v>
          </cell>
          <cell r="K63">
            <v>-1.4999999999999999E-2</v>
          </cell>
          <cell r="L63">
            <v>-1.4999999999999999E-2</v>
          </cell>
          <cell r="M63">
            <v>-1.4999999999999999E-2</v>
          </cell>
          <cell r="N63">
            <v>-1.4999999999999999E-2</v>
          </cell>
          <cell r="P63" t="str">
            <v>RIDPA</v>
          </cell>
        </row>
        <row r="65">
          <cell r="I65">
            <v>653</v>
          </cell>
          <cell r="J65">
            <v>619</v>
          </cell>
          <cell r="K65">
            <v>619</v>
          </cell>
          <cell r="L65">
            <v>619</v>
          </cell>
          <cell r="M65">
            <v>619</v>
          </cell>
          <cell r="N65">
            <v>619</v>
          </cell>
          <cell r="P65" t="str">
            <v>RICOL</v>
          </cell>
        </row>
        <row r="135">
          <cell r="I135">
            <v>312.79000000000002</v>
          </cell>
          <cell r="J135">
            <v>6</v>
          </cell>
          <cell r="K135">
            <v>51.5</v>
          </cell>
          <cell r="L135">
            <v>61</v>
          </cell>
          <cell r="M135">
            <v>59.5</v>
          </cell>
          <cell r="N135">
            <v>2.5</v>
          </cell>
          <cell r="P135" t="str">
            <v>RIP</v>
          </cell>
        </row>
      </sheetData>
      <sheetData sheetId="6" refreshError="1"/>
      <sheetData sheetId="7" refreshError="1"/>
      <sheetData sheetId="8" refreshError="1"/>
      <sheetData sheetId="9" refreshError="1"/>
      <sheetData sheetId="10" refreshError="1"/>
      <sheetData sheetId="11" refreshError="1"/>
      <sheetData sheetId="12">
        <row r="24">
          <cell r="I24">
            <v>1081069962.9381621</v>
          </cell>
          <cell r="J24">
            <v>1147404069.9216597</v>
          </cell>
          <cell r="K24">
            <v>1223764831.9645684</v>
          </cell>
          <cell r="L24">
            <v>1232822026.7030997</v>
          </cell>
          <cell r="M24">
            <v>1316563378.810266</v>
          </cell>
          <cell r="N24">
            <v>1433654720</v>
          </cell>
          <cell r="P24" t="str">
            <v>PR</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1 TIRG"/>
      <sheetName val="R12 TO MAR"/>
      <sheetName val="R13 Excluded Revenue"/>
      <sheetName val="R14 Rec to Stat Ac"/>
    </sheetNames>
    <sheetDataSet>
      <sheetData sheetId="0"/>
      <sheetData sheetId="1"/>
      <sheetData sheetId="2"/>
      <sheetData sheetId="3"/>
      <sheetData sheetId="4"/>
      <sheetData sheetId="5"/>
      <sheetData sheetId="6"/>
      <sheetData sheetId="7">
        <row r="149">
          <cell r="H149">
            <v>0</v>
          </cell>
          <cell r="I149">
            <v>0</v>
          </cell>
          <cell r="J149">
            <v>0</v>
          </cell>
          <cell r="K149">
            <v>0</v>
          </cell>
          <cell r="L149">
            <v>0</v>
          </cell>
          <cell r="M149">
            <v>0</v>
          </cell>
        </row>
      </sheetData>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1 TIRG"/>
      <sheetName val="R12 TO MAR"/>
      <sheetName val="R13 Excluded Revenue"/>
      <sheetName val="R14 Rec to Stat Ac"/>
      <sheetName val="R15 SO Internal"/>
      <sheetName val="R16 SO External Rev"/>
      <sheetName val="R17 SO Bal Services"/>
    </sheetNames>
    <sheetDataSet>
      <sheetData sheetId="0"/>
      <sheetData sheetId="1"/>
      <sheetData sheetId="2"/>
      <sheetData sheetId="3"/>
      <sheetData sheetId="4">
        <row r="81">
          <cell r="F81">
            <v>7.5330000000000004</v>
          </cell>
          <cell r="G81">
            <v>7.7370000000000001</v>
          </cell>
          <cell r="H81">
            <v>7.5250000000000004</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1 TIRG"/>
      <sheetName val="R12 TO MAR"/>
      <sheetName val="R13 Excluded Revenue"/>
      <sheetName val="R14 Rec to Stat Ac"/>
      <sheetName val="R15 SO Internal"/>
      <sheetName val="R16 SO External Rev"/>
      <sheetName val="R17 SO Bal Servi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4">
          <cell r="F24">
            <v>651.20509200000004</v>
          </cell>
          <cell r="G24">
            <v>651.20509200000004</v>
          </cell>
          <cell r="I24">
            <v>411.13299999999998</v>
          </cell>
          <cell r="J24">
            <v>412.39691499999998</v>
          </cell>
          <cell r="L24">
            <v>343.58538250219601</v>
          </cell>
          <cell r="M24">
            <v>343.46800000000002</v>
          </cell>
          <cell r="O24">
            <v>379.90690699999999</v>
          </cell>
          <cell r="P24">
            <v>378.09705965000001</v>
          </cell>
          <cell r="R24">
            <v>347.21039109999998</v>
          </cell>
          <cell r="S24">
            <v>345.52699999999999</v>
          </cell>
        </row>
        <row r="25">
          <cell r="F25">
            <v>973.26010699999995</v>
          </cell>
          <cell r="G25">
            <v>973.26010699999995</v>
          </cell>
          <cell r="I25">
            <v>456.09199999999998</v>
          </cell>
          <cell r="J25">
            <v>459.36679279999998</v>
          </cell>
          <cell r="L25">
            <v>495.23285240000001</v>
          </cell>
          <cell r="M25">
            <v>502.041833</v>
          </cell>
          <cell r="O25">
            <v>487.14656944854516</v>
          </cell>
          <cell r="P25">
            <v>488.42473706999999</v>
          </cell>
          <cell r="R25">
            <v>652.66663860000006</v>
          </cell>
          <cell r="S25">
            <v>666.09</v>
          </cell>
        </row>
        <row r="26">
          <cell r="F26">
            <v>-0.60762490000000002</v>
          </cell>
          <cell r="G26">
            <v>-0.60762490000000002</v>
          </cell>
          <cell r="I26">
            <v>0</v>
          </cell>
          <cell r="J26">
            <v>-2.6634660000000001E-2</v>
          </cell>
          <cell r="L26">
            <v>0</v>
          </cell>
          <cell r="M26">
            <v>0</v>
          </cell>
          <cell r="O26">
            <v>0</v>
          </cell>
          <cell r="P26">
            <v>0</v>
          </cell>
          <cell r="R26">
            <v>0</v>
          </cell>
          <cell r="S26">
            <v>0</v>
          </cell>
        </row>
        <row r="30">
          <cell r="F30">
            <v>0</v>
          </cell>
          <cell r="G30">
            <v>0</v>
          </cell>
          <cell r="I30">
            <v>0.498</v>
          </cell>
          <cell r="J30">
            <v>0.401111</v>
          </cell>
          <cell r="L30">
            <v>0.82183985299999995</v>
          </cell>
          <cell r="M30">
            <v>0.82484717000000007</v>
          </cell>
          <cell r="O30">
            <v>-0.26477200000000001</v>
          </cell>
          <cell r="P30">
            <v>-0.19419</v>
          </cell>
          <cell r="R30">
            <v>-6.6600000000000006E-2</v>
          </cell>
          <cell r="S30">
            <v>-6.6600000000000006E-2</v>
          </cell>
        </row>
        <row r="35">
          <cell r="L35">
            <v>29.960526479999999</v>
          </cell>
          <cell r="M35">
            <v>30.933521599999999</v>
          </cell>
          <cell r="O35">
            <v>30.744157559999998</v>
          </cell>
          <cell r="P35">
            <v>30.744158169999999</v>
          </cell>
          <cell r="R35">
            <v>117.47402627</v>
          </cell>
          <cell r="S35">
            <v>118.34102627</v>
          </cell>
        </row>
        <row r="51">
          <cell r="R51">
            <v>117.47402627</v>
          </cell>
        </row>
      </sheetData>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28.emf"/><Relationship Id="rId18" Type="http://schemas.openxmlformats.org/officeDocument/2006/relationships/oleObject" Target="../embeddings/oleObject8.bin"/><Relationship Id="rId3" Type="http://schemas.openxmlformats.org/officeDocument/2006/relationships/vmlDrawing" Target="../drawings/vmlDrawing3.vml"/><Relationship Id="rId7" Type="http://schemas.openxmlformats.org/officeDocument/2006/relationships/image" Target="../media/image25.emf"/><Relationship Id="rId12" Type="http://schemas.openxmlformats.org/officeDocument/2006/relationships/oleObject" Target="../embeddings/oleObject5.bin"/><Relationship Id="rId17" Type="http://schemas.openxmlformats.org/officeDocument/2006/relationships/image" Target="../media/image30.emf"/><Relationship Id="rId2" Type="http://schemas.openxmlformats.org/officeDocument/2006/relationships/drawing" Target="../drawings/drawing10.xml"/><Relationship Id="rId16" Type="http://schemas.openxmlformats.org/officeDocument/2006/relationships/oleObject" Target="../embeddings/oleObject7.bin"/><Relationship Id="rId20" Type="http://schemas.openxmlformats.org/officeDocument/2006/relationships/comments" Target="../comments3.xml"/><Relationship Id="rId1" Type="http://schemas.openxmlformats.org/officeDocument/2006/relationships/printerSettings" Target="../printerSettings/printerSettings17.bin"/><Relationship Id="rId6" Type="http://schemas.openxmlformats.org/officeDocument/2006/relationships/oleObject" Target="../embeddings/oleObject2.bin"/><Relationship Id="rId11" Type="http://schemas.openxmlformats.org/officeDocument/2006/relationships/image" Target="../media/image27.emf"/><Relationship Id="rId5" Type="http://schemas.openxmlformats.org/officeDocument/2006/relationships/image" Target="../media/image24.emf"/><Relationship Id="rId15" Type="http://schemas.openxmlformats.org/officeDocument/2006/relationships/image" Target="../media/image29.emf"/><Relationship Id="rId10" Type="http://schemas.openxmlformats.org/officeDocument/2006/relationships/oleObject" Target="../embeddings/oleObject4.bin"/><Relationship Id="rId19" Type="http://schemas.openxmlformats.org/officeDocument/2006/relationships/image" Target="../media/image31.wmf"/><Relationship Id="rId4" Type="http://schemas.openxmlformats.org/officeDocument/2006/relationships/oleObject" Target="../embeddings/oleObject1.bin"/><Relationship Id="rId9" Type="http://schemas.openxmlformats.org/officeDocument/2006/relationships/image" Target="../media/image26.emf"/><Relationship Id="rId14" Type="http://schemas.openxmlformats.org/officeDocument/2006/relationships/oleObject" Target="../embeddings/oleObject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2.xml"/><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4616"/>
  </sheetPr>
  <dimension ref="A2:H35"/>
  <sheetViews>
    <sheetView zoomScaleNormal="100" workbookViewId="0">
      <selection activeCell="G23" sqref="G23"/>
    </sheetView>
  </sheetViews>
  <sheetFormatPr defaultColWidth="9" defaultRowHeight="13.5"/>
  <cols>
    <col min="1" max="1" width="9" style="400"/>
    <col min="2" max="2" width="14.23046875" style="400" customWidth="1"/>
    <col min="3" max="3" width="10.15234375" style="400" customWidth="1"/>
    <col min="4" max="4" width="12.15234375" style="400" customWidth="1"/>
    <col min="5" max="5" width="7.3828125" style="400" bestFit="1" customWidth="1"/>
    <col min="6" max="6" width="9" style="400" customWidth="1"/>
    <col min="7" max="8" width="10" style="400" customWidth="1"/>
    <col min="9" max="16384" width="9" style="400"/>
  </cols>
  <sheetData>
    <row r="2" spans="1:8">
      <c r="A2"/>
      <c r="B2"/>
      <c r="C2"/>
      <c r="D2"/>
      <c r="E2"/>
      <c r="F2"/>
      <c r="G2"/>
      <c r="H2"/>
    </row>
    <row r="3" spans="1:8">
      <c r="A3"/>
      <c r="B3" s="42" t="s">
        <v>8</v>
      </c>
      <c r="C3" s="42"/>
      <c r="D3" s="42">
        <v>2022</v>
      </c>
      <c r="E3" s="42">
        <v>2023</v>
      </c>
      <c r="F3"/>
      <c r="G3"/>
      <c r="H3"/>
    </row>
    <row r="4" spans="1:8">
      <c r="A4"/>
      <c r="B4"/>
      <c r="C4"/>
      <c r="D4"/>
      <c r="E4"/>
      <c r="F4"/>
      <c r="G4"/>
      <c r="H4"/>
    </row>
    <row r="5" spans="1:8">
      <c r="A5"/>
      <c r="B5" s="402" t="s">
        <v>1042</v>
      </c>
      <c r="C5"/>
      <c r="D5" s="613">
        <f>'R5 Input page'!N28*'R6 True Up'!N30</f>
        <v>15.575032265015144</v>
      </c>
      <c r="E5" s="613">
        <f>'R5 Input page'!O28*'R6 True Up'!O30</f>
        <v>17.658606476692572</v>
      </c>
      <c r="F5"/>
      <c r="G5"/>
      <c r="H5"/>
    </row>
    <row r="6" spans="1:8">
      <c r="A6"/>
      <c r="B6" s="402" t="s">
        <v>1043</v>
      </c>
      <c r="C6"/>
      <c r="D6" s="613">
        <f>'R6 True Up'!N40</f>
        <v>0</v>
      </c>
      <c r="E6" s="613">
        <f>'R6 True Up'!O40</f>
        <v>0</v>
      </c>
      <c r="F6"/>
      <c r="G6"/>
      <c r="H6"/>
    </row>
    <row r="7" spans="1:8">
      <c r="A7"/>
      <c r="B7" s="402" t="s">
        <v>1044</v>
      </c>
      <c r="C7"/>
      <c r="D7" s="613" t="e">
        <f>'R15 SO Internal'!N11</f>
        <v>#DIV/0!</v>
      </c>
      <c r="E7" s="613" t="e">
        <f>'R15 SO Internal'!O11</f>
        <v>#DIV/0!</v>
      </c>
      <c r="F7"/>
      <c r="G7"/>
      <c r="H7"/>
    </row>
    <row r="8" spans="1:8">
      <c r="A8"/>
      <c r="B8" s="402"/>
      <c r="C8"/>
      <c r="D8"/>
      <c r="E8"/>
      <c r="F8"/>
      <c r="G8"/>
      <c r="H8"/>
    </row>
    <row r="9" spans="1:8">
      <c r="A9"/>
      <c r="B9"/>
      <c r="C9"/>
      <c r="D9"/>
      <c r="E9"/>
      <c r="F9"/>
      <c r="G9"/>
      <c r="H9"/>
    </row>
    <row r="10" spans="1:8" ht="25.15" customHeight="1">
      <c r="A10"/>
      <c r="B10"/>
      <c r="C10"/>
      <c r="D10"/>
      <c r="E10"/>
      <c r="F10"/>
      <c r="G10"/>
      <c r="H10"/>
    </row>
    <row r="11" spans="1:8" ht="22.9" customHeight="1">
      <c r="A11"/>
      <c r="B11"/>
      <c r="C11"/>
      <c r="D11"/>
      <c r="E11"/>
      <c r="F11"/>
      <c r="G11"/>
      <c r="H11"/>
    </row>
    <row r="12" spans="1:8">
      <c r="A12"/>
      <c r="B12"/>
      <c r="C12"/>
      <c r="D12"/>
      <c r="E12"/>
      <c r="F12"/>
      <c r="G12"/>
      <c r="H12"/>
    </row>
    <row r="13" spans="1:8">
      <c r="A13" s="612"/>
      <c r="B13"/>
      <c r="C13"/>
      <c r="D13"/>
      <c r="E13"/>
      <c r="F13"/>
      <c r="G13"/>
    </row>
    <row r="14" spans="1:8">
      <c r="B14"/>
      <c r="C14"/>
      <c r="D14"/>
      <c r="E14"/>
      <c r="F14"/>
      <c r="G14"/>
    </row>
    <row r="15" spans="1:8">
      <c r="B15"/>
      <c r="C15"/>
      <c r="D15"/>
      <c r="E15"/>
      <c r="F15"/>
      <c r="G15"/>
    </row>
    <row r="16" spans="1:8">
      <c r="B16"/>
      <c r="C16"/>
      <c r="D16"/>
      <c r="E16"/>
      <c r="F16"/>
      <c r="G16"/>
    </row>
    <row r="17" spans="1:7" s="562" customFormat="1">
      <c r="B17"/>
      <c r="C17"/>
      <c r="D17"/>
      <c r="E17"/>
      <c r="F17"/>
      <c r="G17"/>
    </row>
    <row r="18" spans="1:7">
      <c r="B18"/>
      <c r="C18"/>
      <c r="D18"/>
      <c r="E18"/>
      <c r="F18"/>
      <c r="G18"/>
    </row>
    <row r="19" spans="1:7">
      <c r="B19"/>
      <c r="C19"/>
      <c r="D19"/>
      <c r="E19"/>
      <c r="F19"/>
      <c r="G19"/>
    </row>
    <row r="20" spans="1:7">
      <c r="B20"/>
      <c r="C20"/>
      <c r="D20"/>
      <c r="E20"/>
      <c r="F20"/>
      <c r="G20"/>
    </row>
    <row r="21" spans="1:7">
      <c r="B21"/>
      <c r="C21"/>
      <c r="D21"/>
      <c r="E21"/>
      <c r="F21"/>
      <c r="G21"/>
    </row>
    <row r="22" spans="1:7">
      <c r="A22" s="612"/>
      <c r="B22"/>
      <c r="C22"/>
      <c r="D22"/>
      <c r="E22"/>
      <c r="F22"/>
      <c r="G22"/>
    </row>
    <row r="23" spans="1:7">
      <c r="A23" s="612"/>
      <c r="B23"/>
      <c r="C23"/>
      <c r="D23"/>
      <c r="E23"/>
      <c r="F23"/>
      <c r="G23"/>
    </row>
    <row r="24" spans="1:7">
      <c r="B24"/>
      <c r="C24"/>
      <c r="D24"/>
      <c r="E24"/>
      <c r="F24"/>
      <c r="G24"/>
    </row>
    <row r="25" spans="1:7">
      <c r="B25"/>
      <c r="C25"/>
      <c r="D25"/>
      <c r="E25"/>
      <c r="F25"/>
      <c r="G25"/>
    </row>
    <row r="26" spans="1:7">
      <c r="B26"/>
      <c r="C26"/>
      <c r="D26"/>
      <c r="E26"/>
      <c r="F26"/>
      <c r="G26"/>
    </row>
    <row r="27" spans="1:7">
      <c r="B27"/>
      <c r="C27"/>
      <c r="D27"/>
      <c r="E27"/>
      <c r="F27"/>
      <c r="G27"/>
    </row>
    <row r="28" spans="1:7">
      <c r="B28"/>
      <c r="C28"/>
      <c r="D28"/>
      <c r="E28"/>
      <c r="F28"/>
      <c r="G28"/>
    </row>
    <row r="29" spans="1:7">
      <c r="B29"/>
      <c r="C29"/>
      <c r="D29"/>
      <c r="E29"/>
      <c r="F29"/>
      <c r="G29"/>
    </row>
    <row r="30" spans="1:7">
      <c r="B30"/>
      <c r="C30"/>
      <c r="D30"/>
      <c r="E30"/>
      <c r="F30"/>
      <c r="G30"/>
    </row>
    <row r="31" spans="1:7">
      <c r="B31"/>
      <c r="C31"/>
      <c r="D31"/>
      <c r="E31"/>
      <c r="F31"/>
      <c r="G31"/>
    </row>
    <row r="32" spans="1:7">
      <c r="B32"/>
      <c r="C32"/>
      <c r="D32"/>
      <c r="E32"/>
      <c r="F32"/>
      <c r="G32"/>
    </row>
    <row r="33" spans="2:7">
      <c r="B33"/>
      <c r="C33"/>
      <c r="D33"/>
      <c r="E33"/>
      <c r="F33"/>
      <c r="G33"/>
    </row>
    <row r="34" spans="2:7">
      <c r="B34"/>
      <c r="C34"/>
      <c r="D34"/>
      <c r="E34"/>
      <c r="F34"/>
      <c r="G34"/>
    </row>
    <row r="35" spans="2:7">
      <c r="B35"/>
      <c r="C35"/>
      <c r="D35"/>
      <c r="E35"/>
      <c r="F35"/>
      <c r="G3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sheetPr>
  <dimension ref="A1:I29"/>
  <sheetViews>
    <sheetView showGridLines="0" tabSelected="1" zoomScaleNormal="100" zoomScaleSheetLayoutView="100" workbookViewId="0">
      <pane ySplit="4" topLeftCell="A5" activePane="bottomLeft" state="frozen"/>
      <selection activeCell="A4" sqref="A4"/>
      <selection pane="bottomLeft" sqref="A1:C1"/>
    </sheetView>
  </sheetViews>
  <sheetFormatPr defaultColWidth="0" defaultRowHeight="12.75" customHeight="1" zeroHeight="1"/>
  <cols>
    <col min="1" max="1" width="2.61328125" style="16" customWidth="1"/>
    <col min="2" max="2" width="13.4609375" style="16" bestFit="1" customWidth="1"/>
    <col min="3" max="3" width="65.15234375" style="16" customWidth="1"/>
    <col min="4" max="4" width="13.765625" style="16" customWidth="1"/>
    <col min="5" max="5" width="26.765625" style="16" bestFit="1" customWidth="1"/>
    <col min="6" max="6" width="9" style="27" hidden="1" customWidth="1"/>
    <col min="7" max="9" width="9" style="16" hidden="1" customWidth="1"/>
    <col min="10" max="16384" width="9" style="16" hidden="1"/>
  </cols>
  <sheetData>
    <row r="1" spans="1:9" ht="66" customHeight="1">
      <c r="A1" s="649"/>
      <c r="B1" s="650"/>
      <c r="C1" s="650"/>
    </row>
    <row r="2" spans="1:9" s="12" customFormat="1" ht="17.5">
      <c r="B2" s="11" t="s">
        <v>108</v>
      </c>
      <c r="D2" s="13"/>
      <c r="F2" s="14"/>
    </row>
    <row r="3" spans="1:9" s="12" customFormat="1" ht="17.5">
      <c r="B3" s="11" t="str">
        <f>CompName</f>
        <v>National Grid Electricity System Operator Ltd</v>
      </c>
      <c r="D3" s="13"/>
      <c r="F3" s="14"/>
    </row>
    <row r="4" spans="1:9" s="12" customFormat="1" ht="13.5">
      <c r="B4" s="15" t="str">
        <f>'R5 Input page'!F7</f>
        <v>Regulatory Year ending 31 March 2021</v>
      </c>
      <c r="F4" s="14"/>
    </row>
    <row r="5" spans="1:9" ht="15">
      <c r="B5" s="11"/>
      <c r="C5" s="12"/>
      <c r="D5" s="12"/>
      <c r="E5" s="12"/>
      <c r="F5" s="14"/>
      <c r="G5" s="12"/>
      <c r="H5" s="12"/>
      <c r="I5" s="12"/>
    </row>
    <row r="6" spans="1:9" ht="15">
      <c r="B6" s="11" t="s">
        <v>109</v>
      </c>
      <c r="C6" s="17"/>
      <c r="D6" s="17"/>
      <c r="E6" s="18"/>
      <c r="F6" s="19"/>
      <c r="G6" s="20"/>
      <c r="H6" s="17"/>
      <c r="I6" s="17"/>
    </row>
    <row r="7" spans="1:9" ht="14">
      <c r="B7" s="18"/>
      <c r="C7" s="17"/>
      <c r="D7" s="17"/>
      <c r="E7" s="17"/>
      <c r="F7" s="19"/>
      <c r="G7" s="18"/>
      <c r="H7" s="18"/>
      <c r="I7" s="12"/>
    </row>
    <row r="8" spans="1:9" ht="54">
      <c r="B8" s="12"/>
      <c r="C8" s="21" t="s">
        <v>396</v>
      </c>
      <c r="D8" s="17"/>
      <c r="E8" s="17"/>
      <c r="F8" s="22"/>
      <c r="G8" s="17"/>
      <c r="H8" s="17"/>
      <c r="I8" s="12"/>
    </row>
    <row r="9" spans="1:9" ht="94.5">
      <c r="B9" s="12"/>
      <c r="C9" s="23" t="s">
        <v>110</v>
      </c>
      <c r="D9" s="17"/>
      <c r="E9" s="17"/>
      <c r="F9" s="22"/>
      <c r="G9" s="17"/>
      <c r="H9" s="17"/>
      <c r="I9" s="12"/>
    </row>
    <row r="10" spans="1:9" ht="13.5">
      <c r="B10" s="12"/>
      <c r="C10" s="23"/>
      <c r="D10" s="17"/>
      <c r="E10" s="17"/>
      <c r="F10" s="22"/>
      <c r="G10" s="17"/>
      <c r="H10" s="17"/>
      <c r="I10" s="12"/>
    </row>
    <row r="11" spans="1:9" ht="13.5">
      <c r="B11" s="12"/>
      <c r="C11" s="17"/>
      <c r="D11" s="17"/>
      <c r="E11" s="17"/>
      <c r="F11" s="22"/>
      <c r="G11" s="17"/>
      <c r="H11" s="17"/>
      <c r="I11" s="12"/>
    </row>
    <row r="12" spans="1:9" ht="13.5">
      <c r="B12" s="12"/>
      <c r="C12" s="23"/>
      <c r="D12" s="17"/>
      <c r="E12" s="17"/>
      <c r="F12" s="22"/>
      <c r="G12" s="17"/>
      <c r="H12" s="17"/>
      <c r="I12" s="12"/>
    </row>
    <row r="13" spans="1:9" ht="14">
      <c r="B13" s="18"/>
      <c r="C13" s="17"/>
      <c r="D13" s="17"/>
      <c r="E13" s="17"/>
      <c r="F13" s="22"/>
      <c r="G13" s="17"/>
      <c r="H13" s="17"/>
      <c r="I13" s="17"/>
    </row>
    <row r="14" spans="1:9" ht="13.5">
      <c r="B14" s="24"/>
      <c r="C14" s="17" t="s">
        <v>808</v>
      </c>
      <c r="D14" s="25"/>
      <c r="E14" s="17" t="s">
        <v>111</v>
      </c>
      <c r="F14" s="14"/>
      <c r="G14" s="17"/>
      <c r="H14" s="17"/>
      <c r="I14" s="17"/>
    </row>
    <row r="15" spans="1:9" ht="13.5">
      <c r="B15" s="100"/>
      <c r="C15" s="17" t="s">
        <v>430</v>
      </c>
      <c r="D15" s="66"/>
      <c r="E15" s="17" t="s">
        <v>112</v>
      </c>
      <c r="F15" s="14"/>
      <c r="G15" s="17"/>
      <c r="H15" s="17"/>
      <c r="I15" s="17"/>
    </row>
    <row r="16" spans="1:9" ht="13.5">
      <c r="A16" s="17"/>
      <c r="B16" s="17"/>
      <c r="C16" s="17"/>
      <c r="D16" s="17"/>
      <c r="E16" s="17"/>
      <c r="F16" s="22"/>
      <c r="G16" s="17"/>
      <c r="H16" s="17"/>
      <c r="I16" s="17"/>
    </row>
    <row r="17" spans="2:9" ht="13.5" hidden="1">
      <c r="B17" s="12"/>
      <c r="C17" s="12"/>
      <c r="D17" s="12"/>
      <c r="E17" s="12"/>
      <c r="F17" s="14"/>
      <c r="G17" s="12"/>
      <c r="H17" s="12"/>
      <c r="I17" s="12"/>
    </row>
    <row r="18" spans="2:9" ht="13.5" hidden="1"/>
    <row r="19" spans="2:9" ht="13.5" hidden="1"/>
    <row r="20" spans="2:9" ht="13.5" hidden="1"/>
    <row r="21" spans="2:9" ht="13.5" hidden="1"/>
    <row r="22" spans="2:9" ht="13.5" hidden="1"/>
    <row r="23" spans="2:9" ht="13.5" hidden="1"/>
    <row r="24" spans="2:9" ht="13.5" hidden="1"/>
    <row r="25" spans="2:9" ht="13.5" hidden="1"/>
    <row r="26" spans="2:9" ht="13.5" hidden="1"/>
    <row r="27" spans="2:9" ht="13.5" hidden="1"/>
    <row r="28" spans="2:9" ht="13.5" hidden="1"/>
    <row r="29" spans="2:9" ht="13.5">
      <c r="B29" s="17"/>
      <c r="C29" s="17"/>
      <c r="D29" s="17"/>
      <c r="E29" s="17"/>
    </row>
  </sheetData>
  <sheetProtection formatCells="0" formatColumns="0" formatRows="0" insertHyperlinks="0" autoFilter="0" pivotTables="0"/>
  <mergeCells count="1">
    <mergeCell ref="A1:C1"/>
  </mergeCells>
  <pageMargins left="0.70866141732283472" right="0.70866141732283472" top="0.74803149606299213" bottom="0.74803149606299213" header="0.31496062992125984" footer="0.31496062992125984"/>
  <pageSetup paperSize="8" orientation="landscape" r:id="rId1"/>
  <headerFooter>
    <oddHeader>&amp;C&amp;A</oddHeader>
    <oddFooter>&amp;L&amp;D &amp;T&amp;C&amp;Z&amp;R&amp;F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C000"/>
  </sheetPr>
  <dimension ref="A1:N81"/>
  <sheetViews>
    <sheetView workbookViewId="0">
      <selection activeCell="K5" sqref="K5"/>
    </sheetView>
  </sheetViews>
  <sheetFormatPr defaultColWidth="0" defaultRowHeight="12.75" customHeight="1" zeroHeight="1"/>
  <cols>
    <col min="1" max="1" width="20.3828125" style="34" customWidth="1"/>
    <col min="2" max="4" width="9" style="34" customWidth="1"/>
    <col min="5" max="5" width="9" style="35" customWidth="1"/>
    <col min="6" max="14" width="9" style="34" customWidth="1"/>
    <col min="15" max="16384" width="9" style="34" hidden="1"/>
  </cols>
  <sheetData>
    <row r="1" spans="1:14" s="29" customFormat="1" ht="17.5">
      <c r="A1" s="28" t="s">
        <v>113</v>
      </c>
      <c r="C1" s="30"/>
      <c r="E1" s="31"/>
    </row>
    <row r="2" spans="1:14" s="29" customFormat="1" ht="17.5">
      <c r="A2" s="28" t="str">
        <f>CompName</f>
        <v>National Grid Electricity System Operator Ltd</v>
      </c>
      <c r="C2" s="30"/>
      <c r="E2" s="31"/>
    </row>
    <row r="3" spans="1:14" s="29" customFormat="1" ht="13.5">
      <c r="A3" s="15" t="str">
        <f>'R5 Input page'!F7</f>
        <v>Regulatory Year ending 31 March 2021</v>
      </c>
      <c r="E3" s="31"/>
    </row>
    <row r="4" spans="1:14" ht="13.5">
      <c r="A4" s="32"/>
      <c r="B4" s="32"/>
      <c r="C4" s="32"/>
      <c r="D4" s="32"/>
      <c r="E4" s="33"/>
      <c r="F4" s="32"/>
      <c r="G4" s="32"/>
      <c r="H4" s="32"/>
      <c r="I4" s="32"/>
      <c r="J4" s="32"/>
      <c r="K4" s="32"/>
      <c r="L4" s="32"/>
      <c r="M4" s="32"/>
      <c r="N4" s="32"/>
    </row>
    <row r="5" spans="1:14" ht="13.5">
      <c r="A5" s="32"/>
      <c r="B5" s="32"/>
      <c r="C5" s="32"/>
      <c r="D5" s="32"/>
      <c r="E5" s="33"/>
      <c r="F5" s="32"/>
      <c r="G5" s="32"/>
      <c r="H5" s="32"/>
      <c r="I5" s="32"/>
      <c r="J5" s="32"/>
      <c r="K5" s="32"/>
      <c r="L5" s="32"/>
      <c r="M5" s="32"/>
      <c r="N5" s="32"/>
    </row>
    <row r="6" spans="1:14" ht="13.5">
      <c r="A6" s="32"/>
      <c r="B6" s="32"/>
      <c r="C6" s="32"/>
      <c r="D6" s="32"/>
      <c r="E6" s="33"/>
      <c r="F6" s="32"/>
      <c r="G6" s="32"/>
      <c r="H6" s="32"/>
      <c r="I6" s="32"/>
      <c r="J6" s="32"/>
      <c r="K6" s="32"/>
      <c r="L6" s="32"/>
      <c r="M6" s="32"/>
      <c r="N6" s="32"/>
    </row>
    <row r="7" spans="1:14" ht="13.5">
      <c r="A7" s="32"/>
      <c r="B7" s="32"/>
      <c r="C7" s="32"/>
      <c r="D7" s="32"/>
      <c r="E7" s="33"/>
      <c r="F7" s="32"/>
      <c r="G7" s="32"/>
      <c r="H7" s="32"/>
      <c r="I7" s="32"/>
      <c r="J7" s="32"/>
      <c r="K7" s="32"/>
      <c r="L7" s="32"/>
      <c r="M7" s="32"/>
      <c r="N7" s="32"/>
    </row>
    <row r="8" spans="1:14" ht="13.5">
      <c r="A8" s="32"/>
      <c r="B8" s="32"/>
      <c r="C8" s="32"/>
      <c r="D8" s="32"/>
      <c r="E8" s="33"/>
      <c r="F8" s="32"/>
      <c r="G8" s="32"/>
      <c r="H8" s="32"/>
      <c r="I8" s="32"/>
      <c r="J8" s="32"/>
      <c r="K8" s="32"/>
      <c r="L8" s="32"/>
      <c r="M8" s="32"/>
      <c r="N8" s="32"/>
    </row>
    <row r="9" spans="1:14" ht="13.5">
      <c r="A9" s="32"/>
      <c r="B9" s="32"/>
      <c r="C9" s="32"/>
      <c r="D9" s="32"/>
      <c r="E9" s="33"/>
      <c r="F9" s="32"/>
      <c r="G9" s="32"/>
      <c r="H9" s="32"/>
      <c r="I9" s="32"/>
      <c r="J9" s="32"/>
      <c r="K9" s="32"/>
      <c r="L9" s="32"/>
      <c r="M9" s="32"/>
      <c r="N9" s="32"/>
    </row>
    <row r="10" spans="1:14" ht="13.5">
      <c r="A10" s="32"/>
      <c r="B10" s="32"/>
      <c r="C10" s="32"/>
      <c r="D10" s="32"/>
      <c r="E10" s="33"/>
      <c r="F10" s="32"/>
      <c r="G10" s="32"/>
      <c r="H10" s="32"/>
      <c r="I10" s="32"/>
      <c r="J10" s="32"/>
      <c r="K10" s="32"/>
      <c r="L10" s="32"/>
      <c r="M10" s="32"/>
      <c r="N10" s="32"/>
    </row>
    <row r="11" spans="1:14" ht="13.5">
      <c r="A11" s="32"/>
      <c r="B11" s="32"/>
      <c r="C11" s="32"/>
      <c r="D11" s="32"/>
      <c r="E11" s="33"/>
      <c r="F11" s="32"/>
      <c r="G11" s="32"/>
      <c r="H11" s="32"/>
      <c r="I11" s="32"/>
      <c r="J11" s="32"/>
      <c r="K11" s="32"/>
      <c r="L11" s="32"/>
      <c r="M11" s="32"/>
      <c r="N11" s="32"/>
    </row>
    <row r="12" spans="1:14" ht="13.5">
      <c r="A12" s="32"/>
      <c r="B12" s="32"/>
      <c r="C12" s="32"/>
      <c r="D12" s="32"/>
      <c r="E12" s="33"/>
      <c r="F12" s="32"/>
      <c r="G12" s="32"/>
      <c r="H12" s="32"/>
      <c r="I12" s="32"/>
      <c r="J12" s="32"/>
      <c r="K12" s="32"/>
      <c r="L12" s="32"/>
      <c r="M12" s="32"/>
      <c r="N12" s="32"/>
    </row>
    <row r="13" spans="1:14" ht="13.5">
      <c r="A13" s="32"/>
      <c r="B13" s="32"/>
      <c r="C13" s="32"/>
      <c r="D13" s="32"/>
      <c r="E13" s="33"/>
      <c r="F13" s="32"/>
      <c r="G13" s="32"/>
      <c r="H13" s="32"/>
      <c r="I13" s="32"/>
      <c r="J13" s="32"/>
      <c r="K13" s="32"/>
      <c r="L13" s="32"/>
      <c r="M13" s="32"/>
      <c r="N13" s="32"/>
    </row>
    <row r="14" spans="1:14" ht="13.5">
      <c r="A14" s="32"/>
      <c r="B14" s="32"/>
      <c r="C14" s="32"/>
      <c r="D14" s="32"/>
      <c r="E14" s="33"/>
      <c r="F14" s="32"/>
      <c r="G14" s="32"/>
      <c r="H14" s="32"/>
      <c r="I14" s="32"/>
      <c r="J14" s="32"/>
      <c r="K14" s="32"/>
      <c r="L14" s="32"/>
      <c r="M14" s="32"/>
      <c r="N14" s="32"/>
    </row>
    <row r="15" spans="1:14" ht="13.5">
      <c r="A15" s="32"/>
      <c r="B15" s="32"/>
      <c r="C15" s="32"/>
      <c r="D15" s="32"/>
      <c r="E15" s="33"/>
      <c r="F15" s="32"/>
      <c r="G15" s="32"/>
      <c r="H15" s="32"/>
      <c r="I15" s="32"/>
      <c r="J15" s="32"/>
      <c r="K15" s="32"/>
      <c r="L15" s="32"/>
      <c r="M15" s="32"/>
      <c r="N15" s="32"/>
    </row>
    <row r="16" spans="1:14" ht="13.5">
      <c r="A16" s="32"/>
      <c r="B16" s="32"/>
      <c r="C16" s="32"/>
      <c r="D16" s="32"/>
      <c r="E16" s="33"/>
      <c r="F16" s="32"/>
      <c r="G16" s="32"/>
      <c r="H16" s="32"/>
      <c r="I16" s="32"/>
      <c r="J16" s="32"/>
      <c r="K16" s="32"/>
      <c r="L16" s="32"/>
      <c r="M16" s="32"/>
      <c r="N16" s="32"/>
    </row>
    <row r="17" spans="1:14" ht="23">
      <c r="A17" s="32"/>
      <c r="B17" s="32"/>
      <c r="C17" s="32"/>
      <c r="D17" s="32"/>
      <c r="E17" s="33"/>
      <c r="F17" s="32"/>
      <c r="G17" s="32"/>
      <c r="H17" s="32"/>
      <c r="I17" s="32"/>
      <c r="J17" s="32"/>
      <c r="K17" s="59"/>
      <c r="L17" s="32"/>
      <c r="M17" s="32"/>
      <c r="N17" s="32"/>
    </row>
    <row r="18" spans="1:14" ht="13.5">
      <c r="A18" s="32"/>
      <c r="B18" s="32"/>
      <c r="C18" s="32"/>
      <c r="D18" s="32"/>
      <c r="E18" s="33"/>
      <c r="F18" s="32"/>
      <c r="G18" s="32"/>
      <c r="H18" s="32"/>
      <c r="I18" s="32"/>
      <c r="J18" s="32"/>
      <c r="K18" s="32"/>
      <c r="L18" s="32"/>
      <c r="M18" s="32"/>
      <c r="N18" s="32"/>
    </row>
    <row r="19" spans="1:14" ht="13.5">
      <c r="A19" s="32"/>
      <c r="B19" s="32"/>
      <c r="C19" s="32"/>
      <c r="D19" s="32"/>
      <c r="E19" s="33"/>
      <c r="F19" s="32"/>
      <c r="G19" s="32"/>
      <c r="H19" s="32"/>
      <c r="I19" s="32"/>
      <c r="J19" s="32"/>
      <c r="K19" s="32"/>
      <c r="L19" s="32"/>
      <c r="M19" s="32"/>
      <c r="N19" s="32"/>
    </row>
    <row r="20" spans="1:14" ht="13.5">
      <c r="A20" s="32"/>
      <c r="B20" s="32"/>
      <c r="C20" s="32"/>
      <c r="D20" s="32"/>
      <c r="E20" s="33"/>
      <c r="F20" s="32"/>
      <c r="G20" s="32"/>
      <c r="H20" s="32"/>
      <c r="I20" s="32"/>
      <c r="J20" s="32"/>
      <c r="K20" s="32"/>
      <c r="L20" s="32"/>
      <c r="M20" s="32"/>
      <c r="N20" s="32"/>
    </row>
    <row r="21" spans="1:14" ht="13.5">
      <c r="A21" s="32"/>
      <c r="B21" s="32"/>
      <c r="C21" s="32"/>
      <c r="D21" s="32"/>
      <c r="E21" s="33"/>
      <c r="F21" s="32"/>
      <c r="G21" s="32"/>
      <c r="H21" s="32"/>
      <c r="I21" s="32"/>
      <c r="J21" s="32"/>
      <c r="K21" s="32"/>
      <c r="L21" s="32"/>
      <c r="M21" s="32"/>
      <c r="N21" s="32"/>
    </row>
    <row r="22" spans="1:14" ht="13.5">
      <c r="A22" s="32"/>
      <c r="B22" s="32"/>
      <c r="C22" s="32"/>
      <c r="D22" s="32"/>
      <c r="E22" s="33"/>
      <c r="F22" s="32"/>
      <c r="G22" s="32"/>
      <c r="H22" s="32"/>
      <c r="I22" s="32"/>
      <c r="J22" s="32"/>
      <c r="K22" s="32"/>
      <c r="L22" s="32"/>
      <c r="M22" s="32"/>
      <c r="N22" s="32"/>
    </row>
    <row r="23" spans="1:14" ht="13.5">
      <c r="A23" s="32"/>
      <c r="B23" s="32"/>
      <c r="C23" s="32"/>
      <c r="D23" s="32"/>
      <c r="E23" s="33"/>
      <c r="F23" s="32"/>
      <c r="G23" s="32"/>
      <c r="H23" s="32"/>
      <c r="I23" s="32"/>
      <c r="J23" s="32"/>
      <c r="K23" s="32"/>
      <c r="L23" s="32"/>
      <c r="M23" s="32"/>
      <c r="N23" s="32"/>
    </row>
    <row r="24" spans="1:14" ht="13.5">
      <c r="A24" s="32"/>
      <c r="B24" s="32"/>
      <c r="C24" s="32"/>
      <c r="D24" s="32"/>
      <c r="E24" s="33"/>
      <c r="F24" s="32"/>
      <c r="G24" s="32"/>
      <c r="H24" s="32"/>
      <c r="I24" s="32"/>
      <c r="J24" s="32"/>
      <c r="K24" s="32"/>
      <c r="L24" s="32"/>
      <c r="M24" s="32"/>
      <c r="N24" s="32"/>
    </row>
    <row r="25" spans="1:14" ht="13.5">
      <c r="A25" s="32"/>
      <c r="B25" s="32"/>
      <c r="C25" s="32"/>
      <c r="D25" s="32"/>
      <c r="E25" s="33"/>
      <c r="F25" s="32"/>
      <c r="G25" s="32"/>
      <c r="H25" s="32"/>
      <c r="I25" s="32"/>
      <c r="J25" s="32"/>
      <c r="K25" s="32"/>
      <c r="L25" s="32"/>
      <c r="M25" s="32"/>
      <c r="N25" s="32"/>
    </row>
    <row r="26" spans="1:14" ht="13.5">
      <c r="A26" s="32"/>
      <c r="B26" s="32"/>
      <c r="C26" s="32"/>
      <c r="D26" s="32"/>
      <c r="E26" s="33"/>
      <c r="F26" s="32"/>
      <c r="G26" s="32"/>
      <c r="H26" s="32"/>
      <c r="I26" s="32"/>
      <c r="J26" s="32"/>
      <c r="K26" s="32"/>
      <c r="L26" s="32"/>
      <c r="M26" s="32"/>
      <c r="N26" s="32"/>
    </row>
    <row r="27" spans="1:14" ht="13.5">
      <c r="A27" s="32"/>
      <c r="B27" s="32"/>
      <c r="C27" s="32"/>
      <c r="D27" s="32"/>
      <c r="E27" s="33"/>
      <c r="F27" s="32"/>
      <c r="G27" s="32"/>
      <c r="H27" s="32"/>
      <c r="I27" s="32"/>
      <c r="J27" s="32"/>
      <c r="K27" s="32"/>
      <c r="L27" s="32"/>
      <c r="M27" s="32"/>
      <c r="N27" s="32"/>
    </row>
    <row r="28" spans="1:14" ht="13.5">
      <c r="A28" s="32"/>
      <c r="B28" s="32"/>
      <c r="C28" s="32"/>
      <c r="D28" s="32"/>
      <c r="E28" s="33"/>
      <c r="F28" s="32"/>
      <c r="G28" s="32"/>
      <c r="H28" s="32"/>
      <c r="I28" s="32"/>
      <c r="J28" s="32"/>
      <c r="K28" s="32"/>
      <c r="L28" s="32"/>
      <c r="M28" s="32"/>
      <c r="N28" s="32"/>
    </row>
    <row r="29" spans="1:14" ht="13.5">
      <c r="A29" s="32"/>
      <c r="B29" s="32"/>
      <c r="C29" s="32"/>
      <c r="D29" s="32"/>
      <c r="E29" s="33"/>
      <c r="F29" s="32"/>
      <c r="G29" s="32"/>
      <c r="H29" s="32"/>
      <c r="I29" s="32"/>
      <c r="J29" s="32"/>
      <c r="K29" s="32"/>
      <c r="L29" s="32"/>
      <c r="M29" s="32"/>
      <c r="N29" s="32"/>
    </row>
    <row r="30" spans="1:14" ht="13.5" hidden="1">
      <c r="A30" s="32"/>
      <c r="B30" s="32"/>
      <c r="C30" s="32"/>
      <c r="D30" s="32"/>
      <c r="E30" s="33"/>
      <c r="F30" s="32"/>
      <c r="G30" s="32"/>
      <c r="H30" s="32"/>
      <c r="I30" s="32"/>
      <c r="J30" s="32"/>
      <c r="K30" s="32"/>
      <c r="L30" s="32"/>
      <c r="M30" s="32"/>
      <c r="N30" s="32"/>
    </row>
    <row r="31" spans="1:14" ht="13.5" hidden="1">
      <c r="A31" s="32"/>
      <c r="B31" s="32"/>
      <c r="C31" s="32"/>
      <c r="D31" s="32"/>
      <c r="E31" s="33"/>
      <c r="F31" s="32"/>
      <c r="G31" s="32"/>
      <c r="H31" s="32"/>
      <c r="I31" s="32"/>
      <c r="J31" s="32"/>
      <c r="K31" s="32"/>
      <c r="L31" s="32"/>
      <c r="M31" s="32"/>
      <c r="N31" s="32"/>
    </row>
    <row r="32" spans="1:14" ht="13.5" hidden="1">
      <c r="A32" s="32"/>
      <c r="B32" s="32"/>
      <c r="C32" s="32"/>
      <c r="D32" s="32"/>
      <c r="E32" s="33"/>
      <c r="F32" s="32"/>
      <c r="G32" s="32"/>
      <c r="H32" s="32"/>
      <c r="I32" s="32"/>
      <c r="J32" s="32"/>
      <c r="K32" s="32"/>
      <c r="L32" s="32"/>
      <c r="M32" s="32"/>
      <c r="N32" s="32"/>
    </row>
    <row r="33" spans="1:14" ht="13.5" hidden="1">
      <c r="A33" s="32"/>
      <c r="B33" s="32"/>
      <c r="C33" s="32"/>
      <c r="D33" s="32"/>
      <c r="E33" s="33"/>
      <c r="F33" s="32"/>
      <c r="G33" s="32"/>
      <c r="H33" s="32"/>
      <c r="I33" s="32"/>
      <c r="J33" s="32"/>
      <c r="K33" s="32"/>
      <c r="L33" s="32"/>
      <c r="M33" s="32"/>
      <c r="N33" s="32"/>
    </row>
    <row r="34" spans="1:14" ht="13.5" hidden="1">
      <c r="A34" s="32"/>
      <c r="B34" s="32"/>
      <c r="C34" s="32"/>
      <c r="D34" s="32"/>
      <c r="E34" s="33"/>
      <c r="F34" s="32"/>
      <c r="G34" s="32"/>
      <c r="H34" s="32"/>
      <c r="I34" s="32"/>
      <c r="J34" s="32"/>
      <c r="K34" s="32"/>
      <c r="L34" s="32"/>
      <c r="M34" s="32"/>
      <c r="N34" s="32"/>
    </row>
    <row r="35" spans="1:14" ht="13.5" hidden="1">
      <c r="A35" s="32"/>
      <c r="B35" s="32"/>
      <c r="C35" s="32"/>
      <c r="D35" s="32"/>
      <c r="E35" s="33"/>
      <c r="F35" s="32"/>
      <c r="G35" s="32"/>
      <c r="H35" s="32"/>
      <c r="I35" s="32"/>
      <c r="J35" s="32"/>
      <c r="K35" s="32"/>
      <c r="L35" s="32"/>
      <c r="M35" s="32"/>
      <c r="N35" s="32"/>
    </row>
    <row r="36" spans="1:14" ht="13.5" hidden="1">
      <c r="A36" s="32"/>
      <c r="B36" s="32"/>
      <c r="C36" s="32"/>
      <c r="D36" s="32"/>
      <c r="E36" s="33"/>
      <c r="F36" s="32"/>
      <c r="G36" s="32"/>
      <c r="H36" s="32"/>
      <c r="I36" s="32"/>
      <c r="J36" s="32"/>
      <c r="K36" s="32"/>
      <c r="L36" s="32"/>
      <c r="M36" s="32"/>
      <c r="N36" s="32"/>
    </row>
    <row r="37" spans="1:14" ht="13.5" hidden="1">
      <c r="A37" s="32"/>
      <c r="B37" s="32"/>
      <c r="C37" s="32"/>
      <c r="D37" s="32"/>
      <c r="E37" s="33"/>
      <c r="F37" s="32"/>
      <c r="G37" s="32"/>
      <c r="H37" s="32"/>
      <c r="I37" s="32"/>
      <c r="J37" s="32"/>
      <c r="K37" s="32"/>
      <c r="L37" s="32"/>
      <c r="M37" s="32"/>
      <c r="N37" s="32"/>
    </row>
    <row r="38" spans="1:14" ht="13.5" hidden="1">
      <c r="A38" s="32"/>
      <c r="B38" s="32"/>
      <c r="C38" s="32"/>
      <c r="D38" s="32"/>
      <c r="E38" s="33"/>
      <c r="F38" s="32"/>
      <c r="G38" s="32"/>
      <c r="H38" s="32"/>
      <c r="I38" s="32"/>
      <c r="J38" s="32"/>
      <c r="K38" s="32"/>
      <c r="L38" s="32"/>
      <c r="M38" s="32"/>
      <c r="N38" s="32"/>
    </row>
    <row r="39" spans="1:14" ht="13.5" hidden="1">
      <c r="A39" s="32"/>
      <c r="B39" s="32"/>
      <c r="C39" s="32"/>
      <c r="D39" s="32"/>
      <c r="E39" s="33"/>
      <c r="F39" s="32"/>
      <c r="G39" s="32"/>
      <c r="H39" s="32"/>
      <c r="I39" s="32"/>
      <c r="J39" s="32"/>
      <c r="K39" s="32"/>
      <c r="L39" s="32"/>
      <c r="M39" s="32"/>
      <c r="N39" s="32"/>
    </row>
    <row r="40" spans="1:14" ht="13.5" hidden="1">
      <c r="A40" s="32"/>
      <c r="B40" s="32"/>
      <c r="C40" s="32"/>
      <c r="D40" s="32"/>
      <c r="E40" s="33"/>
      <c r="F40" s="32"/>
      <c r="G40" s="32"/>
      <c r="H40" s="32"/>
      <c r="I40" s="32"/>
      <c r="J40" s="32"/>
      <c r="K40" s="32"/>
      <c r="L40" s="32"/>
      <c r="M40" s="32"/>
      <c r="N40" s="32"/>
    </row>
    <row r="41" spans="1:14" ht="13.5" hidden="1">
      <c r="A41" s="32"/>
      <c r="B41" s="32"/>
      <c r="C41" s="32"/>
      <c r="D41" s="32"/>
      <c r="E41" s="33"/>
      <c r="F41" s="32"/>
      <c r="G41" s="32"/>
      <c r="H41" s="32"/>
      <c r="I41" s="32"/>
      <c r="J41" s="32"/>
      <c r="K41" s="32"/>
      <c r="L41" s="32"/>
      <c r="M41" s="32"/>
      <c r="N41" s="32"/>
    </row>
    <row r="42" spans="1:14" ht="13.5" hidden="1">
      <c r="A42" s="32"/>
      <c r="B42" s="32"/>
      <c r="C42" s="32"/>
      <c r="D42" s="32"/>
      <c r="E42" s="33"/>
      <c r="F42" s="32"/>
      <c r="G42" s="32"/>
      <c r="H42" s="32"/>
      <c r="I42" s="32"/>
      <c r="J42" s="32"/>
      <c r="K42" s="32"/>
      <c r="L42" s="32"/>
      <c r="M42" s="32"/>
      <c r="N42" s="32"/>
    </row>
    <row r="43" spans="1:14" ht="13.5" hidden="1">
      <c r="A43" s="32"/>
      <c r="B43" s="32"/>
      <c r="C43" s="32"/>
      <c r="D43" s="32"/>
      <c r="E43" s="33"/>
      <c r="F43" s="32"/>
      <c r="G43" s="32"/>
      <c r="H43" s="32"/>
      <c r="I43" s="32"/>
      <c r="J43" s="32"/>
      <c r="K43" s="32"/>
      <c r="L43" s="32"/>
      <c r="M43" s="32"/>
      <c r="N43" s="32"/>
    </row>
    <row r="44" spans="1:14" ht="13.5" hidden="1">
      <c r="A44" s="32"/>
      <c r="B44" s="32"/>
      <c r="C44" s="32"/>
      <c r="D44" s="32"/>
      <c r="E44" s="33"/>
      <c r="F44" s="32"/>
      <c r="G44" s="32"/>
      <c r="H44" s="32"/>
      <c r="I44" s="32"/>
      <c r="J44" s="32"/>
      <c r="K44" s="32"/>
      <c r="L44" s="32"/>
      <c r="M44" s="32"/>
      <c r="N44" s="32"/>
    </row>
    <row r="45" spans="1:14" ht="13.5" hidden="1">
      <c r="A45" s="32"/>
      <c r="B45" s="32"/>
      <c r="C45" s="32"/>
      <c r="D45" s="32"/>
      <c r="E45" s="33"/>
      <c r="F45" s="32"/>
      <c r="G45" s="32"/>
      <c r="H45" s="32"/>
      <c r="I45" s="32"/>
      <c r="J45" s="32"/>
      <c r="K45" s="32"/>
      <c r="L45" s="32"/>
      <c r="M45" s="32"/>
      <c r="N45" s="32"/>
    </row>
    <row r="46" spans="1:14" ht="13.5" hidden="1">
      <c r="A46" s="32"/>
      <c r="B46" s="32"/>
      <c r="C46" s="32"/>
      <c r="D46" s="32"/>
      <c r="E46" s="33"/>
      <c r="F46" s="32"/>
      <c r="G46" s="32"/>
      <c r="H46" s="32"/>
      <c r="I46" s="32"/>
      <c r="J46" s="32"/>
      <c r="K46" s="32"/>
      <c r="L46" s="32"/>
      <c r="M46" s="32"/>
      <c r="N46" s="32"/>
    </row>
    <row r="47" spans="1:14" ht="13.5" hidden="1">
      <c r="A47" s="32"/>
      <c r="B47" s="32"/>
      <c r="C47" s="32"/>
      <c r="D47" s="32"/>
      <c r="E47" s="33"/>
      <c r="F47" s="32"/>
      <c r="G47" s="32"/>
      <c r="H47" s="32"/>
      <c r="I47" s="32"/>
      <c r="J47" s="32"/>
      <c r="K47" s="32"/>
      <c r="L47" s="32"/>
      <c r="M47" s="32"/>
      <c r="N47" s="32"/>
    </row>
    <row r="48" spans="1:14" ht="13.5" hidden="1">
      <c r="A48" s="32"/>
      <c r="B48" s="32"/>
      <c r="C48" s="32"/>
      <c r="D48" s="32"/>
      <c r="E48" s="33"/>
      <c r="F48" s="32"/>
      <c r="G48" s="32"/>
      <c r="H48" s="32"/>
      <c r="I48" s="32"/>
      <c r="J48" s="32"/>
      <c r="K48" s="32"/>
      <c r="L48" s="32"/>
      <c r="M48" s="32"/>
      <c r="N48" s="32"/>
    </row>
    <row r="49" spans="1:14" ht="13.5" hidden="1">
      <c r="A49" s="32"/>
      <c r="B49" s="32"/>
      <c r="C49" s="32"/>
      <c r="D49" s="32"/>
      <c r="E49" s="33"/>
      <c r="F49" s="32"/>
      <c r="G49" s="32"/>
      <c r="H49" s="32"/>
      <c r="I49" s="32"/>
      <c r="J49" s="32"/>
      <c r="K49" s="32"/>
      <c r="L49" s="32"/>
      <c r="M49" s="32"/>
      <c r="N49" s="32"/>
    </row>
    <row r="50" spans="1:14" ht="13.5" hidden="1">
      <c r="A50" s="32"/>
      <c r="B50" s="32"/>
      <c r="C50" s="32"/>
      <c r="D50" s="32"/>
      <c r="E50" s="33"/>
      <c r="F50" s="32"/>
      <c r="G50" s="32"/>
      <c r="H50" s="32"/>
      <c r="I50" s="32"/>
      <c r="J50" s="32"/>
      <c r="K50" s="32"/>
      <c r="L50" s="32"/>
      <c r="M50" s="32"/>
      <c r="N50" s="32"/>
    </row>
    <row r="51" spans="1:14" ht="13.5" hidden="1">
      <c r="A51" s="32"/>
      <c r="B51" s="32"/>
      <c r="C51" s="32"/>
      <c r="D51" s="32"/>
      <c r="E51" s="33"/>
      <c r="F51" s="32"/>
      <c r="G51" s="32"/>
      <c r="H51" s="32"/>
      <c r="I51" s="32"/>
      <c r="J51" s="32"/>
      <c r="K51" s="32"/>
      <c r="L51" s="32"/>
      <c r="M51" s="32"/>
      <c r="N51" s="32"/>
    </row>
    <row r="52" spans="1:14" ht="13.5" hidden="1">
      <c r="A52" s="32"/>
      <c r="B52" s="32"/>
      <c r="C52" s="32"/>
      <c r="D52" s="32"/>
      <c r="E52" s="33"/>
      <c r="F52" s="32"/>
      <c r="G52" s="32"/>
      <c r="H52" s="32"/>
      <c r="I52" s="32"/>
      <c r="J52" s="32"/>
      <c r="K52" s="32"/>
      <c r="L52" s="32"/>
      <c r="M52" s="32"/>
      <c r="N52" s="32"/>
    </row>
    <row r="53" spans="1:14" ht="13.5" hidden="1">
      <c r="A53" s="32"/>
      <c r="B53" s="32"/>
      <c r="C53" s="32"/>
      <c r="D53" s="32"/>
      <c r="E53" s="33"/>
      <c r="F53" s="32"/>
      <c r="G53" s="32"/>
      <c r="H53" s="32"/>
      <c r="I53" s="32"/>
      <c r="J53" s="32"/>
      <c r="K53" s="32"/>
      <c r="L53" s="32"/>
      <c r="M53" s="32"/>
      <c r="N53" s="32"/>
    </row>
    <row r="54" spans="1:14" ht="13.5" hidden="1">
      <c r="A54" s="32"/>
      <c r="B54" s="32"/>
      <c r="C54" s="32"/>
      <c r="D54" s="32"/>
      <c r="E54" s="33"/>
      <c r="F54" s="32"/>
      <c r="G54" s="32"/>
      <c r="H54" s="32"/>
      <c r="I54" s="32"/>
      <c r="J54" s="32"/>
      <c r="K54" s="32"/>
      <c r="L54" s="32"/>
      <c r="M54" s="32"/>
      <c r="N54" s="32"/>
    </row>
    <row r="55" spans="1:14" ht="13.5" hidden="1">
      <c r="A55" s="32"/>
      <c r="B55" s="32"/>
      <c r="C55" s="32"/>
      <c r="D55" s="32"/>
      <c r="E55" s="33"/>
      <c r="F55" s="32"/>
      <c r="G55" s="32"/>
      <c r="H55" s="32"/>
      <c r="I55" s="32"/>
      <c r="J55" s="32"/>
      <c r="K55" s="32"/>
      <c r="L55" s="32"/>
      <c r="M55" s="32"/>
      <c r="N55" s="32"/>
    </row>
    <row r="56" spans="1:14" ht="13.5" hidden="1">
      <c r="A56" s="32"/>
      <c r="B56" s="32"/>
      <c r="C56" s="32"/>
      <c r="D56" s="32"/>
      <c r="E56" s="33"/>
      <c r="F56" s="32"/>
      <c r="G56" s="32"/>
      <c r="H56" s="32"/>
      <c r="I56" s="32"/>
      <c r="J56" s="32"/>
      <c r="K56" s="32"/>
      <c r="L56" s="32"/>
      <c r="M56" s="32"/>
      <c r="N56" s="32"/>
    </row>
    <row r="57" spans="1:14" ht="13.5" hidden="1">
      <c r="A57" s="32"/>
      <c r="B57" s="32"/>
      <c r="C57" s="32"/>
      <c r="D57" s="32"/>
      <c r="E57" s="33"/>
      <c r="F57" s="32"/>
      <c r="G57" s="32"/>
      <c r="H57" s="32"/>
      <c r="I57" s="32"/>
      <c r="J57" s="32"/>
      <c r="K57" s="32"/>
      <c r="L57" s="32"/>
      <c r="M57" s="32"/>
      <c r="N57" s="32"/>
    </row>
    <row r="58" spans="1:14" ht="13.5" hidden="1">
      <c r="A58" s="32"/>
      <c r="B58" s="32"/>
      <c r="C58" s="32"/>
      <c r="D58" s="32"/>
      <c r="E58" s="33"/>
      <c r="F58" s="32"/>
      <c r="G58" s="32"/>
      <c r="H58" s="32"/>
      <c r="I58" s="32"/>
      <c r="J58" s="32"/>
      <c r="K58" s="32"/>
      <c r="L58" s="32"/>
      <c r="M58" s="32"/>
      <c r="N58" s="32"/>
    </row>
    <row r="59" spans="1:14" ht="13.5" hidden="1">
      <c r="A59" s="32"/>
      <c r="B59" s="32"/>
      <c r="C59" s="32"/>
      <c r="D59" s="32"/>
      <c r="E59" s="33"/>
      <c r="F59" s="32"/>
      <c r="G59" s="32"/>
      <c r="H59" s="32"/>
      <c r="I59" s="32"/>
      <c r="J59" s="32"/>
      <c r="K59" s="32"/>
      <c r="L59" s="32"/>
      <c r="M59" s="32"/>
      <c r="N59" s="32"/>
    </row>
    <row r="60" spans="1:14" ht="13.5" hidden="1">
      <c r="A60" s="32"/>
      <c r="B60" s="32"/>
      <c r="C60" s="32"/>
      <c r="D60" s="32"/>
      <c r="E60" s="33"/>
      <c r="F60" s="32"/>
      <c r="G60" s="32"/>
      <c r="H60" s="32"/>
      <c r="I60" s="32"/>
      <c r="J60" s="32"/>
      <c r="K60" s="32"/>
      <c r="L60" s="32"/>
      <c r="M60" s="32"/>
      <c r="N60" s="32"/>
    </row>
    <row r="61" spans="1:14" ht="13.5" hidden="1">
      <c r="A61" s="32"/>
      <c r="B61" s="32"/>
      <c r="C61" s="32"/>
      <c r="D61" s="32"/>
      <c r="E61" s="33"/>
      <c r="F61" s="32"/>
      <c r="G61" s="32"/>
      <c r="H61" s="32"/>
      <c r="I61" s="32"/>
      <c r="J61" s="32"/>
      <c r="K61" s="32"/>
      <c r="L61" s="32"/>
      <c r="M61" s="32"/>
      <c r="N61" s="32"/>
    </row>
    <row r="62" spans="1:14" ht="13.5" hidden="1">
      <c r="A62" s="32"/>
      <c r="B62" s="32"/>
      <c r="C62" s="32"/>
      <c r="D62" s="32"/>
      <c r="E62" s="33"/>
      <c r="F62" s="32"/>
      <c r="G62" s="32"/>
      <c r="H62" s="32"/>
      <c r="I62" s="32"/>
      <c r="J62" s="32"/>
      <c r="K62" s="32"/>
      <c r="L62" s="32"/>
      <c r="M62" s="32"/>
      <c r="N62" s="32"/>
    </row>
    <row r="63" spans="1:14" ht="13.5" hidden="1">
      <c r="A63" s="32"/>
      <c r="B63" s="32"/>
      <c r="C63" s="32"/>
      <c r="D63" s="32"/>
      <c r="E63" s="33"/>
      <c r="F63" s="32"/>
      <c r="G63" s="32"/>
      <c r="H63" s="32"/>
      <c r="I63" s="32"/>
      <c r="J63" s="32"/>
      <c r="K63" s="32"/>
      <c r="L63" s="32"/>
      <c r="M63" s="32"/>
      <c r="N63" s="32"/>
    </row>
    <row r="64" spans="1:14" ht="13.5" hidden="1">
      <c r="A64" s="32"/>
      <c r="B64" s="32"/>
      <c r="C64" s="32"/>
      <c r="D64" s="32"/>
      <c r="E64" s="33"/>
      <c r="F64" s="32"/>
      <c r="G64" s="32"/>
      <c r="H64" s="32"/>
      <c r="I64" s="32"/>
      <c r="J64" s="32"/>
      <c r="K64" s="32"/>
      <c r="L64" s="32"/>
      <c r="M64" s="32"/>
      <c r="N64" s="32"/>
    </row>
    <row r="65" spans="1:14" ht="13.5" hidden="1">
      <c r="A65" s="32"/>
      <c r="B65" s="32"/>
      <c r="C65" s="32"/>
      <c r="D65" s="32"/>
      <c r="E65" s="33"/>
      <c r="F65" s="32"/>
      <c r="G65" s="32"/>
      <c r="H65" s="32"/>
      <c r="I65" s="32"/>
      <c r="J65" s="32"/>
      <c r="K65" s="32"/>
      <c r="L65" s="32"/>
      <c r="M65" s="32"/>
      <c r="N65" s="32"/>
    </row>
    <row r="66" spans="1:14" ht="13.5" hidden="1">
      <c r="A66" s="32"/>
      <c r="B66" s="32"/>
      <c r="C66" s="32"/>
      <c r="D66" s="32"/>
      <c r="E66" s="33"/>
      <c r="F66" s="32"/>
      <c r="G66" s="32"/>
      <c r="H66" s="32"/>
      <c r="I66" s="32"/>
      <c r="J66" s="32"/>
      <c r="K66" s="32"/>
      <c r="L66" s="32"/>
      <c r="M66" s="32"/>
      <c r="N66" s="32"/>
    </row>
    <row r="67" spans="1:14" ht="13.5" hidden="1">
      <c r="A67" s="32"/>
      <c r="B67" s="32"/>
      <c r="C67" s="32"/>
      <c r="D67" s="32"/>
      <c r="E67" s="33"/>
      <c r="F67" s="32"/>
      <c r="G67" s="32"/>
      <c r="H67" s="32"/>
      <c r="I67" s="32"/>
      <c r="J67" s="32"/>
      <c r="K67" s="32"/>
      <c r="L67" s="32"/>
      <c r="M67" s="32"/>
      <c r="N67" s="32"/>
    </row>
    <row r="68" spans="1:14" ht="13.5" hidden="1">
      <c r="A68" s="32"/>
      <c r="B68" s="32"/>
      <c r="C68" s="32"/>
      <c r="D68" s="32"/>
      <c r="E68" s="33"/>
      <c r="F68" s="32"/>
      <c r="G68" s="32"/>
      <c r="H68" s="32"/>
      <c r="I68" s="32"/>
      <c r="J68" s="32"/>
      <c r="K68" s="32"/>
      <c r="L68" s="32"/>
      <c r="M68" s="32"/>
      <c r="N68" s="32"/>
    </row>
    <row r="69" spans="1:14" ht="13.5" hidden="1">
      <c r="A69" s="32"/>
      <c r="B69" s="32"/>
      <c r="C69" s="32"/>
      <c r="D69" s="32"/>
      <c r="E69" s="33"/>
      <c r="F69" s="32"/>
      <c r="G69" s="32"/>
      <c r="H69" s="32"/>
      <c r="I69" s="32"/>
      <c r="J69" s="32"/>
      <c r="K69" s="32"/>
      <c r="L69" s="32"/>
      <c r="M69" s="32"/>
      <c r="N69" s="32"/>
    </row>
    <row r="70" spans="1:14" ht="13.5" hidden="1">
      <c r="A70" s="32"/>
      <c r="B70" s="32"/>
      <c r="C70" s="32"/>
      <c r="D70" s="32"/>
      <c r="E70" s="33"/>
      <c r="F70" s="32"/>
      <c r="G70" s="32"/>
      <c r="H70" s="32"/>
      <c r="I70" s="32"/>
      <c r="J70" s="32"/>
      <c r="K70" s="32"/>
      <c r="L70" s="32"/>
      <c r="M70" s="32"/>
      <c r="N70" s="32"/>
    </row>
    <row r="71" spans="1:14" ht="13.5" hidden="1">
      <c r="A71" s="32"/>
      <c r="B71" s="32"/>
      <c r="C71" s="32"/>
      <c r="D71" s="32"/>
      <c r="E71" s="33"/>
      <c r="F71" s="32"/>
      <c r="G71" s="32"/>
      <c r="H71" s="32"/>
      <c r="I71" s="32"/>
      <c r="J71" s="32"/>
      <c r="K71" s="32"/>
      <c r="L71" s="32"/>
      <c r="M71" s="32"/>
      <c r="N71" s="32"/>
    </row>
    <row r="72" spans="1:14" ht="13.5" hidden="1">
      <c r="A72" s="32"/>
      <c r="B72" s="32"/>
      <c r="C72" s="32"/>
      <c r="D72" s="32"/>
      <c r="E72" s="33"/>
      <c r="F72" s="32"/>
      <c r="G72" s="32"/>
      <c r="H72" s="32"/>
      <c r="I72" s="32"/>
      <c r="J72" s="32"/>
      <c r="K72" s="32"/>
      <c r="L72" s="32"/>
      <c r="M72" s="32"/>
      <c r="N72" s="32"/>
    </row>
    <row r="73" spans="1:14" ht="13.5" hidden="1">
      <c r="A73" s="32"/>
      <c r="B73" s="32"/>
      <c r="C73" s="32"/>
      <c r="D73" s="32"/>
      <c r="E73" s="33"/>
      <c r="F73" s="32"/>
      <c r="G73" s="32"/>
      <c r="H73" s="32"/>
      <c r="I73" s="32"/>
      <c r="J73" s="32"/>
      <c r="K73" s="32"/>
      <c r="L73" s="32"/>
      <c r="M73" s="32"/>
      <c r="N73" s="32"/>
    </row>
    <row r="74" spans="1:14" ht="13.5" hidden="1">
      <c r="A74" s="32"/>
      <c r="B74" s="32"/>
      <c r="C74" s="32"/>
      <c r="D74" s="32"/>
      <c r="E74" s="33"/>
      <c r="F74" s="32"/>
      <c r="G74" s="32"/>
      <c r="H74" s="32"/>
      <c r="I74" s="32"/>
      <c r="J74" s="32"/>
      <c r="K74" s="32"/>
      <c r="L74" s="32"/>
      <c r="M74" s="32"/>
      <c r="N74" s="32"/>
    </row>
    <row r="75" spans="1:14" ht="13.5" hidden="1">
      <c r="A75" s="32"/>
      <c r="B75" s="32"/>
      <c r="C75" s="32"/>
      <c r="D75" s="32"/>
      <c r="E75" s="33"/>
      <c r="F75" s="32"/>
      <c r="G75" s="32"/>
      <c r="H75" s="32"/>
      <c r="I75" s="32"/>
      <c r="J75" s="32"/>
      <c r="K75" s="32"/>
      <c r="L75" s="32"/>
      <c r="M75" s="32"/>
      <c r="N75" s="32"/>
    </row>
    <row r="76" spans="1:14" ht="13.5" hidden="1">
      <c r="A76" s="32"/>
      <c r="B76" s="32"/>
      <c r="C76" s="32"/>
      <c r="D76" s="32"/>
      <c r="E76" s="33"/>
      <c r="F76" s="32"/>
      <c r="G76" s="32"/>
      <c r="H76" s="32"/>
      <c r="I76" s="32"/>
      <c r="J76" s="32"/>
      <c r="K76" s="32"/>
      <c r="L76" s="32"/>
      <c r="M76" s="32"/>
      <c r="N76" s="32"/>
    </row>
    <row r="77" spans="1:14" ht="13.5" hidden="1">
      <c r="A77" s="32"/>
      <c r="B77" s="32"/>
      <c r="C77" s="32"/>
      <c r="D77" s="32"/>
      <c r="E77" s="33"/>
      <c r="F77" s="32"/>
      <c r="G77" s="32"/>
      <c r="H77" s="32"/>
      <c r="I77" s="32"/>
      <c r="J77" s="32"/>
      <c r="K77" s="32"/>
      <c r="L77" s="32"/>
      <c r="M77" s="32"/>
      <c r="N77" s="32"/>
    </row>
    <row r="78" spans="1:14" ht="13.5" hidden="1">
      <c r="A78" s="32"/>
      <c r="B78" s="32"/>
      <c r="C78" s="32"/>
      <c r="D78" s="32"/>
      <c r="E78" s="33"/>
      <c r="F78" s="32"/>
      <c r="G78" s="32"/>
      <c r="H78" s="32"/>
      <c r="I78" s="32"/>
      <c r="J78" s="32"/>
      <c r="K78" s="32"/>
      <c r="L78" s="32"/>
      <c r="M78" s="32"/>
      <c r="N78" s="32"/>
    </row>
    <row r="79" spans="1:14" ht="13.5" hidden="1">
      <c r="A79" s="32"/>
      <c r="B79" s="32"/>
      <c r="C79" s="32"/>
      <c r="D79" s="32"/>
      <c r="E79" s="33"/>
      <c r="F79" s="32"/>
      <c r="G79" s="32"/>
      <c r="H79" s="32"/>
      <c r="I79" s="32"/>
      <c r="J79" s="32"/>
      <c r="K79" s="32"/>
      <c r="L79" s="32"/>
      <c r="M79" s="32"/>
      <c r="N79" s="32"/>
    </row>
    <row r="80" spans="1:14" ht="13.5" hidden="1">
      <c r="A80" s="32"/>
      <c r="B80" s="32"/>
      <c r="C80" s="32"/>
      <c r="D80" s="32"/>
      <c r="E80" s="33"/>
      <c r="F80" s="32"/>
      <c r="G80" s="32"/>
      <c r="H80" s="32"/>
      <c r="I80" s="32"/>
      <c r="J80" s="32"/>
      <c r="K80" s="32"/>
      <c r="L80" s="32"/>
      <c r="M80" s="32"/>
      <c r="N80" s="32"/>
    </row>
    <row r="81" spans="1:14" ht="13.5" hidden="1">
      <c r="A81" s="32"/>
      <c r="B81" s="32"/>
      <c r="C81" s="32"/>
      <c r="D81" s="32"/>
      <c r="E81" s="33"/>
      <c r="F81" s="32"/>
      <c r="G81" s="32"/>
      <c r="H81" s="32"/>
      <c r="I81" s="32"/>
      <c r="J81" s="32"/>
      <c r="K81" s="32"/>
      <c r="L81" s="32"/>
      <c r="M81" s="32"/>
      <c r="N81" s="32"/>
    </row>
  </sheetData>
  <pageMargins left="0.70866141732283472" right="0.70866141732283472" top="0.74803149606299213" bottom="0.74803149606299213" header="0.31496062992125984" footer="0.31496062992125984"/>
  <pageSetup paperSize="8" orientation="landscape" r:id="rId1"/>
  <headerFooter>
    <oddHeader>&amp;C&amp;A</oddHeader>
    <oddFooter>&amp;L&amp;D &amp;T&amp;C&amp;Z&amp;R&amp;F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C000"/>
  </sheetPr>
  <dimension ref="A1:E55"/>
  <sheetViews>
    <sheetView topLeftCell="A22" zoomScaleNormal="100" workbookViewId="0">
      <selection activeCell="C42" sqref="C42"/>
    </sheetView>
  </sheetViews>
  <sheetFormatPr defaultColWidth="0" defaultRowHeight="12.75" customHeight="1" zeroHeight="1"/>
  <cols>
    <col min="1" max="1" width="10.3828125" style="34" bestFit="1" customWidth="1"/>
    <col min="2" max="2" width="9.3828125" style="34" bestFit="1" customWidth="1"/>
    <col min="3" max="3" width="100.765625" style="34" customWidth="1"/>
    <col min="4" max="4" width="2.61328125" style="32" customWidth="1"/>
    <col min="5" max="5" width="9" style="35" hidden="1" customWidth="1"/>
    <col min="6" max="16384" width="9" style="34" hidden="1"/>
  </cols>
  <sheetData>
    <row r="1" spans="1:5" s="28" customFormat="1" ht="15">
      <c r="A1" s="28" t="s">
        <v>114</v>
      </c>
      <c r="E1" s="36"/>
    </row>
    <row r="2" spans="1:5" s="28" customFormat="1" ht="15">
      <c r="A2" s="28" t="str">
        <f>CompName</f>
        <v>National Grid Electricity System Operator Ltd</v>
      </c>
      <c r="E2" s="36"/>
    </row>
    <row r="3" spans="1:5" s="28" customFormat="1" ht="15">
      <c r="A3" s="15" t="str">
        <f>'R5 Input page'!F7</f>
        <v>Regulatory Year ending 31 March 2021</v>
      </c>
      <c r="B3" s="37"/>
      <c r="C3" s="37"/>
      <c r="D3" s="37"/>
      <c r="E3" s="36"/>
    </row>
    <row r="4" spans="1:5" s="28" customFormat="1" ht="15">
      <c r="A4" s="37"/>
      <c r="B4" s="37"/>
      <c r="C4" s="37"/>
      <c r="D4" s="37"/>
      <c r="E4" s="36"/>
    </row>
    <row r="5" spans="1:5" s="28" customFormat="1" ht="15">
      <c r="A5" s="37"/>
      <c r="B5" s="37"/>
      <c r="C5" s="37"/>
      <c r="D5" s="37"/>
      <c r="E5" s="36"/>
    </row>
    <row r="6" spans="1:5" s="28" customFormat="1" ht="15">
      <c r="A6" s="28" t="s">
        <v>115</v>
      </c>
      <c r="B6" s="28" t="s">
        <v>116</v>
      </c>
      <c r="C6" s="28" t="s">
        <v>117</v>
      </c>
      <c r="E6" s="36"/>
    </row>
    <row r="7" spans="1:5" ht="13.5">
      <c r="A7" s="105">
        <v>43881</v>
      </c>
      <c r="B7" s="26" t="s">
        <v>629</v>
      </c>
      <c r="C7" s="355" t="s">
        <v>1009</v>
      </c>
    </row>
    <row r="8" spans="1:5" ht="13.5">
      <c r="A8" s="105">
        <f>A7</f>
        <v>43881</v>
      </c>
      <c r="B8" s="26" t="str">
        <f>B7</f>
        <v>v1</v>
      </c>
      <c r="C8" s="355" t="s">
        <v>1010</v>
      </c>
    </row>
    <row r="9" spans="1:5" ht="13.5">
      <c r="A9" s="105">
        <f>A8</f>
        <v>43881</v>
      </c>
      <c r="B9" s="26" t="str">
        <f t="shared" ref="B9:B10" si="0">B8</f>
        <v>v1</v>
      </c>
      <c r="C9" s="361" t="s">
        <v>1011</v>
      </c>
    </row>
    <row r="10" spans="1:5" ht="121.5">
      <c r="A10" s="105">
        <f>A9</f>
        <v>43881</v>
      </c>
      <c r="B10" s="26" t="str">
        <f t="shared" si="0"/>
        <v>v1</v>
      </c>
      <c r="C10" s="308" t="s">
        <v>1024</v>
      </c>
    </row>
    <row r="11" spans="1:5" ht="67.5">
      <c r="A11" s="105">
        <f t="shared" ref="A11:A26" si="1">A10</f>
        <v>43881</v>
      </c>
      <c r="B11" s="26" t="str">
        <f t="shared" ref="B11:B26" si="2">B10</f>
        <v>v1</v>
      </c>
      <c r="C11" s="355" t="s">
        <v>1012</v>
      </c>
    </row>
    <row r="12" spans="1:5" ht="54">
      <c r="A12" s="105">
        <f t="shared" si="1"/>
        <v>43881</v>
      </c>
      <c r="B12" s="26" t="str">
        <f t="shared" si="2"/>
        <v>v1</v>
      </c>
      <c r="C12" s="355" t="s">
        <v>1020</v>
      </c>
    </row>
    <row r="13" spans="1:5" ht="121.5">
      <c r="A13" s="105">
        <f t="shared" si="1"/>
        <v>43881</v>
      </c>
      <c r="B13" s="26" t="str">
        <f t="shared" si="2"/>
        <v>v1</v>
      </c>
      <c r="C13" s="355" t="s">
        <v>1022</v>
      </c>
    </row>
    <row r="14" spans="1:5" ht="27">
      <c r="A14" s="105">
        <f t="shared" si="1"/>
        <v>43881</v>
      </c>
      <c r="B14" s="26" t="str">
        <f t="shared" si="2"/>
        <v>v1</v>
      </c>
      <c r="C14" s="355" t="s">
        <v>1021</v>
      </c>
    </row>
    <row r="15" spans="1:5" ht="40.5">
      <c r="A15" s="105">
        <f t="shared" si="1"/>
        <v>43881</v>
      </c>
      <c r="B15" s="26" t="str">
        <f t="shared" si="2"/>
        <v>v1</v>
      </c>
      <c r="C15" s="355" t="s">
        <v>1025</v>
      </c>
    </row>
    <row r="16" spans="1:5" ht="13.5">
      <c r="A16" s="105">
        <f t="shared" si="1"/>
        <v>43881</v>
      </c>
      <c r="B16" s="26" t="str">
        <f t="shared" si="2"/>
        <v>v1</v>
      </c>
      <c r="C16" s="355" t="s">
        <v>1023</v>
      </c>
    </row>
    <row r="17" spans="1:5" ht="27">
      <c r="A17" s="105">
        <f t="shared" si="1"/>
        <v>43881</v>
      </c>
      <c r="B17" s="26" t="str">
        <f t="shared" si="2"/>
        <v>v1</v>
      </c>
      <c r="C17" s="355" t="s">
        <v>1026</v>
      </c>
    </row>
    <row r="18" spans="1:5" ht="67.5">
      <c r="A18" s="105">
        <f t="shared" si="1"/>
        <v>43881</v>
      </c>
      <c r="B18" s="26" t="str">
        <f t="shared" si="2"/>
        <v>v1</v>
      </c>
      <c r="C18" s="355" t="s">
        <v>1028</v>
      </c>
    </row>
    <row r="19" spans="1:5" ht="40.5">
      <c r="A19" s="105">
        <f t="shared" si="1"/>
        <v>43881</v>
      </c>
      <c r="B19" s="26" t="str">
        <f t="shared" si="2"/>
        <v>v1</v>
      </c>
      <c r="C19" s="355" t="s">
        <v>1027</v>
      </c>
    </row>
    <row r="20" spans="1:5" ht="40.5">
      <c r="A20" s="105">
        <f t="shared" si="1"/>
        <v>43881</v>
      </c>
      <c r="B20" s="26" t="str">
        <f t="shared" si="2"/>
        <v>v1</v>
      </c>
      <c r="C20" s="355" t="s">
        <v>1019</v>
      </c>
    </row>
    <row r="21" spans="1:5" ht="13.5">
      <c r="A21" s="105">
        <f t="shared" si="1"/>
        <v>43881</v>
      </c>
      <c r="B21" s="26" t="str">
        <f t="shared" si="2"/>
        <v>v1</v>
      </c>
      <c r="C21" s="355" t="s">
        <v>1018</v>
      </c>
    </row>
    <row r="22" spans="1:5" ht="13.5">
      <c r="A22" s="105">
        <f t="shared" si="1"/>
        <v>43881</v>
      </c>
      <c r="B22" s="26" t="str">
        <f t="shared" si="2"/>
        <v>v1</v>
      </c>
      <c r="C22" s="308" t="s">
        <v>1017</v>
      </c>
    </row>
    <row r="23" spans="1:5" ht="27">
      <c r="A23" s="105">
        <f t="shared" si="1"/>
        <v>43881</v>
      </c>
      <c r="B23" s="26" t="str">
        <f t="shared" si="2"/>
        <v>v1</v>
      </c>
      <c r="C23" s="308" t="s">
        <v>1016</v>
      </c>
    </row>
    <row r="24" spans="1:5" ht="13.5">
      <c r="A24" s="105">
        <f t="shared" si="1"/>
        <v>43881</v>
      </c>
      <c r="B24" s="26" t="str">
        <f t="shared" si="2"/>
        <v>v1</v>
      </c>
      <c r="C24" s="308" t="s">
        <v>1015</v>
      </c>
    </row>
    <row r="25" spans="1:5" ht="27">
      <c r="A25" s="105">
        <f t="shared" si="1"/>
        <v>43881</v>
      </c>
      <c r="B25" s="26" t="str">
        <f t="shared" si="2"/>
        <v>v1</v>
      </c>
      <c r="C25" s="308" t="s">
        <v>1014</v>
      </c>
    </row>
    <row r="26" spans="1:5" ht="13.5">
      <c r="A26" s="105">
        <f t="shared" si="1"/>
        <v>43881</v>
      </c>
      <c r="B26" s="26" t="str">
        <f t="shared" si="2"/>
        <v>v1</v>
      </c>
      <c r="C26" s="355" t="s">
        <v>1013</v>
      </c>
    </row>
    <row r="27" spans="1:5" s="32" customFormat="1" ht="27">
      <c r="A27" s="105">
        <v>43935</v>
      </c>
      <c r="B27" s="26" t="s">
        <v>1029</v>
      </c>
      <c r="C27" s="355" t="s">
        <v>1032</v>
      </c>
      <c r="E27" s="33"/>
    </row>
    <row r="28" spans="1:5" s="32" customFormat="1" ht="13.5">
      <c r="A28" s="564">
        <v>43943</v>
      </c>
      <c r="B28" s="26" t="s">
        <v>1033</v>
      </c>
      <c r="C28" s="308" t="s">
        <v>1034</v>
      </c>
      <c r="E28" s="33"/>
    </row>
    <row r="29" spans="1:5" ht="13.5">
      <c r="A29" s="105">
        <v>43879</v>
      </c>
      <c r="B29" s="26" t="s">
        <v>1046</v>
      </c>
      <c r="C29" s="308" t="s">
        <v>1047</v>
      </c>
    </row>
    <row r="30" spans="1:5" ht="13.5">
      <c r="A30" s="105">
        <v>43879</v>
      </c>
      <c r="B30" s="26" t="s">
        <v>1046</v>
      </c>
      <c r="C30" s="308" t="s">
        <v>1050</v>
      </c>
    </row>
    <row r="31" spans="1:5" ht="27">
      <c r="A31" s="105">
        <v>43879</v>
      </c>
      <c r="B31" s="26" t="s">
        <v>1046</v>
      </c>
      <c r="C31" s="355" t="s">
        <v>1048</v>
      </c>
    </row>
    <row r="32" spans="1:5" ht="27">
      <c r="A32" s="105">
        <v>43879</v>
      </c>
      <c r="B32" s="26" t="s">
        <v>1046</v>
      </c>
      <c r="C32" s="308" t="s">
        <v>1049</v>
      </c>
    </row>
    <row r="33" spans="1:3" ht="12.75" customHeight="1">
      <c r="A33" s="105">
        <v>43879</v>
      </c>
      <c r="B33" s="26" t="s">
        <v>1046</v>
      </c>
      <c r="C33" s="308" t="s">
        <v>1051</v>
      </c>
    </row>
    <row r="34" spans="1:3" ht="12.75" customHeight="1">
      <c r="A34" s="105">
        <v>43879</v>
      </c>
      <c r="B34" s="26" t="s">
        <v>1046</v>
      </c>
      <c r="C34" s="308" t="s">
        <v>1052</v>
      </c>
    </row>
    <row r="35" spans="1:3" ht="12.75" customHeight="1">
      <c r="A35" s="105">
        <v>43879</v>
      </c>
      <c r="B35" s="26" t="s">
        <v>1046</v>
      </c>
      <c r="C35" s="308" t="s">
        <v>1053</v>
      </c>
    </row>
    <row r="36" spans="1:3" ht="27">
      <c r="A36" s="105">
        <v>43879</v>
      </c>
      <c r="B36" s="26" t="s">
        <v>1046</v>
      </c>
      <c r="C36" s="308" t="s">
        <v>1054</v>
      </c>
    </row>
    <row r="37" spans="1:3" ht="12.75" customHeight="1">
      <c r="A37" s="105">
        <v>43879</v>
      </c>
      <c r="B37" s="26" t="s">
        <v>1046</v>
      </c>
      <c r="C37" s="308" t="s">
        <v>1055</v>
      </c>
    </row>
    <row r="38" spans="1:3" ht="27">
      <c r="A38" s="105">
        <v>44313</v>
      </c>
      <c r="B38" s="26" t="s">
        <v>1057</v>
      </c>
      <c r="C38" s="615" t="s">
        <v>1059</v>
      </c>
    </row>
    <row r="39" spans="1:3" ht="12.75" customHeight="1"/>
    <row r="40" spans="1:3" ht="12.75" customHeight="1"/>
    <row r="41" spans="1:3" ht="12.75" customHeight="1"/>
    <row r="42" spans="1:3" ht="12.75" customHeight="1"/>
    <row r="43" spans="1:3" ht="12.75" customHeight="1"/>
    <row r="44" spans="1:3" ht="12.75" customHeight="1"/>
    <row r="45" spans="1:3" ht="12.75" customHeight="1"/>
    <row r="46" spans="1:3" ht="12.75" customHeight="1"/>
    <row r="47" spans="1:3" ht="12.75" customHeight="1"/>
    <row r="48" spans="1:3" ht="12.75" customHeight="1"/>
    <row r="49" ht="12.75" customHeight="1"/>
    <row r="50" ht="12.75" customHeight="1"/>
    <row r="51" ht="12.75" customHeight="1"/>
    <row r="52" ht="12.75" customHeight="1"/>
    <row r="55" ht="12.75" customHeight="1"/>
  </sheetData>
  <pageMargins left="0.70866141732283472" right="0.70866141732283472" top="0.74803149606299213" bottom="0.74803149606299213" header="0.31496062992125984" footer="0.31496062992125984"/>
  <pageSetup paperSize="8" orientation="landscape" r:id="rId1"/>
  <headerFooter>
    <oddHeader>&amp;C&amp;A</oddHeader>
    <oddFooter>&amp;L&amp;D&amp;T&amp;C&amp;Z&amp;R&amp;F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C000"/>
    <pageSetUpPr fitToPage="1"/>
  </sheetPr>
  <dimension ref="A1:AB265"/>
  <sheetViews>
    <sheetView showGridLines="0" zoomScale="85" zoomScaleNormal="85" zoomScaleSheetLayoutView="100" workbookViewId="0">
      <selection activeCell="C5" sqref="C5"/>
    </sheetView>
  </sheetViews>
  <sheetFormatPr defaultColWidth="0" defaultRowHeight="12.75" customHeight="1" zeroHeight="1"/>
  <cols>
    <col min="1" max="1" width="40.84375" style="44" customWidth="1"/>
    <col min="2" max="2" width="12.61328125" style="44" customWidth="1"/>
    <col min="3" max="3" width="11.3828125" style="50" customWidth="1"/>
    <col min="4" max="4" width="9.15234375" style="50" customWidth="1"/>
    <col min="5" max="5" width="10.15234375" style="50" customWidth="1"/>
    <col min="6" max="13" width="10.15234375" style="39" bestFit="1" customWidth="1"/>
    <col min="14" max="14" width="13.3828125" style="44" bestFit="1" customWidth="1"/>
    <col min="15" max="15" width="9" style="44" hidden="1" customWidth="1"/>
    <col min="16" max="28" width="0" style="44" hidden="1" customWidth="1"/>
    <col min="29" max="16384" width="9" style="44" hidden="1"/>
  </cols>
  <sheetData>
    <row r="1" spans="1:17" s="39" customFormat="1" ht="15">
      <c r="A1" s="38" t="s">
        <v>118</v>
      </c>
      <c r="C1" s="40"/>
      <c r="D1" s="40"/>
      <c r="E1" s="40"/>
    </row>
    <row r="2" spans="1:17" s="39" customFormat="1" ht="15">
      <c r="A2" s="38" t="str">
        <f>CompName</f>
        <v>National Grid Electricity System Operator Ltd</v>
      </c>
      <c r="C2" s="40"/>
      <c r="D2" s="40"/>
      <c r="E2" s="40"/>
    </row>
    <row r="3" spans="1:17" s="39" customFormat="1" ht="13.5">
      <c r="A3" s="41" t="str">
        <f>'R5 Input page'!F7</f>
        <v>Regulatory Year ending 31 March 2021</v>
      </c>
      <c r="C3" s="40"/>
      <c r="D3" s="40"/>
      <c r="E3" s="40"/>
    </row>
    <row r="4" spans="1:17" ht="15">
      <c r="A4" s="38"/>
      <c r="B4" s="39"/>
      <c r="C4" s="42"/>
      <c r="D4" s="42"/>
      <c r="E4" s="42"/>
      <c r="F4" s="42"/>
      <c r="G4" s="42"/>
      <c r="H4" s="42"/>
      <c r="I4" s="616" t="s">
        <v>119</v>
      </c>
      <c r="J4" s="616"/>
      <c r="K4" s="617"/>
      <c r="L4" s="42"/>
      <c r="M4" s="42"/>
      <c r="N4" s="43"/>
    </row>
    <row r="5" spans="1:17" ht="15">
      <c r="A5" s="38" t="s">
        <v>120</v>
      </c>
      <c r="B5" s="39"/>
      <c r="C5" s="42" t="s">
        <v>0</v>
      </c>
      <c r="D5" s="53">
        <v>2012</v>
      </c>
      <c r="E5" s="53">
        <v>2013</v>
      </c>
      <c r="F5" s="53">
        <v>2014</v>
      </c>
      <c r="G5" s="53">
        <v>2015</v>
      </c>
      <c r="H5" s="53">
        <v>2016</v>
      </c>
      <c r="I5" s="53">
        <v>2017</v>
      </c>
      <c r="J5" s="53">
        <v>2018</v>
      </c>
      <c r="K5" s="53">
        <v>2019</v>
      </c>
      <c r="L5" s="53">
        <v>2020</v>
      </c>
      <c r="M5" s="53">
        <v>2021</v>
      </c>
      <c r="N5" s="43" t="s">
        <v>121</v>
      </c>
    </row>
    <row r="6" spans="1:17" s="47" customFormat="1" ht="13.5">
      <c r="A6" s="45"/>
      <c r="B6" s="45"/>
      <c r="C6" s="45"/>
      <c r="D6" s="45"/>
      <c r="E6" s="45"/>
      <c r="F6" s="45"/>
      <c r="G6" s="45"/>
      <c r="H6" s="45"/>
      <c r="I6" s="45"/>
      <c r="J6" s="45"/>
      <c r="K6" s="45"/>
      <c r="L6" s="45"/>
      <c r="M6" s="45"/>
      <c r="N6" s="45"/>
      <c r="O6" s="45"/>
      <c r="P6" s="46"/>
      <c r="Q6" s="45"/>
    </row>
    <row r="7" spans="1:17" ht="13.5">
      <c r="B7" s="48"/>
      <c r="C7" s="275"/>
      <c r="D7" s="49"/>
      <c r="E7" s="49"/>
      <c r="F7" s="48"/>
      <c r="G7" s="48"/>
      <c r="I7" s="42"/>
      <c r="J7" s="42"/>
      <c r="K7" s="42"/>
      <c r="L7" s="42"/>
      <c r="M7" s="42"/>
      <c r="N7" s="43"/>
    </row>
    <row r="8" spans="1:17" ht="15">
      <c r="A8" s="38" t="s">
        <v>123</v>
      </c>
      <c r="B8" s="48"/>
      <c r="C8" s="49"/>
      <c r="D8" s="49"/>
      <c r="E8" s="49"/>
      <c r="F8" s="48"/>
      <c r="G8" s="48"/>
      <c r="I8" s="42"/>
      <c r="J8" s="42"/>
      <c r="K8" s="42"/>
      <c r="L8" s="42"/>
      <c r="M8" s="42"/>
      <c r="N8" s="43"/>
    </row>
    <row r="9" spans="1:17" ht="13.5" hidden="1">
      <c r="A9" s="39" t="s">
        <v>631</v>
      </c>
      <c r="B9" s="39" t="s">
        <v>124</v>
      </c>
      <c r="C9" s="350" t="s">
        <v>630</v>
      </c>
      <c r="D9" s="40"/>
      <c r="E9" s="40"/>
      <c r="F9" s="106">
        <v>1342.2809999999999</v>
      </c>
      <c r="G9" s="106">
        <v>1443.829</v>
      </c>
      <c r="H9" s="106">
        <v>1475.5930000000001</v>
      </c>
      <c r="I9" s="106">
        <v>1571.3869999999999</v>
      </c>
      <c r="J9" s="106">
        <v>1554.942</v>
      </c>
      <c r="K9" s="106">
        <v>1587.627</v>
      </c>
      <c r="L9" s="106">
        <v>1585.2280000000001</v>
      </c>
      <c r="M9" s="106">
        <v>1571.5840000000001</v>
      </c>
      <c r="N9" s="43" t="s">
        <v>124</v>
      </c>
      <c r="O9" s="41"/>
      <c r="P9" s="41"/>
      <c r="Q9" s="41"/>
    </row>
    <row r="10" spans="1:17" ht="13.5">
      <c r="A10" s="39" t="s">
        <v>632</v>
      </c>
      <c r="B10" s="39" t="s">
        <v>304</v>
      </c>
      <c r="C10" s="350" t="s">
        <v>630</v>
      </c>
      <c r="F10" s="106">
        <v>113.976</v>
      </c>
      <c r="G10" s="106">
        <v>113.533</v>
      </c>
      <c r="H10" s="106">
        <v>114.357</v>
      </c>
      <c r="I10" s="106">
        <v>116.705</v>
      </c>
      <c r="J10" s="106">
        <v>122.833</v>
      </c>
      <c r="K10" s="106">
        <v>117.524</v>
      </c>
      <c r="L10" s="106">
        <v>124.73099999999999</v>
      </c>
      <c r="M10" s="106">
        <v>126.191</v>
      </c>
      <c r="N10" s="43" t="s">
        <v>304</v>
      </c>
    </row>
    <row r="11" spans="1:17" ht="15">
      <c r="A11" s="38" t="s">
        <v>125</v>
      </c>
      <c r="B11" s="39"/>
      <c r="C11" s="40"/>
      <c r="N11" s="43"/>
    </row>
    <row r="12" spans="1:17" ht="13.5">
      <c r="A12" s="39" t="s">
        <v>633</v>
      </c>
      <c r="B12" s="39" t="s">
        <v>137</v>
      </c>
      <c r="C12" s="350" t="s">
        <v>630</v>
      </c>
      <c r="F12" s="527"/>
      <c r="G12" s="527"/>
      <c r="H12" s="527"/>
      <c r="I12" s="527"/>
      <c r="J12" s="527"/>
      <c r="K12" s="527"/>
      <c r="L12" s="106">
        <v>0</v>
      </c>
      <c r="M12" s="106">
        <v>0</v>
      </c>
      <c r="N12" s="43" t="s">
        <v>137</v>
      </c>
    </row>
    <row r="13" spans="1:17" ht="13.5">
      <c r="A13" s="39" t="s">
        <v>634</v>
      </c>
      <c r="B13" s="39" t="s">
        <v>139</v>
      </c>
      <c r="C13" s="350" t="s">
        <v>630</v>
      </c>
      <c r="D13" s="527"/>
      <c r="E13" s="527"/>
      <c r="F13" s="527"/>
      <c r="G13" s="527"/>
      <c r="H13" s="527"/>
      <c r="I13" s="527"/>
      <c r="J13" s="527"/>
      <c r="K13" s="527"/>
      <c r="L13" s="106">
        <v>0</v>
      </c>
      <c r="M13" s="106">
        <v>0</v>
      </c>
      <c r="N13" s="43" t="s">
        <v>139</v>
      </c>
    </row>
    <row r="14" spans="1:17" ht="13.5">
      <c r="A14" s="39" t="s">
        <v>635</v>
      </c>
      <c r="B14" s="39" t="s">
        <v>152</v>
      </c>
      <c r="C14" s="350" t="s">
        <v>630</v>
      </c>
      <c r="D14" s="527"/>
      <c r="E14" s="527"/>
      <c r="F14" s="527"/>
      <c r="G14" s="527"/>
      <c r="H14" s="527"/>
      <c r="I14" s="527"/>
      <c r="J14" s="527"/>
      <c r="K14" s="527"/>
      <c r="L14" s="106">
        <v>0</v>
      </c>
      <c r="M14" s="106">
        <v>0</v>
      </c>
      <c r="N14" s="43" t="s">
        <v>152</v>
      </c>
    </row>
    <row r="15" spans="1:17" ht="13.5">
      <c r="A15" s="45"/>
      <c r="B15" s="39"/>
      <c r="C15" s="39"/>
      <c r="D15" s="39"/>
      <c r="E15" s="39"/>
      <c r="N15" s="43"/>
    </row>
    <row r="16" spans="1:17" ht="13.5">
      <c r="A16" s="39"/>
      <c r="B16" s="39"/>
      <c r="D16" s="40"/>
      <c r="E16" s="40"/>
      <c r="N16" s="43"/>
    </row>
    <row r="17" spans="1:17" ht="12" customHeight="1">
      <c r="A17" s="39"/>
      <c r="B17" s="51"/>
      <c r="N17" s="43"/>
    </row>
    <row r="18" spans="1:17" ht="12.75" customHeight="1"/>
    <row r="19" spans="1:17" ht="15">
      <c r="A19" s="63" t="s">
        <v>216</v>
      </c>
    </row>
    <row r="20" spans="1:17" ht="12.75" customHeight="1"/>
    <row r="21" spans="1:17" ht="12.75" hidden="1" customHeight="1">
      <c r="A21" s="62" t="s">
        <v>217</v>
      </c>
    </row>
    <row r="22" spans="1:17" ht="12.75" hidden="1" customHeight="1">
      <c r="A22" s="65" t="s">
        <v>636</v>
      </c>
      <c r="B22" s="65" t="s">
        <v>218</v>
      </c>
      <c r="C22" s="453" t="s">
        <v>630</v>
      </c>
      <c r="F22" s="95">
        <v>1.6E-2</v>
      </c>
      <c r="G22" s="95">
        <v>1.6E-2</v>
      </c>
      <c r="H22" s="95">
        <v>1.6E-2</v>
      </c>
      <c r="I22" s="95">
        <v>1.6E-2</v>
      </c>
      <c r="J22" s="95">
        <v>1.6E-2</v>
      </c>
      <c r="K22" s="95">
        <v>1.6E-2</v>
      </c>
      <c r="L22" s="95">
        <v>1.6E-2</v>
      </c>
      <c r="M22" s="95">
        <v>1.6E-2</v>
      </c>
      <c r="N22" s="64" t="s">
        <v>218</v>
      </c>
    </row>
    <row r="23" spans="1:17" s="57" customFormat="1" ht="13.5" hidden="1">
      <c r="A23" t="s">
        <v>637</v>
      </c>
      <c r="B23" t="s">
        <v>220</v>
      </c>
      <c r="C23" s="58" t="s">
        <v>219</v>
      </c>
      <c r="D23" s="50"/>
      <c r="E23" s="50"/>
      <c r="F23" s="96">
        <v>316</v>
      </c>
      <c r="G23" s="96">
        <v>316</v>
      </c>
      <c r="H23" s="96">
        <v>316</v>
      </c>
      <c r="I23" s="96">
        <v>316</v>
      </c>
      <c r="J23" s="96">
        <v>316</v>
      </c>
      <c r="K23" s="96">
        <v>316</v>
      </c>
      <c r="L23" s="96">
        <v>316</v>
      </c>
      <c r="M23" s="96">
        <v>316</v>
      </c>
      <c r="N23" s="68" t="s">
        <v>220</v>
      </c>
      <c r="O23" s="52"/>
      <c r="P23" s="52"/>
      <c r="Q23" s="52"/>
    </row>
    <row r="24" spans="1:17" s="57" customFormat="1" ht="13.5" hidden="1">
      <c r="A24" s="88" t="s">
        <v>638</v>
      </c>
      <c r="B24" s="88" t="s">
        <v>221</v>
      </c>
      <c r="C24" s="91" t="s">
        <v>122</v>
      </c>
      <c r="D24" s="50"/>
      <c r="E24" s="50"/>
      <c r="F24" s="97">
        <v>0.03</v>
      </c>
      <c r="G24" s="97">
        <v>0.03</v>
      </c>
      <c r="H24" s="97">
        <v>0.03</v>
      </c>
      <c r="I24" s="97">
        <v>0.03</v>
      </c>
      <c r="J24" s="97">
        <v>0.03</v>
      </c>
      <c r="K24" s="97">
        <v>0.03</v>
      </c>
      <c r="L24" s="97">
        <v>0.03</v>
      </c>
      <c r="M24" s="97">
        <v>0.03</v>
      </c>
      <c r="N24" s="68" t="s">
        <v>221</v>
      </c>
      <c r="O24" s="52"/>
      <c r="P24" s="52"/>
      <c r="Q24" s="52"/>
    </row>
    <row r="25" spans="1:17" ht="12.75" hidden="1" customHeight="1"/>
    <row r="26" spans="1:17" ht="12.75" hidden="1" customHeight="1"/>
    <row r="27" spans="1:17" s="1" customFormat="1" ht="14" hidden="1">
      <c r="A27" s="113" t="s">
        <v>449</v>
      </c>
      <c r="E27" s="103"/>
      <c r="F27" s="101"/>
      <c r="G27" s="101"/>
      <c r="P27" s="102"/>
    </row>
    <row r="28" spans="1:17" s="1" customFormat="1" ht="14" hidden="1">
      <c r="E28" s="103"/>
      <c r="F28" s="101"/>
      <c r="G28" s="101"/>
      <c r="H28" s="101"/>
      <c r="I28" s="101"/>
      <c r="J28" s="101"/>
      <c r="K28" s="101"/>
      <c r="P28" s="102"/>
    </row>
    <row r="29" spans="1:17" s="1" customFormat="1" ht="14.5" hidden="1">
      <c r="A29" s="1" t="s">
        <v>437</v>
      </c>
      <c r="B29" s="114" t="s">
        <v>432</v>
      </c>
      <c r="C29" s="115" t="s">
        <v>219</v>
      </c>
      <c r="E29" s="89"/>
      <c r="F29" s="107">
        <v>237</v>
      </c>
      <c r="G29" s="101"/>
      <c r="H29" s="101"/>
      <c r="I29" s="101"/>
      <c r="J29" s="101"/>
      <c r="K29" s="101"/>
      <c r="P29" s="102" t="s">
        <v>432</v>
      </c>
    </row>
    <row r="30" spans="1:17" s="1" customFormat="1" ht="14.5" hidden="1">
      <c r="A30" s="1" t="s">
        <v>446</v>
      </c>
      <c r="B30" s="114" t="s">
        <v>433</v>
      </c>
      <c r="C30" s="115" t="s">
        <v>219</v>
      </c>
      <c r="E30" s="89"/>
      <c r="F30" s="107">
        <v>263</v>
      </c>
      <c r="G30" s="101"/>
      <c r="H30" s="101"/>
      <c r="I30" s="101"/>
      <c r="J30" s="101"/>
      <c r="K30" s="101"/>
      <c r="P30" s="102" t="s">
        <v>433</v>
      </c>
    </row>
    <row r="31" spans="1:17" s="1" customFormat="1" ht="14.5" hidden="1">
      <c r="A31" s="61"/>
      <c r="B31" s="101"/>
      <c r="C31" s="115"/>
      <c r="E31" s="89"/>
      <c r="G31" s="101"/>
      <c r="H31" s="101"/>
      <c r="I31" s="101"/>
      <c r="J31" s="101"/>
      <c r="K31" s="101"/>
      <c r="P31" s="102"/>
    </row>
    <row r="32" spans="1:17" s="1" customFormat="1" ht="14.5" hidden="1">
      <c r="A32" s="1" t="s">
        <v>438</v>
      </c>
      <c r="B32" s="114" t="s">
        <v>434</v>
      </c>
      <c r="C32" s="115" t="s">
        <v>122</v>
      </c>
      <c r="E32" s="89"/>
      <c r="F32" s="108">
        <v>0.01</v>
      </c>
      <c r="G32" s="101"/>
      <c r="H32" s="101"/>
      <c r="I32" s="101"/>
      <c r="J32" s="101"/>
      <c r="K32" s="101"/>
      <c r="P32" s="102" t="s">
        <v>434</v>
      </c>
    </row>
    <row r="33" spans="1:16" s="1" customFormat="1" ht="14.5" hidden="1">
      <c r="A33" s="1" t="s">
        <v>447</v>
      </c>
      <c r="B33" s="114" t="s">
        <v>221</v>
      </c>
      <c r="C33" s="115" t="s">
        <v>122</v>
      </c>
      <c r="E33" s="89"/>
      <c r="F33" s="108">
        <v>-1.4999999999999999E-2</v>
      </c>
      <c r="G33" s="101"/>
      <c r="H33" s="101"/>
      <c r="I33" s="101"/>
      <c r="J33" s="101"/>
      <c r="K33" s="101"/>
      <c r="P33" s="102" t="s">
        <v>221</v>
      </c>
    </row>
    <row r="34" spans="1:16" s="1" customFormat="1" ht="14.5" hidden="1">
      <c r="B34" s="101"/>
      <c r="C34" s="115"/>
      <c r="E34" s="89"/>
      <c r="G34" s="101"/>
      <c r="H34" s="101"/>
      <c r="I34" s="101"/>
      <c r="J34" s="101"/>
      <c r="K34" s="101"/>
      <c r="P34" s="102"/>
    </row>
    <row r="35" spans="1:16" s="1" customFormat="1" ht="14.5" hidden="1">
      <c r="A35" s="1" t="s">
        <v>435</v>
      </c>
      <c r="B35" s="114" t="s">
        <v>436</v>
      </c>
      <c r="C35" s="115" t="s">
        <v>219</v>
      </c>
      <c r="E35" s="89"/>
      <c r="F35" s="107">
        <v>619</v>
      </c>
      <c r="G35" s="101"/>
      <c r="H35" s="101"/>
      <c r="I35" s="101"/>
      <c r="J35" s="101"/>
      <c r="K35" s="101"/>
      <c r="P35" s="102" t="s">
        <v>436</v>
      </c>
    </row>
    <row r="36" spans="1:16" ht="12.75" hidden="1" customHeight="1">
      <c r="A36" s="39"/>
      <c r="B36" s="39"/>
      <c r="C36" s="40"/>
      <c r="D36" s="40"/>
    </row>
    <row r="37" spans="1:16" ht="12.75" hidden="1" customHeight="1">
      <c r="A37" s="90" t="s">
        <v>241</v>
      </c>
      <c r="B37" s="39"/>
      <c r="C37" s="40"/>
      <c r="D37" s="40"/>
    </row>
    <row r="38" spans="1:16" ht="22.5" hidden="1" customHeight="1">
      <c r="A38" s="116" t="s">
        <v>640</v>
      </c>
      <c r="B38" s="104" t="s">
        <v>248</v>
      </c>
      <c r="C38" s="354" t="s">
        <v>639</v>
      </c>
      <c r="D38" s="104"/>
      <c r="E38" s="76"/>
      <c r="F38" s="93">
        <v>50</v>
      </c>
      <c r="G38" s="93">
        <v>51</v>
      </c>
      <c r="H38" s="93">
        <v>52</v>
      </c>
      <c r="I38" s="93">
        <v>53</v>
      </c>
      <c r="J38" s="93">
        <v>54</v>
      </c>
      <c r="K38" s="93">
        <v>55</v>
      </c>
      <c r="L38" s="93">
        <v>56</v>
      </c>
      <c r="M38" s="93">
        <v>57</v>
      </c>
      <c r="N38" s="68" t="s">
        <v>248</v>
      </c>
    </row>
    <row r="39" spans="1:16" s="85" customFormat="1" ht="12.75" hidden="1" customHeight="1">
      <c r="A39" s="81"/>
      <c r="B39" s="82"/>
      <c r="C39" s="83"/>
      <c r="D39" s="82"/>
      <c r="E39" s="82"/>
      <c r="F39" s="86"/>
      <c r="G39" s="86"/>
      <c r="H39" s="86"/>
      <c r="I39" s="86"/>
      <c r="J39" s="86"/>
      <c r="K39" s="86"/>
      <c r="L39" s="86"/>
      <c r="M39" s="86"/>
      <c r="N39" s="84"/>
    </row>
    <row r="40" spans="1:16" ht="12.75" hidden="1" customHeight="1"/>
    <row r="41" spans="1:16" ht="12.75" hidden="1" customHeight="1">
      <c r="A41" s="92" t="s">
        <v>641</v>
      </c>
      <c r="B41" s="44" t="s">
        <v>236</v>
      </c>
      <c r="C41" s="50" t="s">
        <v>122</v>
      </c>
      <c r="F41" s="98">
        <v>0.46889999999999998</v>
      </c>
      <c r="G41" s="98">
        <v>0.46889999999999998</v>
      </c>
      <c r="H41" s="98">
        <v>0.46889999999999998</v>
      </c>
      <c r="I41" s="98">
        <v>0.46889999999999998</v>
      </c>
      <c r="J41" s="98">
        <v>0.46889999999999998</v>
      </c>
      <c r="K41" s="98">
        <v>0.46889999999999998</v>
      </c>
      <c r="L41" s="98">
        <v>0.46889999999999998</v>
      </c>
      <c r="M41" s="98">
        <v>0.46889999999999998</v>
      </c>
      <c r="N41" s="64" t="s">
        <v>236</v>
      </c>
    </row>
    <row r="42" spans="1:16" ht="12.75" hidden="1" customHeight="1">
      <c r="A42" s="65"/>
    </row>
    <row r="43" spans="1:16" ht="12.75" hidden="1" customHeight="1">
      <c r="A43" s="385" t="s">
        <v>251</v>
      </c>
    </row>
    <row r="44" spans="1:16" ht="12.75" hidden="1" customHeight="1">
      <c r="A44" s="385" t="s">
        <v>507</v>
      </c>
    </row>
    <row r="45" spans="1:16" ht="12.75" hidden="1" customHeight="1">
      <c r="A45" s="380" t="s">
        <v>252</v>
      </c>
      <c r="B45" s="65" t="s">
        <v>253</v>
      </c>
      <c r="C45" s="50" t="s">
        <v>122</v>
      </c>
      <c r="F45" s="382">
        <v>0.7</v>
      </c>
      <c r="G45" s="382">
        <v>0.7</v>
      </c>
      <c r="H45" s="382">
        <v>0.7</v>
      </c>
      <c r="I45" s="382">
        <v>0.7</v>
      </c>
      <c r="J45" s="382">
        <v>0.7</v>
      </c>
      <c r="K45" s="382">
        <v>0.7</v>
      </c>
      <c r="L45" s="382">
        <v>0.7</v>
      </c>
      <c r="M45" s="382">
        <v>0.7</v>
      </c>
      <c r="N45" s="64" t="s">
        <v>253</v>
      </c>
    </row>
    <row r="46" spans="1:16" ht="12.75" hidden="1" customHeight="1">
      <c r="C46" s="276"/>
    </row>
    <row r="47" spans="1:16" s="39" customFormat="1" ht="12.75" hidden="1" customHeight="1">
      <c r="A47" s="39" t="s">
        <v>397</v>
      </c>
      <c r="B47" s="39" t="s">
        <v>402</v>
      </c>
      <c r="C47" s="40" t="s">
        <v>475</v>
      </c>
      <c r="D47" s="40"/>
      <c r="E47" s="40"/>
      <c r="F47" s="109">
        <v>6.9</v>
      </c>
      <c r="G47" s="109">
        <v>6.9</v>
      </c>
      <c r="H47" s="109">
        <v>6.9</v>
      </c>
      <c r="I47" s="109">
        <v>6.9</v>
      </c>
      <c r="J47" s="109">
        <v>6.9</v>
      </c>
      <c r="K47" s="109">
        <v>6.9</v>
      </c>
      <c r="L47" s="109">
        <v>6.9</v>
      </c>
      <c r="M47" s="109">
        <v>6.9</v>
      </c>
      <c r="N47" s="64" t="s">
        <v>402</v>
      </c>
    </row>
    <row r="48" spans="1:16" s="39" customFormat="1" ht="12.75" hidden="1" customHeight="1">
      <c r="A48" s="39" t="s">
        <v>398</v>
      </c>
      <c r="B48" s="39" t="s">
        <v>403</v>
      </c>
      <c r="C48" s="40" t="s">
        <v>475</v>
      </c>
      <c r="D48" s="40"/>
      <c r="E48" s="40"/>
      <c r="F48" s="109">
        <v>8.5</v>
      </c>
      <c r="G48" s="109">
        <v>8.5</v>
      </c>
      <c r="H48" s="109">
        <v>8.5</v>
      </c>
      <c r="I48" s="109">
        <v>8.5</v>
      </c>
      <c r="J48" s="109">
        <v>8.5</v>
      </c>
      <c r="K48" s="109">
        <v>8.5</v>
      </c>
      <c r="L48" s="109">
        <v>8.5</v>
      </c>
      <c r="M48" s="109">
        <v>8.5</v>
      </c>
      <c r="N48" s="64" t="s">
        <v>403</v>
      </c>
    </row>
    <row r="49" spans="1:14" s="39" customFormat="1" ht="12.75" hidden="1" customHeight="1">
      <c r="A49" s="39" t="s">
        <v>399</v>
      </c>
      <c r="B49" s="39" t="s">
        <v>404</v>
      </c>
      <c r="C49" s="40" t="s">
        <v>475</v>
      </c>
      <c r="D49" s="40"/>
      <c r="E49" s="40"/>
      <c r="F49" s="109">
        <v>5.3</v>
      </c>
      <c r="G49" s="109">
        <v>5.3</v>
      </c>
      <c r="H49" s="109">
        <v>5.3</v>
      </c>
      <c r="I49" s="109">
        <v>5.3</v>
      </c>
      <c r="J49" s="109">
        <v>5.3</v>
      </c>
      <c r="K49" s="109">
        <v>5.3</v>
      </c>
      <c r="L49" s="109">
        <v>5.3</v>
      </c>
      <c r="M49" s="109">
        <v>5.3</v>
      </c>
      <c r="N49" s="64" t="s">
        <v>404</v>
      </c>
    </row>
    <row r="50" spans="1:14" s="39" customFormat="1" ht="12.75" hidden="1" customHeight="1">
      <c r="A50" s="39" t="s">
        <v>400</v>
      </c>
      <c r="B50" s="39" t="s">
        <v>405</v>
      </c>
      <c r="C50" s="40" t="s">
        <v>122</v>
      </c>
      <c r="D50" s="40"/>
      <c r="E50" s="40"/>
      <c r="F50" s="97">
        <v>0.01</v>
      </c>
      <c r="G50" s="97">
        <v>0.01</v>
      </c>
      <c r="H50" s="97">
        <v>0.01</v>
      </c>
      <c r="I50" s="97">
        <v>0.01</v>
      </c>
      <c r="J50" s="97">
        <v>0.01</v>
      </c>
      <c r="K50" s="97">
        <v>0.01</v>
      </c>
      <c r="L50" s="97">
        <v>0.01</v>
      </c>
      <c r="M50" s="97">
        <v>0.01</v>
      </c>
      <c r="N50" s="64" t="s">
        <v>405</v>
      </c>
    </row>
    <row r="51" spans="1:14" s="39" customFormat="1" ht="12.75" hidden="1" customHeight="1">
      <c r="A51" s="39" t="s">
        <v>401</v>
      </c>
      <c r="B51" s="39" t="s">
        <v>406</v>
      </c>
      <c r="C51" s="40" t="s">
        <v>122</v>
      </c>
      <c r="D51" s="40"/>
      <c r="E51" s="40"/>
      <c r="F51" s="97">
        <v>-0.01</v>
      </c>
      <c r="G51" s="97">
        <v>-0.01</v>
      </c>
      <c r="H51" s="97">
        <v>-0.01</v>
      </c>
      <c r="I51" s="97">
        <v>-0.01</v>
      </c>
      <c r="J51" s="97">
        <v>-0.01</v>
      </c>
      <c r="K51" s="97">
        <v>-0.01</v>
      </c>
      <c r="L51" s="97">
        <v>-0.01</v>
      </c>
      <c r="M51" s="97">
        <v>-0.01</v>
      </c>
      <c r="N51" s="64" t="s">
        <v>406</v>
      </c>
    </row>
    <row r="52" spans="1:14" s="39" customFormat="1" ht="12.75" hidden="1" customHeight="1">
      <c r="C52" s="40"/>
      <c r="D52" s="40"/>
      <c r="E52" s="40"/>
      <c r="F52" s="40"/>
      <c r="G52" s="40"/>
      <c r="H52" s="40"/>
      <c r="I52" s="40"/>
      <c r="J52" s="40"/>
      <c r="K52" s="40"/>
      <c r="L52" s="40"/>
      <c r="M52" s="40"/>
      <c r="N52" s="64"/>
    </row>
    <row r="53" spans="1:14" ht="12.75" hidden="1" customHeight="1">
      <c r="A53" s="380" t="s">
        <v>670</v>
      </c>
      <c r="B53" s="65" t="s">
        <v>668</v>
      </c>
      <c r="C53" s="50" t="s">
        <v>122</v>
      </c>
      <c r="F53" s="382">
        <v>0</v>
      </c>
      <c r="G53" s="382">
        <v>0</v>
      </c>
      <c r="H53" s="382">
        <v>0</v>
      </c>
      <c r="I53" s="382">
        <f>1-I45</f>
        <v>0.30000000000000004</v>
      </c>
      <c r="J53" s="382">
        <f t="shared" ref="J53:M53" si="0">1-J45</f>
        <v>0.30000000000000004</v>
      </c>
      <c r="K53" s="382">
        <f t="shared" si="0"/>
        <v>0.30000000000000004</v>
      </c>
      <c r="L53" s="382">
        <f t="shared" si="0"/>
        <v>0.30000000000000004</v>
      </c>
      <c r="M53" s="382">
        <f t="shared" si="0"/>
        <v>0.30000000000000004</v>
      </c>
      <c r="N53" s="64" t="s">
        <v>668</v>
      </c>
    </row>
    <row r="54" spans="1:14" ht="12.75" hidden="1" customHeight="1">
      <c r="A54" s="381" t="s">
        <v>260</v>
      </c>
      <c r="B54" s="65" t="s">
        <v>254</v>
      </c>
      <c r="C54" s="40" t="s">
        <v>475</v>
      </c>
      <c r="F54" s="383">
        <v>7.4</v>
      </c>
      <c r="G54" s="383">
        <v>7.4</v>
      </c>
      <c r="H54" s="383">
        <v>7.4</v>
      </c>
      <c r="I54" s="383">
        <v>7.4</v>
      </c>
      <c r="J54" s="383">
        <v>7.4</v>
      </c>
      <c r="K54" s="383">
        <v>7.4</v>
      </c>
      <c r="L54" s="383">
        <v>7.4</v>
      </c>
      <c r="M54" s="383">
        <v>7.4</v>
      </c>
      <c r="N54" s="64" t="s">
        <v>254</v>
      </c>
    </row>
    <row r="55" spans="1:14" ht="12.75" hidden="1" customHeight="1">
      <c r="A55" s="381" t="s">
        <v>261</v>
      </c>
      <c r="B55" s="65" t="s">
        <v>255</v>
      </c>
      <c r="C55" s="40" t="s">
        <v>475</v>
      </c>
      <c r="F55" s="383">
        <v>9</v>
      </c>
      <c r="G55" s="383">
        <v>9</v>
      </c>
      <c r="H55" s="383">
        <v>9</v>
      </c>
      <c r="I55" s="383">
        <v>9</v>
      </c>
      <c r="J55" s="383">
        <v>9</v>
      </c>
      <c r="K55" s="383">
        <v>9</v>
      </c>
      <c r="L55" s="383">
        <v>9</v>
      </c>
      <c r="M55" s="383">
        <v>9</v>
      </c>
      <c r="N55" s="64" t="s">
        <v>255</v>
      </c>
    </row>
    <row r="56" spans="1:14" ht="12.75" hidden="1" customHeight="1">
      <c r="A56" s="381" t="s">
        <v>262</v>
      </c>
      <c r="B56" s="65" t="s">
        <v>257</v>
      </c>
      <c r="C56" s="40" t="s">
        <v>475</v>
      </c>
      <c r="F56" s="383">
        <v>5.8</v>
      </c>
      <c r="G56" s="383">
        <v>5.8</v>
      </c>
      <c r="H56" s="383">
        <v>5.8</v>
      </c>
      <c r="I56" s="383">
        <v>5.8</v>
      </c>
      <c r="J56" s="383">
        <v>5.8</v>
      </c>
      <c r="K56" s="383">
        <v>5.8</v>
      </c>
      <c r="L56" s="383">
        <v>5.8</v>
      </c>
      <c r="M56" s="383">
        <v>5.8</v>
      </c>
      <c r="N56" s="64" t="s">
        <v>257</v>
      </c>
    </row>
    <row r="57" spans="1:14" ht="12.75" hidden="1" customHeight="1">
      <c r="A57" s="44" t="s">
        <v>263</v>
      </c>
      <c r="B57" s="65" t="s">
        <v>256</v>
      </c>
      <c r="C57" s="40" t="s">
        <v>122</v>
      </c>
      <c r="F57" s="97">
        <v>0.01</v>
      </c>
      <c r="G57" s="97">
        <v>0.01</v>
      </c>
      <c r="H57" s="97">
        <v>0.01</v>
      </c>
      <c r="I57" s="97">
        <v>0.01</v>
      </c>
      <c r="J57" s="97">
        <v>0.01</v>
      </c>
      <c r="K57" s="97">
        <v>0.01</v>
      </c>
      <c r="L57" s="97">
        <v>0.01</v>
      </c>
      <c r="M57" s="97">
        <v>0.01</v>
      </c>
      <c r="N57" s="64" t="s">
        <v>256</v>
      </c>
    </row>
    <row r="58" spans="1:14" ht="12.75" hidden="1" customHeight="1">
      <c r="A58" s="44" t="s">
        <v>264</v>
      </c>
      <c r="B58" s="65" t="s">
        <v>258</v>
      </c>
      <c r="C58" s="40" t="s">
        <v>122</v>
      </c>
      <c r="F58" s="97">
        <v>-0.01</v>
      </c>
      <c r="G58" s="97">
        <v>-0.01</v>
      </c>
      <c r="H58" s="97">
        <v>-0.01</v>
      </c>
      <c r="I58" s="97">
        <v>-0.01</v>
      </c>
      <c r="J58" s="97">
        <v>-0.01</v>
      </c>
      <c r="K58" s="97">
        <v>-0.01</v>
      </c>
      <c r="L58" s="97">
        <v>-0.01</v>
      </c>
      <c r="M58" s="97">
        <v>-0.01</v>
      </c>
      <c r="N58" s="64" t="s">
        <v>258</v>
      </c>
    </row>
    <row r="59" spans="1:14" s="39" customFormat="1" ht="12.75" hidden="1" customHeight="1">
      <c r="A59" s="60" t="s">
        <v>411</v>
      </c>
      <c r="C59" s="40" t="s">
        <v>133</v>
      </c>
      <c r="D59" s="40"/>
      <c r="E59" s="40"/>
      <c r="F59" s="110">
        <v>5.0000000000000001E-3</v>
      </c>
      <c r="G59" s="110">
        <v>5.0000000000000001E-3</v>
      </c>
      <c r="H59" s="110">
        <v>5.0000000000000001E-3</v>
      </c>
      <c r="I59" s="110">
        <v>5.0000000000000001E-3</v>
      </c>
      <c r="J59" s="110">
        <v>5.0000000000000001E-3</v>
      </c>
      <c r="K59" s="110">
        <v>5.0000000000000001E-3</v>
      </c>
      <c r="L59" s="110">
        <v>5.0000000000000001E-3</v>
      </c>
      <c r="M59" s="110">
        <v>5.0000000000000001E-3</v>
      </c>
      <c r="N59" s="64" t="s">
        <v>758</v>
      </c>
    </row>
    <row r="60" spans="1:14" s="39" customFormat="1" ht="12.75" hidden="1" customHeight="1">
      <c r="C60" s="40"/>
      <c r="D60" s="40"/>
      <c r="E60" s="40"/>
    </row>
    <row r="61" spans="1:14" s="60" customFormat="1" ht="13.5" hidden="1">
      <c r="A61" s="60" t="s">
        <v>642</v>
      </c>
      <c r="B61" s="60" t="s">
        <v>45</v>
      </c>
      <c r="C61" s="40" t="s">
        <v>133</v>
      </c>
      <c r="F61" s="111">
        <v>23.9</v>
      </c>
      <c r="G61" s="111">
        <f t="shared" ref="G61:M61" si="1">F61</f>
        <v>23.9</v>
      </c>
      <c r="H61" s="111">
        <f t="shared" si="1"/>
        <v>23.9</v>
      </c>
      <c r="I61" s="111">
        <f t="shared" si="1"/>
        <v>23.9</v>
      </c>
      <c r="J61" s="111">
        <f t="shared" si="1"/>
        <v>23.9</v>
      </c>
      <c r="K61" s="111">
        <f t="shared" si="1"/>
        <v>23.9</v>
      </c>
      <c r="L61" s="111">
        <f t="shared" si="1"/>
        <v>23.9</v>
      </c>
      <c r="M61" s="111">
        <f t="shared" si="1"/>
        <v>23.9</v>
      </c>
      <c r="N61" s="2" t="s">
        <v>45</v>
      </c>
    </row>
    <row r="62" spans="1:14" ht="12.75" customHeight="1"/>
    <row r="63" spans="1:14" ht="12.75" customHeight="1">
      <c r="A63" t="s">
        <v>643</v>
      </c>
      <c r="B63" t="s">
        <v>57</v>
      </c>
      <c r="C63" s="40" t="s">
        <v>122</v>
      </c>
      <c r="D63"/>
      <c r="E63"/>
      <c r="F63" s="97"/>
      <c r="G63" s="97"/>
      <c r="H63" s="97"/>
      <c r="I63" s="97"/>
      <c r="J63" s="97"/>
      <c r="K63" s="97"/>
      <c r="L63" s="97">
        <v>2E-3</v>
      </c>
      <c r="M63" s="97">
        <v>2E-3</v>
      </c>
      <c r="N63" s="64" t="s">
        <v>57</v>
      </c>
    </row>
    <row r="64" spans="1:14" ht="12.75" customHeight="1">
      <c r="A64"/>
      <c r="B64"/>
      <c r="C64"/>
      <c r="D64"/>
      <c r="E64"/>
      <c r="F64" s="78"/>
      <c r="G64" s="78"/>
      <c r="H64" s="78"/>
      <c r="I64" s="78"/>
      <c r="J64" s="78"/>
      <c r="K64" s="78"/>
      <c r="L64" s="78"/>
      <c r="M64" s="78"/>
      <c r="N64" s="79"/>
    </row>
    <row r="65" spans="1:23" ht="12.75" customHeight="1">
      <c r="A65" s="3" t="s">
        <v>36</v>
      </c>
      <c r="B65" s="60"/>
      <c r="C65" s="60"/>
      <c r="D65"/>
      <c r="E65"/>
      <c r="F65" s="78"/>
      <c r="G65" s="78"/>
      <c r="H65" s="78"/>
      <c r="I65" s="78"/>
      <c r="J65" s="78"/>
      <c r="K65" s="78"/>
      <c r="L65" s="78"/>
      <c r="M65" s="78"/>
      <c r="N65" s="79"/>
    </row>
    <row r="66" spans="1:23" ht="12.75" customHeight="1">
      <c r="A66" s="60" t="s">
        <v>644</v>
      </c>
      <c r="B66" s="60" t="s">
        <v>55</v>
      </c>
      <c r="C66" s="40" t="s">
        <v>133</v>
      </c>
      <c r="D66" s="77"/>
      <c r="E66" s="77"/>
      <c r="F66" s="111"/>
      <c r="G66" s="111"/>
      <c r="H66" s="111"/>
      <c r="I66" s="111"/>
      <c r="J66" s="111"/>
      <c r="K66" s="111"/>
      <c r="L66" s="111">
        <v>0.9</v>
      </c>
      <c r="M66" s="111">
        <v>0.9</v>
      </c>
      <c r="N66" s="2" t="s">
        <v>55</v>
      </c>
    </row>
    <row r="67" spans="1:23" ht="12.75" customHeight="1">
      <c r="A67" s="60"/>
      <c r="B67" s="60"/>
      <c r="C67" s="60"/>
      <c r="D67" s="77"/>
      <c r="E67" s="77"/>
      <c r="F67" s="112"/>
      <c r="G67" s="112"/>
      <c r="H67" s="112"/>
      <c r="I67" s="112"/>
      <c r="J67" s="112"/>
      <c r="K67" s="112"/>
      <c r="L67" s="112"/>
      <c r="M67" s="112"/>
      <c r="N67" s="77"/>
    </row>
    <row r="68" spans="1:23" ht="28.5" customHeight="1">
      <c r="A68" s="55" t="s">
        <v>416</v>
      </c>
      <c r="B68" s="60"/>
      <c r="C68" s="60"/>
      <c r="D68" s="77"/>
      <c r="E68" s="77"/>
      <c r="F68" s="112"/>
      <c r="G68" s="112"/>
      <c r="H68" s="112"/>
      <c r="I68" s="112"/>
      <c r="J68" s="112"/>
      <c r="K68" s="112"/>
      <c r="L68" s="112"/>
      <c r="M68" s="112"/>
      <c r="N68" s="77"/>
    </row>
    <row r="69" spans="1:23" s="80" customFormat="1" ht="13.5">
      <c r="A69" s="60" t="s">
        <v>645</v>
      </c>
      <c r="B69" s="60" t="s">
        <v>421</v>
      </c>
      <c r="C69" s="277" t="s">
        <v>1</v>
      </c>
      <c r="D69" s="76"/>
      <c r="E69" s="76"/>
      <c r="F69" s="111"/>
      <c r="G69" s="111"/>
      <c r="H69" s="111"/>
      <c r="I69" s="111"/>
      <c r="J69" s="104"/>
      <c r="K69" s="104"/>
      <c r="L69" s="104"/>
      <c r="M69" s="104"/>
      <c r="N69" s="54" t="s">
        <v>421</v>
      </c>
      <c r="R69" s="57"/>
      <c r="S69" s="57"/>
      <c r="T69" s="57"/>
      <c r="U69" s="57"/>
      <c r="V69" s="57"/>
      <c r="W69" s="57"/>
    </row>
    <row r="70" spans="1:23" ht="12.75" customHeight="1">
      <c r="A70" s="77"/>
      <c r="B70" s="77"/>
      <c r="C70" s="77"/>
      <c r="D70" s="77"/>
      <c r="E70" s="77"/>
      <c r="F70" s="112"/>
      <c r="G70" s="112"/>
      <c r="H70" s="112"/>
      <c r="I70" s="112"/>
      <c r="J70" s="112"/>
      <c r="K70" s="112"/>
      <c r="L70" s="112"/>
      <c r="M70" s="112"/>
      <c r="N70" s="77"/>
    </row>
    <row r="71" spans="1:23" ht="12.75" customHeight="1"/>
    <row r="72" spans="1:23" ht="18" hidden="1" customHeight="1">
      <c r="A72" s="63" t="s">
        <v>159</v>
      </c>
    </row>
    <row r="73" spans="1:23" ht="12.75" hidden="1" customHeight="1">
      <c r="A73" s="90" t="s">
        <v>646</v>
      </c>
      <c r="B73" s="39"/>
      <c r="C73" s="40"/>
    </row>
    <row r="74" spans="1:23" ht="12.75" hidden="1" customHeight="1">
      <c r="A74" s="1" t="s">
        <v>427</v>
      </c>
      <c r="B74" s="39" t="s">
        <v>173</v>
      </c>
      <c r="C74" s="277" t="s">
        <v>1</v>
      </c>
      <c r="E74" s="95">
        <v>0</v>
      </c>
      <c r="F74" s="95">
        <v>0</v>
      </c>
      <c r="G74" s="95">
        <v>0</v>
      </c>
      <c r="H74" s="95">
        <v>0</v>
      </c>
      <c r="I74" s="95">
        <v>0</v>
      </c>
      <c r="J74" s="95">
        <v>0</v>
      </c>
      <c r="K74" s="95">
        <v>0</v>
      </c>
      <c r="L74" s="95">
        <v>0</v>
      </c>
      <c r="M74" s="95">
        <v>0</v>
      </c>
      <c r="N74" s="64" t="s">
        <v>173</v>
      </c>
    </row>
    <row r="75" spans="1:23" ht="12.75" hidden="1" customHeight="1">
      <c r="A75" s="39" t="s">
        <v>408</v>
      </c>
      <c r="B75" s="39" t="s">
        <v>160</v>
      </c>
      <c r="C75" s="277" t="s">
        <v>1</v>
      </c>
      <c r="E75" s="95">
        <v>0</v>
      </c>
      <c r="F75" s="95">
        <v>0</v>
      </c>
      <c r="G75" s="95">
        <v>0</v>
      </c>
      <c r="H75" s="95">
        <v>0</v>
      </c>
      <c r="I75" s="95">
        <v>0</v>
      </c>
      <c r="J75" s="95">
        <v>0</v>
      </c>
      <c r="K75" s="95">
        <v>0</v>
      </c>
      <c r="L75" s="95">
        <v>0</v>
      </c>
      <c r="M75" s="95">
        <v>0</v>
      </c>
      <c r="N75" s="64" t="s">
        <v>160</v>
      </c>
    </row>
    <row r="76" spans="1:23" ht="12.75" hidden="1" customHeight="1">
      <c r="A76" s="39" t="s">
        <v>407</v>
      </c>
      <c r="B76" s="39" t="s">
        <v>161</v>
      </c>
      <c r="C76" s="277" t="s">
        <v>1</v>
      </c>
      <c r="E76" s="95">
        <v>0</v>
      </c>
      <c r="F76" s="95">
        <v>0</v>
      </c>
      <c r="G76" s="95">
        <v>0</v>
      </c>
      <c r="H76" s="95">
        <v>0</v>
      </c>
      <c r="I76" s="95">
        <v>0</v>
      </c>
      <c r="J76" s="95">
        <v>0</v>
      </c>
      <c r="K76" s="95">
        <v>0</v>
      </c>
      <c r="L76" s="95">
        <v>0</v>
      </c>
      <c r="M76" s="95">
        <v>0</v>
      </c>
      <c r="N76" s="64" t="s">
        <v>161</v>
      </c>
    </row>
    <row r="77" spans="1:23" ht="12.75" hidden="1" customHeight="1">
      <c r="A77" s="39" t="s">
        <v>287</v>
      </c>
      <c r="B77" s="39" t="s">
        <v>162</v>
      </c>
      <c r="C77" s="277" t="s">
        <v>1</v>
      </c>
      <c r="D77" s="95">
        <v>105.983</v>
      </c>
      <c r="E77" s="95">
        <v>0</v>
      </c>
      <c r="F77" s="95">
        <v>0</v>
      </c>
      <c r="G77" s="95">
        <v>0</v>
      </c>
      <c r="H77" s="95">
        <v>0</v>
      </c>
      <c r="I77" s="95">
        <v>0</v>
      </c>
      <c r="J77" s="95">
        <v>0</v>
      </c>
      <c r="K77" s="95">
        <v>0</v>
      </c>
      <c r="L77" s="95">
        <v>0</v>
      </c>
      <c r="M77" s="95">
        <v>0</v>
      </c>
      <c r="N77" s="64" t="s">
        <v>162</v>
      </c>
    </row>
    <row r="78" spans="1:23" ht="12.75" hidden="1" customHeight="1">
      <c r="A78" s="65" t="s">
        <v>288</v>
      </c>
      <c r="B78" s="65" t="s">
        <v>163</v>
      </c>
      <c r="C78" s="277" t="s">
        <v>1</v>
      </c>
      <c r="E78" s="95">
        <v>5.4139999999999997</v>
      </c>
      <c r="F78" s="95">
        <v>5.4139999999999997</v>
      </c>
      <c r="G78" s="95">
        <v>5.4139999999999997</v>
      </c>
      <c r="H78" s="95">
        <v>5.4139999999999997</v>
      </c>
      <c r="I78" s="95">
        <v>0</v>
      </c>
      <c r="J78" s="95">
        <v>0</v>
      </c>
      <c r="K78" s="95">
        <v>0</v>
      </c>
      <c r="L78" s="95">
        <v>0</v>
      </c>
      <c r="M78" s="95">
        <v>0</v>
      </c>
      <c r="N78" s="64" t="s">
        <v>163</v>
      </c>
    </row>
    <row r="79" spans="1:23" ht="12.75" hidden="1" customHeight="1">
      <c r="A79" s="65" t="s">
        <v>289</v>
      </c>
      <c r="B79" s="65" t="s">
        <v>165</v>
      </c>
      <c r="C79" s="277" t="s">
        <v>1</v>
      </c>
      <c r="E79" s="95">
        <v>100.15300000000001</v>
      </c>
      <c r="F79" s="95">
        <v>94.739000000000004</v>
      </c>
      <c r="G79" s="95">
        <v>89.325999999999993</v>
      </c>
      <c r="H79" s="95">
        <v>83.912000000000006</v>
      </c>
      <c r="I79" s="95">
        <v>0</v>
      </c>
      <c r="J79" s="95">
        <v>0</v>
      </c>
      <c r="K79" s="95">
        <v>0</v>
      </c>
      <c r="L79" s="95">
        <v>0</v>
      </c>
      <c r="M79" s="95">
        <v>0</v>
      </c>
      <c r="N79" s="64" t="s">
        <v>165</v>
      </c>
    </row>
    <row r="80" spans="1:23" ht="12.75" hidden="1" customHeight="1"/>
    <row r="81" spans="1:14" ht="12.75" hidden="1" customHeight="1">
      <c r="A81" s="65" t="s">
        <v>182</v>
      </c>
      <c r="B81" s="65" t="s">
        <v>164</v>
      </c>
      <c r="C81" s="50" t="s">
        <v>122</v>
      </c>
      <c r="E81" s="97">
        <v>8.7999999999999995E-2</v>
      </c>
      <c r="F81" s="97">
        <v>8.7999999999999995E-2</v>
      </c>
      <c r="G81" s="97">
        <v>8.7999999999999995E-2</v>
      </c>
      <c r="H81" s="97">
        <v>8.7999999999999995E-2</v>
      </c>
      <c r="I81" s="97">
        <v>8.7999999999999995E-2</v>
      </c>
      <c r="J81" s="97">
        <v>8.7999999999999995E-2</v>
      </c>
      <c r="K81" s="97">
        <v>8.7999999999999995E-2</v>
      </c>
      <c r="L81" s="97">
        <v>8.7999999999999995E-2</v>
      </c>
      <c r="M81" s="97">
        <v>8.7999999999999995E-2</v>
      </c>
      <c r="N81" s="64" t="s">
        <v>164</v>
      </c>
    </row>
    <row r="82" spans="1:14" ht="12.75" customHeight="1"/>
    <row r="83" spans="1:14" ht="12.75" customHeight="1"/>
    <row r="84" spans="1:14" ht="12.75" customHeight="1">
      <c r="A84" s="90" t="s">
        <v>358</v>
      </c>
      <c r="B84" s="39"/>
      <c r="C84" s="40"/>
      <c r="D84" s="40"/>
      <c r="E84" s="40"/>
    </row>
    <row r="85" spans="1:14" ht="12.75" customHeight="1">
      <c r="A85" s="60" t="s">
        <v>366</v>
      </c>
      <c r="B85" s="60" t="s">
        <v>364</v>
      </c>
      <c r="C85" s="277" t="s">
        <v>1</v>
      </c>
      <c r="D85" s="40"/>
      <c r="E85" s="95">
        <v>115.85</v>
      </c>
    </row>
    <row r="86" spans="1:14" ht="12.75" customHeight="1">
      <c r="A86" s="60" t="s">
        <v>367</v>
      </c>
      <c r="B86" s="60" t="s">
        <v>365</v>
      </c>
      <c r="C86" s="277" t="s">
        <v>1</v>
      </c>
      <c r="D86" s="40"/>
      <c r="E86" s="95">
        <v>1.3</v>
      </c>
    </row>
    <row r="87" spans="1:14" ht="23.25" customHeight="1">
      <c r="A87" s="139" t="s">
        <v>647</v>
      </c>
      <c r="B87" s="139" t="s">
        <v>469</v>
      </c>
      <c r="C87" s="273" t="s">
        <v>630</v>
      </c>
      <c r="E87" s="274">
        <v>0</v>
      </c>
      <c r="F87" s="274">
        <v>0</v>
      </c>
      <c r="G87" s="274">
        <v>14.7</v>
      </c>
      <c r="H87" s="274">
        <v>0</v>
      </c>
      <c r="I87" s="274">
        <v>0</v>
      </c>
      <c r="J87" s="274">
        <v>0</v>
      </c>
      <c r="K87" s="274">
        <v>0</v>
      </c>
      <c r="L87" s="274">
        <v>0</v>
      </c>
      <c r="M87" s="274">
        <v>0</v>
      </c>
      <c r="N87" s="165" t="s">
        <v>469</v>
      </c>
    </row>
    <row r="88" spans="1:14" ht="12.75" customHeight="1"/>
    <row r="89" spans="1:14" ht="12.75" customHeight="1"/>
    <row r="90" spans="1:14" ht="12.75" customHeight="1"/>
    <row r="91" spans="1:14" ht="12.75" customHeight="1"/>
    <row r="92" spans="1:14" ht="12.75" customHeight="1"/>
    <row r="93" spans="1:14" ht="12.75" customHeight="1"/>
    <row r="94" spans="1:14" ht="12.75" customHeight="1"/>
    <row r="95" spans="1:14" ht="12.75" customHeight="1">
      <c r="D95" s="356"/>
    </row>
    <row r="96" spans="1:14" ht="12.75" customHeight="1">
      <c r="E96" s="357"/>
    </row>
    <row r="97" spans="4:5" ht="12.75" customHeight="1"/>
    <row r="98" spans="4:5" ht="12.75" customHeight="1"/>
    <row r="99" spans="4:5" ht="12.75" customHeight="1">
      <c r="E99" s="356"/>
    </row>
    <row r="100" spans="4:5" ht="12.75" customHeight="1">
      <c r="E100" s="356"/>
    </row>
    <row r="101" spans="4:5" ht="12.75" customHeight="1"/>
    <row r="102" spans="4:5" ht="12.75" customHeight="1"/>
    <row r="103" spans="4:5" ht="12.75" customHeight="1"/>
    <row r="104" spans="4:5" ht="12.75" customHeight="1"/>
    <row r="105" spans="4:5" ht="12.75" customHeight="1"/>
    <row r="106" spans="4:5" ht="12.75" customHeight="1"/>
    <row r="107" spans="4:5" ht="12.75" customHeight="1"/>
    <row r="108" spans="4:5" ht="12.75" customHeight="1">
      <c r="D108" s="356"/>
    </row>
    <row r="109" spans="4:5" ht="12.75" customHeight="1"/>
    <row r="110" spans="4:5" ht="12.75" customHeight="1"/>
    <row r="111" spans="4:5" ht="12.75" customHeight="1"/>
    <row r="112" spans="4:5"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sheetData>
  <sheetProtection formatCells="0" formatColumns="0" formatRows="0" insertHyperlinks="0" autoFilter="0" pivotTables="0"/>
  <mergeCells count="1">
    <mergeCell ref="I4:K4"/>
  </mergeCells>
  <pageMargins left="0.45" right="0.33" top="0.62" bottom="0.56999999999999995" header="0.31496062992125984" footer="0.31496062992125984"/>
  <pageSetup paperSize="8" scale="61" orientation="landscape" r:id="rId1"/>
  <headerFooter>
    <oddHeader>&amp;C&amp;A</oddHeader>
    <oddFooter>&amp;L&amp;D &amp;T&amp;C&amp;Z&amp;R&amp;F</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FF00"/>
    <pageSetUpPr fitToPage="1"/>
  </sheetPr>
  <dimension ref="A1:XFD407"/>
  <sheetViews>
    <sheetView showGridLines="0" zoomScale="85" zoomScaleNormal="85" zoomScaleSheetLayoutView="85" workbookViewId="0">
      <pane xSplit="1" ySplit="5" topLeftCell="B6" activePane="bottomRight" state="frozen"/>
      <selection pane="topRight"/>
      <selection pane="bottomLeft"/>
      <selection pane="bottomRight" activeCell="O46" sqref="O46"/>
    </sheetView>
  </sheetViews>
  <sheetFormatPr defaultColWidth="0" defaultRowHeight="12.75" customHeight="1" zeroHeight="1"/>
  <cols>
    <col min="1" max="1" width="31.3828125" style="126" customWidth="1"/>
    <col min="2" max="2" width="12.3828125" style="121" customWidth="1"/>
    <col min="3" max="3" width="11.3828125" style="140" customWidth="1"/>
    <col min="4" max="4" width="9.15234375" style="140" customWidth="1"/>
    <col min="5" max="5" width="14.4609375" style="140" bestFit="1" customWidth="1"/>
    <col min="6" max="6" width="9.15234375" style="126" customWidth="1"/>
    <col min="7" max="7" width="9.3828125" style="126" customWidth="1"/>
    <col min="8" max="8" width="10.765625" style="126" customWidth="1"/>
    <col min="9" max="9" width="9.15234375" style="126" customWidth="1"/>
    <col min="10" max="10" width="11.765625" style="126" customWidth="1"/>
    <col min="11" max="11" width="9.3828125" style="126" customWidth="1"/>
    <col min="12" max="12" width="10.3828125" style="126" customWidth="1"/>
    <col min="13" max="13" width="9.3828125" style="126" customWidth="1"/>
    <col min="14" max="14" width="9" customWidth="1"/>
    <col min="15" max="15" width="14" style="519" customWidth="1"/>
    <col min="16" max="16" width="14" style="121" customWidth="1"/>
    <col min="18" max="18" width="11.4609375" style="121" hidden="1" customWidth="1"/>
    <col min="19" max="19" width="6.61328125" style="121" hidden="1" customWidth="1"/>
    <col min="20" max="20" width="18.15234375" style="121" hidden="1" customWidth="1"/>
    <col min="21" max="21" width="18.15234375" style="126" hidden="1" customWidth="1"/>
    <col min="22" max="22" width="11.4609375" style="126" hidden="1" customWidth="1"/>
    <col min="23" max="23" width="6.61328125" style="126" hidden="1" customWidth="1"/>
    <col min="24" max="31" width="18.15234375" style="126" hidden="1" customWidth="1"/>
    <col min="32" max="16383" width="9" style="126" hidden="1"/>
    <col min="16384" max="16384" width="12" style="126" customWidth="1"/>
  </cols>
  <sheetData>
    <row r="1" spans="1:26" s="121" customFormat="1" ht="15">
      <c r="A1" s="118" t="s">
        <v>126</v>
      </c>
      <c r="B1" s="119"/>
      <c r="C1" s="120"/>
      <c r="D1" s="120"/>
      <c r="E1" s="120"/>
      <c r="O1" s="519"/>
    </row>
    <row r="2" spans="1:26" s="121" customFormat="1" ht="27">
      <c r="A2" s="55" t="str">
        <f>CompName</f>
        <v>National Grid Electricity System Operator Ltd</v>
      </c>
      <c r="C2" s="120"/>
      <c r="D2" s="120"/>
      <c r="E2" s="120"/>
      <c r="O2" s="519"/>
    </row>
    <row r="3" spans="1:26" ht="22.5" customHeight="1">
      <c r="A3" s="15" t="str">
        <f>'R5 Input page'!F7</f>
        <v>Regulatory Year ending 31 March 2021</v>
      </c>
      <c r="B3" s="123"/>
      <c r="C3" s="124" t="s">
        <v>0</v>
      </c>
      <c r="D3" s="125"/>
      <c r="E3" s="125"/>
      <c r="G3" s="618" t="s">
        <v>119</v>
      </c>
      <c r="H3" s="618"/>
      <c r="I3" s="127"/>
      <c r="J3" s="127"/>
      <c r="K3" s="127"/>
      <c r="L3" s="127"/>
      <c r="M3" s="127"/>
      <c r="O3" s="128"/>
      <c r="P3" s="128" t="s">
        <v>121</v>
      </c>
      <c r="S3" s="123"/>
    </row>
    <row r="4" spans="1:26" s="121" customFormat="1" ht="14.5">
      <c r="B4" s="129">
        <v>2010</v>
      </c>
      <c r="C4" s="129">
        <v>2011</v>
      </c>
      <c r="D4" s="129">
        <v>2012</v>
      </c>
      <c r="E4" s="129">
        <v>2013</v>
      </c>
      <c r="F4" s="129">
        <v>2014</v>
      </c>
      <c r="G4" s="129">
        <v>2015</v>
      </c>
      <c r="H4" s="129">
        <v>2016</v>
      </c>
      <c r="I4" s="129">
        <v>2017</v>
      </c>
      <c r="J4" s="129">
        <v>2018</v>
      </c>
      <c r="K4" s="129">
        <v>2019</v>
      </c>
      <c r="L4" s="129">
        <v>2020</v>
      </c>
      <c r="M4" s="129">
        <v>2021</v>
      </c>
      <c r="N4" s="593">
        <v>2022</v>
      </c>
      <c r="O4" s="593">
        <v>2023</v>
      </c>
      <c r="P4" s="130" t="s">
        <v>338</v>
      </c>
      <c r="U4" s="126"/>
      <c r="V4" s="126"/>
      <c r="W4" s="126"/>
      <c r="X4" s="126"/>
      <c r="Y4" s="126"/>
      <c r="Z4" s="126"/>
    </row>
    <row r="5" spans="1:26" ht="15">
      <c r="A5" s="118" t="s">
        <v>127</v>
      </c>
      <c r="B5" s="131"/>
      <c r="C5" s="132"/>
      <c r="D5" s="132"/>
      <c r="E5" s="132"/>
      <c r="F5" s="133"/>
      <c r="G5" s="133"/>
      <c r="H5" s="133"/>
      <c r="I5" s="133"/>
      <c r="J5" s="133"/>
      <c r="K5" s="133"/>
      <c r="L5" s="133"/>
      <c r="M5" s="133"/>
      <c r="O5" s="128"/>
      <c r="P5" s="128"/>
      <c r="S5" s="123"/>
    </row>
    <row r="6" spans="1:26" ht="15">
      <c r="A6" s="121" t="s">
        <v>297</v>
      </c>
      <c r="C6" s="120"/>
      <c r="D6" s="120"/>
      <c r="E6" s="622" t="s">
        <v>900</v>
      </c>
      <c r="F6" s="623"/>
      <c r="G6" s="623"/>
      <c r="H6" s="623"/>
      <c r="I6" s="623"/>
      <c r="J6" s="624"/>
      <c r="K6" s="134"/>
      <c r="L6" s="134"/>
      <c r="M6" s="134"/>
      <c r="O6" s="128"/>
      <c r="P6" s="128" t="s">
        <v>128</v>
      </c>
    </row>
    <row r="7" spans="1:26" ht="15">
      <c r="A7" s="121" t="s">
        <v>129</v>
      </c>
      <c r="C7" s="120"/>
      <c r="D7" s="120"/>
      <c r="E7" s="120"/>
      <c r="F7" s="619" t="s">
        <v>1045</v>
      </c>
      <c r="G7" s="620"/>
      <c r="H7" s="620"/>
      <c r="I7" s="621"/>
      <c r="J7" s="134"/>
      <c r="K7" s="134"/>
      <c r="L7" s="134"/>
      <c r="M7" s="134"/>
      <c r="O7" s="128"/>
      <c r="P7" s="128" t="s">
        <v>158</v>
      </c>
    </row>
    <row r="8" spans="1:26" s="121" customFormat="1" ht="13.5">
      <c r="A8" s="122"/>
      <c r="C8" s="120"/>
      <c r="D8" s="120"/>
      <c r="E8" s="120"/>
      <c r="F8" s="135"/>
      <c r="O8" s="128"/>
      <c r="P8" s="128"/>
      <c r="U8" s="126"/>
      <c r="V8" s="126"/>
      <c r="W8" s="126"/>
      <c r="X8" s="126"/>
      <c r="Y8" s="126"/>
      <c r="Z8" s="126"/>
    </row>
    <row r="9" spans="1:26" s="121" customFormat="1" ht="13.5">
      <c r="A9" s="122"/>
      <c r="O9" s="128"/>
      <c r="P9" s="128"/>
      <c r="U9" s="126"/>
      <c r="V9" s="126"/>
      <c r="W9" s="126"/>
      <c r="X9" s="126"/>
      <c r="Y9" s="126"/>
      <c r="Z9" s="126"/>
    </row>
    <row r="10" spans="1:26" s="121" customFormat="1" ht="13.5">
      <c r="A10" s="122" t="s">
        <v>144</v>
      </c>
      <c r="C10" s="120" t="s">
        <v>133</v>
      </c>
      <c r="D10" s="300">
        <f>ROUND(D11/$B$11,3)</f>
        <v>1.1000000000000001</v>
      </c>
      <c r="E10" s="364">
        <f>ROUND(E11/$B$11,3)</f>
        <v>1.1339999999999999</v>
      </c>
      <c r="F10" s="300">
        <f t="shared" ref="F10:O10" si="0">ROUND(F11/$B$11,3)</f>
        <v>1.167</v>
      </c>
      <c r="G10" s="300">
        <f t="shared" si="0"/>
        <v>1.19</v>
      </c>
      <c r="H10" s="300">
        <f t="shared" si="0"/>
        <v>1.202</v>
      </c>
      <c r="I10" s="300">
        <f t="shared" si="0"/>
        <v>1.228</v>
      </c>
      <c r="J10" s="300">
        <f t="shared" si="0"/>
        <v>1.274</v>
      </c>
      <c r="K10" s="300">
        <f t="shared" si="0"/>
        <v>1.3129999999999999</v>
      </c>
      <c r="L10" s="300">
        <f t="shared" si="0"/>
        <v>1.347</v>
      </c>
      <c r="M10" s="300">
        <f t="shared" si="0"/>
        <v>1.363</v>
      </c>
      <c r="N10" s="300">
        <f t="shared" si="0"/>
        <v>1.383</v>
      </c>
      <c r="O10" s="300">
        <f t="shared" si="0"/>
        <v>1.4079999999999999</v>
      </c>
      <c r="P10" s="128" t="s">
        <v>142</v>
      </c>
      <c r="U10" s="126"/>
      <c r="V10" s="126"/>
      <c r="W10" s="126"/>
      <c r="X10" s="126"/>
      <c r="Y10" s="126"/>
      <c r="Z10" s="126"/>
    </row>
    <row r="11" spans="1:26" s="121" customFormat="1" ht="27">
      <c r="A11" s="122" t="s">
        <v>145</v>
      </c>
      <c r="B11" s="299">
        <v>215.767</v>
      </c>
      <c r="C11" s="299">
        <v>226.47499999999999</v>
      </c>
      <c r="D11" s="299">
        <v>237.34200000000001</v>
      </c>
      <c r="E11" s="299">
        <v>244.67500000000001</v>
      </c>
      <c r="F11" s="299">
        <v>251.733</v>
      </c>
      <c r="G11" s="299">
        <v>256.66699999999997</v>
      </c>
      <c r="H11" s="299">
        <v>259.43299999999999</v>
      </c>
      <c r="I11" s="299">
        <v>264.99200000000002</v>
      </c>
      <c r="J11" s="299">
        <v>274.90800000000002</v>
      </c>
      <c r="K11" s="563">
        <v>283.30799999999999</v>
      </c>
      <c r="L11" s="563">
        <v>290.642</v>
      </c>
      <c r="M11" s="563">
        <v>294.17509269226207</v>
      </c>
      <c r="N11" s="563">
        <v>298.31993410998405</v>
      </c>
      <c r="O11" s="563">
        <v>303.87812996757594</v>
      </c>
      <c r="P11" s="611" t="s">
        <v>1056</v>
      </c>
      <c r="U11" s="126"/>
      <c r="V11" s="126"/>
      <c r="W11" s="126"/>
      <c r="X11" s="126"/>
      <c r="Y11" s="126"/>
      <c r="Z11" s="126"/>
    </row>
    <row r="12" spans="1:26" s="121" customFormat="1" ht="13.5">
      <c r="A12" s="122"/>
      <c r="C12" s="120"/>
      <c r="D12" s="135"/>
      <c r="E12" s="135"/>
      <c r="F12" s="135"/>
      <c r="G12" s="306"/>
      <c r="H12" s="306"/>
      <c r="I12" s="306"/>
      <c r="J12" s="306"/>
      <c r="K12" s="306"/>
      <c r="L12" s="306"/>
      <c r="M12" s="306"/>
      <c r="N12" s="609"/>
      <c r="O12" s="609"/>
      <c r="P12" s="128"/>
      <c r="U12" s="126"/>
      <c r="V12" s="126"/>
      <c r="W12" s="126"/>
      <c r="X12" s="126"/>
      <c r="Y12" s="126"/>
      <c r="Z12" s="126"/>
    </row>
    <row r="13" spans="1:26" s="137" customFormat="1" ht="13.5">
      <c r="A13" s="136" t="s">
        <v>197</v>
      </c>
      <c r="O13" s="402"/>
    </row>
    <row r="14" spans="1:26" s="137" customFormat="1" ht="14.5">
      <c r="C14" s="136" t="s">
        <v>198</v>
      </c>
      <c r="D14" s="138">
        <v>2012</v>
      </c>
      <c r="E14" s="138">
        <v>2013</v>
      </c>
      <c r="F14" s="138">
        <v>2014</v>
      </c>
      <c r="G14" s="138">
        <v>2015</v>
      </c>
      <c r="H14" s="138">
        <v>2016</v>
      </c>
      <c r="I14" s="138">
        <v>2017</v>
      </c>
      <c r="J14" s="138">
        <v>2018</v>
      </c>
      <c r="K14" s="138">
        <v>2019</v>
      </c>
      <c r="L14" s="138">
        <v>2020</v>
      </c>
      <c r="M14" s="138">
        <v>2021</v>
      </c>
      <c r="O14" s="402"/>
    </row>
    <row r="15" spans="1:26" s="137" customFormat="1" ht="13.5">
      <c r="A15" s="137" t="s">
        <v>199</v>
      </c>
      <c r="B15" s="137" t="s">
        <v>200</v>
      </c>
      <c r="D15" s="94">
        <v>3.3000000000000002E-2</v>
      </c>
      <c r="E15" s="94">
        <v>2.5999999999999999E-2</v>
      </c>
      <c r="O15" s="402"/>
    </row>
    <row r="16" spans="1:26" s="137" customFormat="1" ht="13.5">
      <c r="A16" s="137" t="s">
        <v>199</v>
      </c>
      <c r="B16" s="137" t="s">
        <v>201</v>
      </c>
      <c r="D16" s="94">
        <v>3.1E-2</v>
      </c>
      <c r="E16" s="94">
        <v>2.7E-2</v>
      </c>
      <c r="F16" s="94">
        <v>2.5000000000000001E-2</v>
      </c>
      <c r="G16" s="403"/>
      <c r="H16" s="403"/>
      <c r="I16" s="403"/>
      <c r="J16" s="403"/>
      <c r="K16" s="402"/>
      <c r="L16" s="402"/>
      <c r="N16" s="137">
        <v>4.9645839663613245E-2</v>
      </c>
      <c r="O16" s="402">
        <v>5.1731533017256748E-2</v>
      </c>
      <c r="P16" s="137">
        <v>5.3537042058398931E-2</v>
      </c>
      <c r="Q16" s="137">
        <v>5.4487240225358002E-2</v>
      </c>
    </row>
    <row r="17" spans="1:26" s="137" customFormat="1" ht="13.5">
      <c r="A17" s="137" t="s">
        <v>199</v>
      </c>
      <c r="B17" s="137" t="s">
        <v>202</v>
      </c>
      <c r="D17" s="403"/>
      <c r="E17" s="94">
        <v>3.1E-2</v>
      </c>
      <c r="F17" s="94">
        <v>3.1E-2</v>
      </c>
      <c r="G17" s="94">
        <v>0.03</v>
      </c>
      <c r="H17" s="403"/>
      <c r="I17" s="403"/>
      <c r="J17" s="403"/>
      <c r="K17" s="402"/>
      <c r="L17" s="402"/>
      <c r="O17" s="402"/>
    </row>
    <row r="18" spans="1:26" s="137" customFormat="1" ht="13.5">
      <c r="A18" s="137" t="s">
        <v>199</v>
      </c>
      <c r="B18" s="137" t="s">
        <v>203</v>
      </c>
      <c r="D18" s="403"/>
      <c r="E18" s="512"/>
      <c r="F18" s="94">
        <v>2.5000000000000001E-2</v>
      </c>
      <c r="G18" s="94">
        <v>2.4E-2</v>
      </c>
      <c r="H18" s="94">
        <v>3.2000000000000001E-2</v>
      </c>
      <c r="I18" s="403"/>
      <c r="J18" s="403"/>
      <c r="K18" s="402"/>
      <c r="L18" s="402"/>
      <c r="N18" s="137">
        <v>1.4089708886598107E-2</v>
      </c>
      <c r="O18" s="402">
        <v>1.8631660918585258E-2</v>
      </c>
      <c r="P18" s="137">
        <v>2.6810805954428085E-2</v>
      </c>
    </row>
    <row r="19" spans="1:26" s="137" customFormat="1" ht="13.5">
      <c r="A19" s="137" t="s">
        <v>199</v>
      </c>
      <c r="B19" s="137" t="s">
        <v>204</v>
      </c>
      <c r="D19" s="403"/>
      <c r="E19" s="403"/>
      <c r="F19" s="403"/>
      <c r="G19" s="94">
        <v>0.01</v>
      </c>
      <c r="H19" s="94">
        <v>2.1000000000000001E-2</v>
      </c>
      <c r="I19" s="94">
        <v>0.03</v>
      </c>
      <c r="J19" s="403"/>
      <c r="K19" s="402"/>
      <c r="L19" s="402"/>
      <c r="N19" s="137">
        <f>1+N18</f>
        <v>1.0140897088865981</v>
      </c>
      <c r="O19" s="402">
        <f t="shared" ref="O19:P19" si="1">1+O18</f>
        <v>1.0186316609185853</v>
      </c>
      <c r="P19" s="402">
        <f t="shared" si="1"/>
        <v>1.0268108059544281</v>
      </c>
    </row>
    <row r="20" spans="1:26" s="137" customFormat="1" ht="13.5">
      <c r="A20" s="137" t="s">
        <v>199</v>
      </c>
      <c r="B20" s="137" t="s">
        <v>205</v>
      </c>
      <c r="D20" s="403"/>
      <c r="E20" s="403"/>
      <c r="F20" s="403"/>
      <c r="G20" s="403"/>
      <c r="H20" s="94">
        <v>1.7999999999999999E-2</v>
      </c>
      <c r="I20" s="94">
        <v>3.5000000000000003E-2</v>
      </c>
      <c r="J20" s="94">
        <v>3.1E-2</v>
      </c>
      <c r="K20" s="402"/>
      <c r="L20" s="402"/>
      <c r="N20" s="614">
        <f>N16/N19</f>
        <v>4.8956062987880057E-2</v>
      </c>
      <c r="O20" s="614">
        <f t="shared" ref="O20:P20" si="2">O16/O19</f>
        <v>5.0785318189114699E-2</v>
      </c>
      <c r="P20" s="614">
        <f t="shared" si="2"/>
        <v>5.2139149440130664E-2</v>
      </c>
    </row>
    <row r="21" spans="1:26" s="137" customFormat="1" ht="13.5">
      <c r="A21" s="137" t="s">
        <v>199</v>
      </c>
      <c r="B21" s="137" t="s">
        <v>206</v>
      </c>
      <c r="D21" s="403"/>
      <c r="E21" s="403"/>
      <c r="F21" s="403"/>
      <c r="G21" s="403"/>
      <c r="H21" s="403"/>
      <c r="I21" s="94">
        <v>3.5999999999999997E-2</v>
      </c>
      <c r="J21" s="94">
        <v>3.4000000000000002E-2</v>
      </c>
      <c r="K21" s="94">
        <v>3.1E-2</v>
      </c>
      <c r="L21" s="402"/>
      <c r="O21" s="402"/>
    </row>
    <row r="22" spans="1:26" s="137" customFormat="1" ht="13.5">
      <c r="A22" s="137" t="s">
        <v>199</v>
      </c>
      <c r="B22" s="137" t="s">
        <v>207</v>
      </c>
      <c r="D22" s="403"/>
      <c r="E22" s="403"/>
      <c r="F22" s="403"/>
      <c r="G22" s="403"/>
      <c r="H22" s="403"/>
      <c r="I22" s="403"/>
      <c r="J22" s="94">
        <v>3.4000000000000002E-2</v>
      </c>
      <c r="K22" s="94">
        <v>3.2000000000000001E-2</v>
      </c>
      <c r="L22" s="94">
        <v>3.1E-2</v>
      </c>
      <c r="O22" s="402"/>
    </row>
    <row r="23" spans="1:26" s="137" customFormat="1" ht="13.5">
      <c r="A23" s="137" t="s">
        <v>199</v>
      </c>
      <c r="B23" s="137" t="s">
        <v>208</v>
      </c>
      <c r="F23" s="454"/>
      <c r="K23" s="94">
        <v>2.5999999999999999E-2</v>
      </c>
      <c r="L23" s="94">
        <v>2.4E-2</v>
      </c>
      <c r="M23" s="94">
        <v>2.7E-2</v>
      </c>
      <c r="O23" s="402"/>
    </row>
    <row r="24" spans="1:26" s="402" customFormat="1" ht="13.5">
      <c r="A24" s="594" t="s">
        <v>199</v>
      </c>
      <c r="B24" s="595" t="s">
        <v>1037</v>
      </c>
      <c r="F24" s="454"/>
      <c r="K24" s="596"/>
      <c r="L24" s="94">
        <v>1.4999999999999999E-2</v>
      </c>
      <c r="M24" s="94">
        <v>2.3E-2</v>
      </c>
      <c r="N24" s="94">
        <v>2.7E-2</v>
      </c>
      <c r="P24" s="610" t="s">
        <v>1058</v>
      </c>
    </row>
    <row r="25" spans="1:26" s="137" customFormat="1" ht="13.5">
      <c r="A25" s="594" t="s">
        <v>199</v>
      </c>
      <c r="B25" s="595" t="s">
        <v>1038</v>
      </c>
      <c r="L25" s="596"/>
      <c r="M25" s="94">
        <v>2.3E-2</v>
      </c>
      <c r="N25" s="94">
        <v>2.7E-2</v>
      </c>
      <c r="O25" s="94">
        <v>2.8000000000000001E-2</v>
      </c>
      <c r="P25" s="610" t="s">
        <v>1058</v>
      </c>
    </row>
    <row r="26" spans="1:26" s="121" customFormat="1" ht="27" hidden="1">
      <c r="A26" s="122" t="s">
        <v>135</v>
      </c>
      <c r="B26" s="121" t="s">
        <v>310</v>
      </c>
      <c r="C26" s="120" t="s">
        <v>1</v>
      </c>
      <c r="D26" s="137"/>
      <c r="E26" s="137"/>
      <c r="F26" s="99">
        <v>0</v>
      </c>
      <c r="G26" s="99">
        <v>-5.4</v>
      </c>
      <c r="H26" s="99">
        <v>-114.4</v>
      </c>
      <c r="I26" s="99">
        <v>-185.4</v>
      </c>
      <c r="J26" s="99">
        <v>-253.3</v>
      </c>
      <c r="K26" s="99">
        <v>-310.2</v>
      </c>
      <c r="L26" s="99">
        <v>-378</v>
      </c>
      <c r="M26" s="56"/>
      <c r="O26" s="128"/>
      <c r="P26" s="128" t="s">
        <v>310</v>
      </c>
      <c r="U26" s="126"/>
      <c r="V26" s="126"/>
      <c r="W26" s="126"/>
      <c r="X26" s="126"/>
      <c r="Y26" s="126"/>
      <c r="Z26" s="126"/>
    </row>
    <row r="27" spans="1:26" s="121" customFormat="1" ht="13.5">
      <c r="A27" s="122"/>
      <c r="C27" s="120"/>
      <c r="D27" s="137"/>
      <c r="E27" s="137"/>
      <c r="F27" s="135"/>
      <c r="K27" s="503"/>
      <c r="N27" s="402" t="s">
        <v>1035</v>
      </c>
      <c r="O27" s="402" t="s">
        <v>1036</v>
      </c>
      <c r="P27" s="128"/>
      <c r="U27" s="126"/>
      <c r="V27" s="126"/>
      <c r="W27" s="126"/>
      <c r="X27" s="126"/>
      <c r="Y27" s="126"/>
      <c r="Z27" s="126"/>
    </row>
    <row r="28" spans="1:26" s="121" customFormat="1" ht="27">
      <c r="A28" s="122" t="s">
        <v>136</v>
      </c>
      <c r="B28" s="121" t="s">
        <v>134</v>
      </c>
      <c r="C28" s="120" t="s">
        <v>984</v>
      </c>
      <c r="D28" s="137"/>
      <c r="E28" s="137"/>
      <c r="F28" s="99">
        <v>0</v>
      </c>
      <c r="G28" s="99">
        <v>3.7</v>
      </c>
      <c r="H28" s="99">
        <v>6</v>
      </c>
      <c r="I28" s="99">
        <v>20.9</v>
      </c>
      <c r="J28" s="99">
        <v>9.1999999999999993</v>
      </c>
      <c r="K28" s="99">
        <v>30.1</v>
      </c>
      <c r="L28" s="99">
        <v>97</v>
      </c>
      <c r="M28" s="93">
        <v>36.299999999999997</v>
      </c>
      <c r="N28" s="93">
        <v>11.10123468639711</v>
      </c>
      <c r="O28" s="93">
        <v>12.314230457944612</v>
      </c>
      <c r="P28" s="610" t="s">
        <v>1041</v>
      </c>
      <c r="U28" s="126"/>
      <c r="V28" s="126"/>
      <c r="W28" s="126"/>
      <c r="X28" s="126"/>
      <c r="Y28" s="126"/>
      <c r="Z28" s="126"/>
    </row>
    <row r="29" spans="1:26" s="121" customFormat="1" ht="13.5">
      <c r="A29" s="122"/>
      <c r="C29" s="120"/>
      <c r="D29" s="137"/>
      <c r="E29" s="137"/>
      <c r="F29" s="135"/>
      <c r="O29" s="128"/>
      <c r="P29" s="128"/>
      <c r="U29" s="126"/>
      <c r="V29" s="126"/>
      <c r="W29" s="126"/>
      <c r="X29" s="126"/>
      <c r="Y29" s="126"/>
      <c r="Z29" s="126"/>
    </row>
    <row r="30" spans="1:26" s="121" customFormat="1" ht="13.5">
      <c r="A30" s="121" t="s">
        <v>33</v>
      </c>
      <c r="B30" s="121" t="s">
        <v>305</v>
      </c>
      <c r="C30" s="120" t="s">
        <v>985</v>
      </c>
      <c r="D30" s="135"/>
      <c r="E30" s="524"/>
      <c r="F30" s="524"/>
      <c r="G30" s="524"/>
      <c r="H30" s="524"/>
      <c r="I30" s="524"/>
      <c r="J30" s="524"/>
      <c r="K30" s="524"/>
      <c r="L30" s="72"/>
      <c r="M30" s="72"/>
      <c r="O30" s="128"/>
      <c r="P30" s="128" t="s">
        <v>305</v>
      </c>
      <c r="U30" s="126"/>
      <c r="V30" s="126"/>
      <c r="W30" s="126"/>
      <c r="X30" s="126"/>
      <c r="Y30" s="126"/>
      <c r="Z30" s="126"/>
    </row>
    <row r="31" spans="1:26" s="121" customFormat="1" ht="13.5" hidden="1">
      <c r="A31" s="121" t="s">
        <v>306</v>
      </c>
      <c r="B31" s="121" t="s">
        <v>11</v>
      </c>
      <c r="C31" s="120" t="s">
        <v>1</v>
      </c>
      <c r="D31" s="135"/>
      <c r="E31" s="524"/>
      <c r="F31" s="135"/>
      <c r="O31" s="128"/>
      <c r="P31" s="128"/>
      <c r="U31" s="126"/>
      <c r="V31" s="126"/>
      <c r="W31" s="126"/>
      <c r="X31" s="126"/>
      <c r="Y31" s="126"/>
      <c r="Z31" s="126"/>
    </row>
    <row r="32" spans="1:26" s="298" customFormat="1" ht="13.5" hidden="1">
      <c r="C32" s="120"/>
      <c r="D32" s="135"/>
      <c r="E32" s="301"/>
      <c r="F32" s="301"/>
      <c r="G32" s="301"/>
      <c r="H32" s="301"/>
      <c r="I32" s="301"/>
      <c r="J32" s="301"/>
      <c r="K32" s="301"/>
      <c r="L32" s="301"/>
      <c r="M32" s="301"/>
      <c r="O32" s="128"/>
      <c r="P32" s="128"/>
      <c r="U32" s="126"/>
      <c r="V32" s="126"/>
      <c r="W32" s="126"/>
      <c r="X32" s="126"/>
      <c r="Y32" s="126"/>
      <c r="Z32" s="126"/>
    </row>
    <row r="33" spans="1:26" s="298" customFormat="1" ht="27" hidden="1">
      <c r="A33" s="122" t="s">
        <v>545</v>
      </c>
      <c r="C33" s="120"/>
      <c r="D33" s="135"/>
      <c r="E33" s="135"/>
      <c r="F33" s="135"/>
      <c r="O33" s="128"/>
      <c r="P33" s="128"/>
      <c r="U33" s="126"/>
      <c r="V33" s="126"/>
      <c r="W33" s="126"/>
      <c r="X33" s="126"/>
      <c r="Y33" s="126"/>
      <c r="Z33" s="126"/>
    </row>
    <row r="34" spans="1:26" s="298" customFormat="1" ht="13.5" hidden="1">
      <c r="A34" s="298" t="s">
        <v>532</v>
      </c>
      <c r="B34" s="298" t="s">
        <v>533</v>
      </c>
      <c r="C34" s="120" t="s">
        <v>1</v>
      </c>
      <c r="D34" s="135"/>
      <c r="E34" s="99">
        <v>1433.655</v>
      </c>
      <c r="F34" s="135"/>
      <c r="O34" s="128"/>
      <c r="P34" s="128"/>
      <c r="U34" s="126"/>
      <c r="V34" s="126"/>
      <c r="W34" s="126"/>
      <c r="X34" s="126"/>
      <c r="Y34" s="126"/>
      <c r="Z34" s="126"/>
    </row>
    <row r="35" spans="1:26" s="121" customFormat="1" ht="27" hidden="1">
      <c r="A35" s="272" t="s">
        <v>493</v>
      </c>
      <c r="B35" s="139" t="s">
        <v>534</v>
      </c>
      <c r="C35" s="281" t="s">
        <v>1</v>
      </c>
      <c r="D35" s="135"/>
      <c r="E35" s="99">
        <v>-4.6959999999999997</v>
      </c>
      <c r="F35" s="135"/>
      <c r="O35" s="128"/>
      <c r="P35" s="128"/>
      <c r="U35" s="126"/>
      <c r="V35" s="126"/>
      <c r="W35" s="126"/>
      <c r="X35" s="126"/>
      <c r="Y35" s="126"/>
      <c r="Z35" s="126"/>
    </row>
    <row r="36" spans="1:26" s="271" customFormat="1" ht="27" hidden="1">
      <c r="A36" s="283" t="s">
        <v>494</v>
      </c>
      <c r="B36" s="139" t="s">
        <v>495</v>
      </c>
      <c r="C36" s="281" t="s">
        <v>1</v>
      </c>
      <c r="D36" s="135"/>
      <c r="E36" s="99">
        <v>47.984999999999999</v>
      </c>
      <c r="F36" s="135"/>
      <c r="O36" s="128"/>
      <c r="P36" s="128"/>
      <c r="U36" s="126"/>
      <c r="V36" s="126"/>
      <c r="W36" s="126"/>
      <c r="X36" s="126"/>
      <c r="Y36" s="126"/>
      <c r="Z36" s="126"/>
    </row>
    <row r="37" spans="1:26" s="271" customFormat="1" ht="13.5" hidden="1">
      <c r="A37" s="170" t="s">
        <v>496</v>
      </c>
      <c r="B37" s="139" t="s">
        <v>497</v>
      </c>
      <c r="C37" s="281" t="s">
        <v>1</v>
      </c>
      <c r="D37" s="135"/>
      <c r="E37" s="99">
        <v>83.218999999999994</v>
      </c>
      <c r="F37" s="135"/>
      <c r="O37" s="128"/>
      <c r="P37" s="128"/>
      <c r="U37" s="126"/>
      <c r="V37" s="126"/>
      <c r="W37" s="126"/>
      <c r="X37" s="126"/>
      <c r="Y37" s="126"/>
      <c r="Z37" s="126"/>
    </row>
    <row r="38" spans="1:26" s="298" customFormat="1" ht="13.5" hidden="1">
      <c r="A38" s="170" t="s">
        <v>536</v>
      </c>
      <c r="B38" s="139" t="s">
        <v>535</v>
      </c>
      <c r="C38" s="281" t="s">
        <v>1</v>
      </c>
      <c r="D38" s="135"/>
      <c r="E38" s="99">
        <v>0</v>
      </c>
      <c r="F38" s="135"/>
      <c r="O38" s="128"/>
      <c r="P38" s="128"/>
      <c r="U38" s="126"/>
      <c r="V38" s="126"/>
      <c r="W38" s="126"/>
      <c r="X38" s="126"/>
      <c r="Y38" s="126"/>
      <c r="Z38" s="126"/>
    </row>
    <row r="39" spans="1:26" s="298" customFormat="1" ht="13.5" hidden="1">
      <c r="A39" s="170" t="s">
        <v>537</v>
      </c>
      <c r="B39" s="139" t="s">
        <v>539</v>
      </c>
      <c r="C39" s="281" t="s">
        <v>1</v>
      </c>
      <c r="D39" s="135"/>
      <c r="E39" s="99">
        <v>0</v>
      </c>
      <c r="F39" s="135"/>
      <c r="O39" s="128"/>
      <c r="P39" s="128"/>
      <c r="U39" s="126"/>
      <c r="V39" s="126"/>
      <c r="W39" s="126"/>
      <c r="X39" s="126"/>
      <c r="Y39" s="126"/>
      <c r="Z39" s="126"/>
    </row>
    <row r="40" spans="1:26" s="298" customFormat="1" ht="13.5" hidden="1">
      <c r="A40" s="170" t="s">
        <v>538</v>
      </c>
      <c r="B40" s="139" t="s">
        <v>540</v>
      </c>
      <c r="C40" s="281" t="s">
        <v>1</v>
      </c>
      <c r="D40" s="135"/>
      <c r="E40" s="99">
        <v>16.14</v>
      </c>
      <c r="F40" s="135"/>
      <c r="O40" s="128"/>
      <c r="P40" s="128"/>
      <c r="U40" s="126"/>
      <c r="V40" s="126"/>
      <c r="W40" s="126"/>
      <c r="X40" s="126"/>
      <c r="Y40" s="126"/>
      <c r="Z40" s="126"/>
    </row>
    <row r="41" spans="1:26" s="298" customFormat="1" ht="13.5" hidden="1">
      <c r="A41" s="170" t="s">
        <v>541</v>
      </c>
      <c r="B41" s="139" t="s">
        <v>542</v>
      </c>
      <c r="C41" s="281" t="s">
        <v>1</v>
      </c>
      <c r="D41" s="135"/>
      <c r="E41" s="99">
        <v>12.794</v>
      </c>
      <c r="F41" s="135"/>
      <c r="O41" s="128"/>
      <c r="P41" s="128"/>
      <c r="U41" s="126"/>
      <c r="V41" s="126"/>
      <c r="W41" s="126"/>
      <c r="X41" s="126"/>
      <c r="Y41" s="126"/>
      <c r="Z41" s="126"/>
    </row>
    <row r="42" spans="1:26" s="298" customFormat="1" ht="13.5" hidden="1">
      <c r="A42" s="170" t="s">
        <v>544</v>
      </c>
      <c r="B42" s="139" t="s">
        <v>543</v>
      </c>
      <c r="C42" s="281" t="s">
        <v>1</v>
      </c>
      <c r="D42" s="135"/>
      <c r="E42" s="99">
        <v>8</v>
      </c>
      <c r="F42" s="135"/>
      <c r="O42" s="128"/>
      <c r="P42" s="128"/>
      <c r="U42" s="126"/>
      <c r="V42" s="126"/>
      <c r="W42" s="126"/>
      <c r="X42" s="126"/>
      <c r="Y42" s="126"/>
      <c r="Z42" s="126"/>
    </row>
    <row r="43" spans="1:26" s="519" customFormat="1" ht="13.5">
      <c r="A43" s="170"/>
      <c r="B43" s="403"/>
      <c r="C43" s="281"/>
      <c r="D43" s="135"/>
      <c r="F43" s="135"/>
      <c r="O43" s="128"/>
      <c r="P43" s="128"/>
      <c r="U43" s="126"/>
      <c r="V43" s="126"/>
      <c r="W43" s="126"/>
      <c r="X43" s="126"/>
      <c r="Y43" s="126"/>
      <c r="Z43" s="126"/>
    </row>
    <row r="44" spans="1:26" s="523" customFormat="1" ht="13.5">
      <c r="A44" s="523" t="s">
        <v>901</v>
      </c>
      <c r="B44" s="523" t="s">
        <v>902</v>
      </c>
      <c r="C44" s="120" t="s">
        <v>985</v>
      </c>
      <c r="D44" s="135"/>
      <c r="E44" s="524"/>
      <c r="F44" s="524"/>
      <c r="G44" s="524"/>
      <c r="H44" s="524"/>
      <c r="I44" s="524"/>
      <c r="J44" s="524"/>
      <c r="K44" s="524"/>
      <c r="L44" s="72"/>
      <c r="M44" s="72"/>
      <c r="O44" s="128"/>
      <c r="P44" s="128" t="s">
        <v>902</v>
      </c>
      <c r="U44" s="126"/>
      <c r="V44" s="126"/>
      <c r="W44" s="126"/>
      <c r="X44" s="126"/>
      <c r="Y44" s="126"/>
      <c r="Z44" s="126"/>
    </row>
    <row r="45" spans="1:26" s="523" customFormat="1" ht="13.5">
      <c r="A45" s="170"/>
      <c r="B45" s="403"/>
      <c r="C45" s="281"/>
      <c r="D45" s="135"/>
      <c r="F45" s="135"/>
      <c r="O45" s="128"/>
      <c r="P45" s="128"/>
      <c r="U45" s="126"/>
      <c r="V45" s="126"/>
      <c r="W45" s="126"/>
      <c r="X45" s="126"/>
      <c r="Y45" s="126"/>
      <c r="Z45" s="126"/>
    </row>
    <row r="46" spans="1:26" s="519" customFormat="1" ht="14">
      <c r="A46" s="143" t="s">
        <v>987</v>
      </c>
      <c r="B46" s="519" t="s">
        <v>853</v>
      </c>
      <c r="C46" s="120" t="s">
        <v>984</v>
      </c>
      <c r="D46" s="135"/>
      <c r="E46" s="99">
        <v>0</v>
      </c>
      <c r="F46" s="99">
        <v>0</v>
      </c>
      <c r="G46" s="99">
        <v>0</v>
      </c>
      <c r="H46" s="99">
        <v>0</v>
      </c>
      <c r="I46" s="99">
        <v>0</v>
      </c>
      <c r="J46" s="99">
        <v>0</v>
      </c>
      <c r="K46" s="99">
        <v>0</v>
      </c>
      <c r="L46" s="99">
        <v>7.18</v>
      </c>
      <c r="M46" s="99">
        <v>6.34</v>
      </c>
      <c r="O46" s="128"/>
      <c r="P46" s="128" t="s">
        <v>853</v>
      </c>
      <c r="U46" s="126"/>
      <c r="V46" s="126"/>
      <c r="W46" s="126"/>
      <c r="X46" s="126"/>
      <c r="Y46" s="126"/>
      <c r="Z46" s="126"/>
    </row>
    <row r="47" spans="1:26" s="271" customFormat="1" ht="13.5">
      <c r="A47" s="283"/>
      <c r="B47" s="139"/>
      <c r="C47" s="281"/>
      <c r="D47" s="135"/>
      <c r="E47" s="135"/>
      <c r="F47" s="135"/>
      <c r="O47" s="128"/>
      <c r="P47" s="128"/>
      <c r="U47" s="126"/>
      <c r="V47" s="126"/>
      <c r="W47" s="126"/>
      <c r="X47" s="126"/>
      <c r="Y47" s="126"/>
      <c r="Z47" s="126"/>
    </row>
    <row r="48" spans="1:26" s="121" customFormat="1" ht="14.5">
      <c r="A48" s="122" t="s">
        <v>476</v>
      </c>
      <c r="C48" s="120"/>
      <c r="D48" s="135"/>
      <c r="E48" s="135"/>
      <c r="F48" s="135"/>
      <c r="O48" s="128"/>
      <c r="P48" s="593">
        <v>2024</v>
      </c>
      <c r="U48" s="126"/>
      <c r="V48" s="126"/>
      <c r="W48" s="126"/>
      <c r="X48" s="126"/>
      <c r="Y48" s="126"/>
      <c r="Z48" s="126"/>
    </row>
    <row r="49" spans="1:26 16384:16384" s="121" customFormat="1" ht="27">
      <c r="A49" s="121" t="s">
        <v>295</v>
      </c>
      <c r="B49" s="121" t="s">
        <v>296</v>
      </c>
      <c r="C49" s="120" t="s">
        <v>122</v>
      </c>
      <c r="D49" s="120"/>
      <c r="E49" s="297">
        <v>4.7500000000000001E-2</v>
      </c>
      <c r="F49" s="297">
        <v>4.5520000000000005E-2</v>
      </c>
      <c r="G49" s="297">
        <v>4.4319999999999998E-2</v>
      </c>
      <c r="H49" s="297">
        <v>4.3300000000000005E-2</v>
      </c>
      <c r="I49" s="297">
        <v>4.2280000000000005E-2</v>
      </c>
      <c r="J49" s="297">
        <v>4.1320000000000003E-2</v>
      </c>
      <c r="K49" s="297">
        <v>3.9460000000000002E-2</v>
      </c>
      <c r="L49" s="297">
        <v>3.7480000000000006E-2</v>
      </c>
      <c r="M49" s="297">
        <v>3.4540000000000001E-2</v>
      </c>
      <c r="N49" s="297">
        <v>4.8959999999999997E-2</v>
      </c>
      <c r="O49" s="297">
        <v>5.0790000000000002E-2</v>
      </c>
      <c r="P49" s="297">
        <v>5.2139999999999999E-2</v>
      </c>
      <c r="U49" s="126"/>
      <c r="V49" s="126"/>
      <c r="W49" s="126"/>
      <c r="X49" s="126"/>
      <c r="Y49" s="126"/>
      <c r="Z49" s="126"/>
      <c r="XFD49" s="128" t="s">
        <v>296</v>
      </c>
    </row>
    <row r="50" spans="1:26 16384:16384" s="121" customFormat="1" ht="13.5">
      <c r="A50" s="121" t="s">
        <v>211</v>
      </c>
      <c r="B50" s="121" t="s">
        <v>146</v>
      </c>
      <c r="C50" s="120" t="s">
        <v>133</v>
      </c>
      <c r="D50" s="135"/>
      <c r="E50" s="278">
        <f>1+E49</f>
        <v>1.0475000000000001</v>
      </c>
      <c r="F50" s="278">
        <f t="shared" ref="F50:K50" si="3">1+F49</f>
        <v>1.04552</v>
      </c>
      <c r="G50" s="278">
        <f t="shared" si="3"/>
        <v>1.0443199999999999</v>
      </c>
      <c r="H50" s="278">
        <f t="shared" si="3"/>
        <v>1.0432999999999999</v>
      </c>
      <c r="I50" s="278">
        <f t="shared" si="3"/>
        <v>1.0422800000000001</v>
      </c>
      <c r="J50" s="278">
        <f t="shared" si="3"/>
        <v>1.04132</v>
      </c>
      <c r="K50" s="278">
        <f t="shared" si="3"/>
        <v>1.0394600000000001</v>
      </c>
      <c r="L50" s="278">
        <f>1+L49</f>
        <v>1.03748</v>
      </c>
      <c r="M50" s="278">
        <f t="shared" ref="M50:P50" si="4">1+M49</f>
        <v>1.03454</v>
      </c>
      <c r="N50" s="278">
        <f t="shared" si="4"/>
        <v>1.0489599999999999</v>
      </c>
      <c r="O50" s="278">
        <f t="shared" si="4"/>
        <v>1.0507900000000001</v>
      </c>
      <c r="P50" s="278">
        <f t="shared" si="4"/>
        <v>1.0521400000000001</v>
      </c>
      <c r="U50" s="126"/>
      <c r="V50" s="126"/>
      <c r="W50" s="126"/>
      <c r="X50" s="126"/>
      <c r="Y50" s="126"/>
      <c r="Z50" s="126"/>
      <c r="XFD50" s="128" t="s">
        <v>146</v>
      </c>
    </row>
    <row r="51" spans="1:26 16384:16384" s="121" customFormat="1" ht="13.5">
      <c r="C51" s="120"/>
      <c r="D51" s="135"/>
      <c r="E51" s="135"/>
      <c r="F51" s="135"/>
      <c r="O51" s="128"/>
      <c r="P51" s="128"/>
      <c r="U51" s="126"/>
      <c r="V51" s="126"/>
      <c r="W51" s="126"/>
      <c r="X51" s="126"/>
      <c r="Y51" s="126"/>
      <c r="Z51" s="126"/>
    </row>
    <row r="52" spans="1:26 16384:16384" s="121" customFormat="1" ht="13.5">
      <c r="A52" s="122" t="s">
        <v>477</v>
      </c>
      <c r="C52" s="120"/>
      <c r="D52" s="135"/>
      <c r="E52" s="135"/>
      <c r="F52" s="135"/>
      <c r="O52" s="128"/>
      <c r="P52" s="128"/>
      <c r="U52" s="126"/>
      <c r="V52" s="126"/>
      <c r="W52" s="126"/>
      <c r="X52" s="126"/>
      <c r="Y52" s="126"/>
      <c r="Z52" s="126"/>
    </row>
    <row r="53" spans="1:26 16384:16384" s="121" customFormat="1" ht="40.5">
      <c r="A53" s="121" t="s">
        <v>872</v>
      </c>
      <c r="C53" s="120" t="s">
        <v>985</v>
      </c>
      <c r="D53" s="135"/>
      <c r="E53" s="525"/>
      <c r="F53" s="525"/>
      <c r="G53" s="525"/>
      <c r="H53" s="525"/>
      <c r="I53" s="525"/>
      <c r="J53" s="525"/>
      <c r="K53" s="56"/>
      <c r="L53" s="56"/>
      <c r="M53" s="56"/>
      <c r="O53" s="476"/>
      <c r="P53" s="476"/>
      <c r="U53" s="126"/>
      <c r="V53" s="126"/>
      <c r="W53" s="126"/>
      <c r="X53" s="126"/>
      <c r="Y53" s="126"/>
      <c r="Z53" s="126"/>
    </row>
    <row r="54" spans="1:26 16384:16384" s="121" customFormat="1" ht="40.5">
      <c r="A54" s="121" t="s">
        <v>873</v>
      </c>
      <c r="C54" s="120" t="s">
        <v>985</v>
      </c>
      <c r="D54" s="135"/>
      <c r="E54" s="525"/>
      <c r="F54" s="525"/>
      <c r="G54" s="525"/>
      <c r="H54" s="525"/>
      <c r="I54" s="525"/>
      <c r="J54" s="525"/>
      <c r="K54" s="56"/>
      <c r="L54" s="56"/>
      <c r="M54" s="56"/>
      <c r="O54" s="476"/>
      <c r="P54" s="476"/>
      <c r="U54" s="126"/>
      <c r="V54" s="126"/>
      <c r="W54" s="126"/>
      <c r="X54" s="126"/>
      <c r="Y54" s="126"/>
      <c r="Z54" s="126"/>
    </row>
    <row r="55" spans="1:26 16384:16384" s="121" customFormat="1" ht="13.5">
      <c r="A55" s="121" t="s">
        <v>292</v>
      </c>
      <c r="B55" s="121" t="s">
        <v>291</v>
      </c>
      <c r="C55" s="120" t="s">
        <v>985</v>
      </c>
      <c r="D55" s="135"/>
      <c r="E55" s="508"/>
      <c r="F55" s="24">
        <f>E53-E54</f>
        <v>0</v>
      </c>
      <c r="G55" s="24">
        <f t="shared" ref="G55:L55" si="5">F53-F54</f>
        <v>0</v>
      </c>
      <c r="H55" s="24">
        <f t="shared" si="5"/>
        <v>0</v>
      </c>
      <c r="I55" s="24">
        <f t="shared" si="5"/>
        <v>0</v>
      </c>
      <c r="J55" s="24">
        <f t="shared" si="5"/>
        <v>0</v>
      </c>
      <c r="K55" s="24">
        <f t="shared" si="5"/>
        <v>0</v>
      </c>
      <c r="L55" s="24">
        <f t="shared" si="5"/>
        <v>0</v>
      </c>
      <c r="M55" s="24">
        <f>L53-L54</f>
        <v>0</v>
      </c>
      <c r="N55" s="24">
        <f>M53-M54</f>
        <v>0</v>
      </c>
      <c r="O55" s="128"/>
      <c r="P55" s="128" t="s">
        <v>291</v>
      </c>
      <c r="U55" s="126"/>
      <c r="V55" s="126"/>
      <c r="W55" s="126"/>
      <c r="X55" s="126"/>
      <c r="Y55" s="126"/>
      <c r="Z55" s="126"/>
    </row>
    <row r="56" spans="1:26 16384:16384" s="121" customFormat="1" ht="13.5">
      <c r="C56" s="120"/>
      <c r="D56" s="135"/>
      <c r="E56" s="135"/>
      <c r="F56" s="135"/>
      <c r="G56" s="135"/>
      <c r="H56" s="135"/>
      <c r="I56" s="135"/>
      <c r="J56" s="135"/>
      <c r="K56" s="135"/>
      <c r="L56" s="135"/>
      <c r="M56" s="135"/>
      <c r="O56" s="128"/>
      <c r="P56" s="128"/>
      <c r="U56" s="126"/>
      <c r="V56" s="126"/>
      <c r="W56" s="126"/>
      <c r="X56" s="126"/>
      <c r="Y56" s="126"/>
      <c r="Z56" s="126"/>
    </row>
    <row r="57" spans="1:26 16384:16384" s="121" customFormat="1" ht="27">
      <c r="A57" s="122" t="s">
        <v>478</v>
      </c>
      <c r="C57" s="120"/>
      <c r="D57" s="135"/>
      <c r="E57" s="135"/>
      <c r="F57" s="429"/>
      <c r="G57" s="429"/>
      <c r="H57" s="429"/>
      <c r="O57" s="128"/>
      <c r="P57" s="128"/>
      <c r="U57" s="126"/>
      <c r="V57" s="126"/>
      <c r="W57" s="126"/>
      <c r="X57" s="126"/>
      <c r="Y57" s="126"/>
      <c r="Z57" s="126"/>
    </row>
    <row r="58" spans="1:26 16384:16384" s="121" customFormat="1" ht="27">
      <c r="A58" s="121" t="s">
        <v>875</v>
      </c>
      <c r="C58" s="120"/>
      <c r="D58" s="135"/>
      <c r="E58" s="525"/>
      <c r="F58" s="525"/>
      <c r="G58" s="525"/>
      <c r="H58" s="525"/>
      <c r="I58" s="525"/>
      <c r="J58" s="525"/>
      <c r="K58" s="56"/>
      <c r="L58" s="56"/>
      <c r="M58" s="56"/>
      <c r="O58" s="476"/>
      <c r="P58" s="476"/>
      <c r="U58" s="126"/>
      <c r="V58" s="126"/>
      <c r="W58" s="126"/>
      <c r="X58" s="126"/>
      <c r="Y58" s="126"/>
      <c r="Z58" s="126"/>
    </row>
    <row r="59" spans="1:26 16384:16384" s="121" customFormat="1" ht="27">
      <c r="A59" s="121" t="s">
        <v>874</v>
      </c>
      <c r="C59" s="120"/>
      <c r="D59" s="135"/>
      <c r="E59" s="525"/>
      <c r="F59" s="525"/>
      <c r="G59" s="525"/>
      <c r="H59" s="525"/>
      <c r="I59" s="525"/>
      <c r="J59" s="525"/>
      <c r="K59" s="56"/>
      <c r="L59" s="56"/>
      <c r="M59" s="56"/>
      <c r="O59" s="476"/>
      <c r="P59" s="476"/>
      <c r="U59" s="126"/>
      <c r="V59" s="126"/>
      <c r="W59" s="126"/>
      <c r="X59" s="126"/>
      <c r="Y59" s="126"/>
      <c r="Z59" s="126"/>
    </row>
    <row r="60" spans="1:26 16384:16384" s="121" customFormat="1" ht="13.5">
      <c r="A60" s="121" t="s">
        <v>292</v>
      </c>
      <c r="B60" s="121" t="s">
        <v>293</v>
      </c>
      <c r="C60" s="120" t="s">
        <v>985</v>
      </c>
      <c r="D60" s="135"/>
      <c r="E60" s="508"/>
      <c r="F60" s="24">
        <f>E58-E59</f>
        <v>0</v>
      </c>
      <c r="G60" s="24">
        <f t="shared" ref="G60:N60" si="6">F58-F59</f>
        <v>0</v>
      </c>
      <c r="H60" s="24">
        <f t="shared" si="6"/>
        <v>0</v>
      </c>
      <c r="I60" s="24">
        <f t="shared" si="6"/>
        <v>0</v>
      </c>
      <c r="J60" s="24">
        <f t="shared" si="6"/>
        <v>0</v>
      </c>
      <c r="K60" s="24">
        <f t="shared" si="6"/>
        <v>0</v>
      </c>
      <c r="L60" s="24">
        <f t="shared" si="6"/>
        <v>0</v>
      </c>
      <c r="M60" s="24">
        <f t="shared" si="6"/>
        <v>0</v>
      </c>
      <c r="N60" s="24">
        <f t="shared" si="6"/>
        <v>0</v>
      </c>
      <c r="O60" s="128"/>
      <c r="P60" s="128" t="s">
        <v>293</v>
      </c>
      <c r="U60" s="126"/>
      <c r="V60" s="126"/>
      <c r="W60" s="126"/>
      <c r="X60" s="126"/>
      <c r="Y60" s="126"/>
      <c r="Z60" s="126"/>
    </row>
    <row r="61" spans="1:26 16384:16384" s="121" customFormat="1" ht="13.5">
      <c r="C61" s="120"/>
      <c r="D61" s="135"/>
      <c r="E61" s="135"/>
      <c r="F61" s="135"/>
      <c r="G61" s="135"/>
      <c r="H61" s="135"/>
      <c r="I61" s="135"/>
      <c r="J61" s="135"/>
      <c r="K61" s="135"/>
      <c r="L61" s="135"/>
      <c r="M61" s="135"/>
      <c r="O61" s="128"/>
      <c r="P61" s="128"/>
      <c r="U61" s="126"/>
      <c r="V61" s="126"/>
      <c r="W61" s="126"/>
      <c r="X61" s="126"/>
      <c r="Y61" s="126"/>
      <c r="Z61" s="126"/>
    </row>
    <row r="62" spans="1:26 16384:16384" s="121" customFormat="1" ht="13.5">
      <c r="A62" s="122" t="s">
        <v>212</v>
      </c>
      <c r="B62" s="121" t="s">
        <v>339</v>
      </c>
      <c r="C62" s="120" t="s">
        <v>122</v>
      </c>
      <c r="D62" s="135"/>
      <c r="E62" s="93">
        <v>0.5</v>
      </c>
      <c r="F62" s="93">
        <v>0.5</v>
      </c>
      <c r="G62" s="93">
        <v>0.5</v>
      </c>
      <c r="H62" s="93">
        <v>0.5</v>
      </c>
      <c r="I62" s="93">
        <v>0.34</v>
      </c>
      <c r="J62" s="93">
        <v>0.35</v>
      </c>
      <c r="K62" s="93">
        <v>0.67</v>
      </c>
      <c r="L62" s="93">
        <v>0.72</v>
      </c>
      <c r="M62" s="93">
        <v>0.1</v>
      </c>
      <c r="N62" s="93">
        <v>0.1</v>
      </c>
      <c r="O62" s="476"/>
      <c r="U62" s="126"/>
      <c r="V62" s="126"/>
      <c r="W62" s="126"/>
      <c r="X62" s="126"/>
      <c r="Y62" s="126"/>
      <c r="Z62" s="126"/>
    </row>
    <row r="63" spans="1:26 16384:16384" s="121" customFormat="1" ht="13.5">
      <c r="A63" s="122"/>
      <c r="C63" s="120"/>
      <c r="D63" s="135"/>
      <c r="E63" s="135"/>
      <c r="F63" s="135"/>
      <c r="O63" s="128"/>
      <c r="P63" s="128"/>
      <c r="U63" s="126"/>
      <c r="V63" s="126"/>
      <c r="W63" s="126"/>
      <c r="X63" s="126"/>
      <c r="Y63" s="126"/>
      <c r="Z63" s="126"/>
    </row>
    <row r="64" spans="1:26 16384:16384" s="121" customFormat="1" ht="15">
      <c r="A64" s="118" t="s">
        <v>479</v>
      </c>
      <c r="C64" s="120"/>
      <c r="D64" s="135"/>
      <c r="E64" s="135"/>
      <c r="O64" s="128"/>
      <c r="P64" s="128"/>
      <c r="U64" s="126"/>
      <c r="V64" s="126"/>
      <c r="W64" s="126"/>
      <c r="X64" s="126"/>
      <c r="Y64" s="126"/>
      <c r="Z64" s="126"/>
    </row>
    <row r="65" spans="1:26" s="121" customFormat="1" ht="13.5">
      <c r="A65" s="121" t="s">
        <v>648</v>
      </c>
      <c r="B65" s="349" t="s">
        <v>138</v>
      </c>
      <c r="C65" s="120" t="s">
        <v>985</v>
      </c>
      <c r="D65" s="526"/>
      <c r="E65" s="525"/>
      <c r="F65" s="525"/>
      <c r="G65" s="525"/>
      <c r="H65" s="525"/>
      <c r="I65" s="525"/>
      <c r="J65" s="525"/>
      <c r="K65" s="526"/>
      <c r="L65" s="579"/>
      <c r="M65" s="87"/>
      <c r="O65" s="476"/>
      <c r="P65" s="476" t="s">
        <v>138</v>
      </c>
      <c r="U65" s="126"/>
      <c r="V65" s="126"/>
      <c r="W65" s="126"/>
      <c r="X65" s="126"/>
      <c r="Y65" s="126"/>
      <c r="Z65" s="126"/>
    </row>
    <row r="66" spans="1:26" s="121" customFormat="1" ht="13.5">
      <c r="A66" s="519" t="s">
        <v>649</v>
      </c>
      <c r="B66" s="349" t="s">
        <v>140</v>
      </c>
      <c r="C66" s="120" t="s">
        <v>985</v>
      </c>
      <c r="D66" s="526"/>
      <c r="E66" s="525"/>
      <c r="F66" s="525"/>
      <c r="G66" s="525"/>
      <c r="H66" s="525"/>
      <c r="I66" s="525"/>
      <c r="J66" s="525"/>
      <c r="K66" s="526"/>
      <c r="L66" s="579"/>
      <c r="M66" s="87"/>
      <c r="O66" s="476"/>
      <c r="P66" s="476" t="s">
        <v>140</v>
      </c>
      <c r="U66" s="126"/>
      <c r="V66" s="126"/>
      <c r="W66" s="126"/>
      <c r="X66" s="126"/>
      <c r="Y66" s="126"/>
      <c r="Z66" s="126"/>
    </row>
    <row r="67" spans="1:26" s="121" customFormat="1" ht="13.5" hidden="1">
      <c r="A67" s="519" t="s">
        <v>650</v>
      </c>
      <c r="B67" s="349" t="s">
        <v>154</v>
      </c>
      <c r="C67" s="120" t="s">
        <v>985</v>
      </c>
      <c r="D67" s="526"/>
      <c r="E67" s="525"/>
      <c r="F67" s="525"/>
      <c r="G67" s="525"/>
      <c r="H67" s="525"/>
      <c r="I67" s="525"/>
      <c r="J67" s="525"/>
      <c r="K67" s="526"/>
      <c r="L67" s="586"/>
      <c r="M67" s="526"/>
      <c r="O67" s="476"/>
      <c r="P67" s="476" t="s">
        <v>154</v>
      </c>
      <c r="U67" s="126"/>
      <c r="V67" s="126"/>
      <c r="W67" s="126"/>
      <c r="X67" s="126"/>
      <c r="Y67" s="126"/>
      <c r="Z67" s="126"/>
    </row>
    <row r="68" spans="1:26" s="121" customFormat="1" ht="27">
      <c r="A68" s="519" t="s">
        <v>651</v>
      </c>
      <c r="B68" s="349" t="s">
        <v>151</v>
      </c>
      <c r="C68" s="120" t="s">
        <v>985</v>
      </c>
      <c r="D68" s="526"/>
      <c r="E68" s="525"/>
      <c r="F68" s="525"/>
      <c r="G68" s="525"/>
      <c r="H68" s="525"/>
      <c r="I68" s="525"/>
      <c r="J68" s="525"/>
      <c r="K68" s="526"/>
      <c r="L68" s="579"/>
      <c r="M68" s="87"/>
      <c r="O68" s="476"/>
      <c r="P68" s="476" t="s">
        <v>151</v>
      </c>
      <c r="U68" s="126"/>
      <c r="V68" s="126"/>
      <c r="W68" s="126"/>
      <c r="X68" s="126"/>
      <c r="Y68" s="126"/>
      <c r="Z68" s="126"/>
    </row>
    <row r="69" spans="1:26" s="121" customFormat="1" ht="27">
      <c r="A69" s="519" t="s">
        <v>157</v>
      </c>
      <c r="B69" s="349" t="s">
        <v>322</v>
      </c>
      <c r="C69" s="120" t="s">
        <v>985</v>
      </c>
      <c r="D69" s="135"/>
      <c r="E69" s="135"/>
      <c r="F69" s="525"/>
      <c r="G69" s="525"/>
      <c r="H69" s="525"/>
      <c r="I69" s="525"/>
      <c r="J69" s="525"/>
      <c r="K69" s="526"/>
      <c r="L69" s="579"/>
      <c r="M69" s="87"/>
      <c r="O69" s="476"/>
      <c r="P69" s="476" t="s">
        <v>322</v>
      </c>
      <c r="U69" s="126"/>
      <c r="V69" s="126"/>
      <c r="W69" s="126"/>
      <c r="X69" s="126"/>
      <c r="Y69" s="126"/>
      <c r="Z69" s="126"/>
    </row>
    <row r="70" spans="1:26" s="121" customFormat="1" ht="13.5">
      <c r="A70" s="519" t="s">
        <v>24</v>
      </c>
      <c r="B70" s="349" t="s">
        <v>323</v>
      </c>
      <c r="C70" s="120" t="s">
        <v>985</v>
      </c>
      <c r="D70" s="135"/>
      <c r="E70" s="135"/>
      <c r="F70" s="525"/>
      <c r="G70" s="525"/>
      <c r="H70" s="525"/>
      <c r="I70" s="525"/>
      <c r="J70" s="525"/>
      <c r="K70" s="526"/>
      <c r="L70" s="579"/>
      <c r="M70" s="87"/>
      <c r="O70" s="476"/>
      <c r="P70" s="476" t="s">
        <v>323</v>
      </c>
      <c r="U70" s="126"/>
      <c r="V70" s="126"/>
      <c r="W70" s="126"/>
      <c r="X70" s="126"/>
      <c r="Y70" s="126"/>
      <c r="Z70" s="126"/>
    </row>
    <row r="71" spans="1:26" s="121" customFormat="1" ht="13.5">
      <c r="A71" s="519" t="s">
        <v>25</v>
      </c>
      <c r="B71" s="349" t="s">
        <v>324</v>
      </c>
      <c r="C71" s="120" t="s">
        <v>985</v>
      </c>
      <c r="D71" s="135"/>
      <c r="E71" s="135"/>
      <c r="F71" s="525"/>
      <c r="G71" s="525"/>
      <c r="H71" s="525"/>
      <c r="I71" s="525"/>
      <c r="J71" s="525"/>
      <c r="K71" s="526"/>
      <c r="L71" s="579"/>
      <c r="M71" s="87"/>
      <c r="O71" s="476"/>
      <c r="P71" s="476" t="s">
        <v>324</v>
      </c>
      <c r="U71" s="126"/>
      <c r="V71" s="126"/>
      <c r="W71" s="126"/>
      <c r="X71" s="126"/>
      <c r="Y71" s="126"/>
      <c r="Z71" s="126"/>
    </row>
    <row r="72" spans="1:26" s="513" customFormat="1" ht="13.5">
      <c r="A72" s="519" t="s">
        <v>866</v>
      </c>
      <c r="B72" s="513" t="s">
        <v>863</v>
      </c>
      <c r="C72" s="120" t="s">
        <v>985</v>
      </c>
      <c r="D72" s="135"/>
      <c r="E72" s="135"/>
      <c r="F72" s="525"/>
      <c r="G72" s="525"/>
      <c r="H72" s="525"/>
      <c r="I72" s="525"/>
      <c r="J72" s="525"/>
      <c r="K72" s="526"/>
      <c r="L72" s="579"/>
      <c r="M72" s="87"/>
      <c r="O72" s="476"/>
      <c r="P72" s="476" t="s">
        <v>863</v>
      </c>
      <c r="U72" s="126"/>
      <c r="V72" s="126"/>
      <c r="W72" s="126"/>
      <c r="X72" s="126"/>
      <c r="Y72" s="126"/>
      <c r="Z72" s="126"/>
    </row>
    <row r="73" spans="1:26" s="121" customFormat="1" ht="13.5">
      <c r="A73" s="519" t="s">
        <v>23</v>
      </c>
      <c r="B73" s="349" t="s">
        <v>325</v>
      </c>
      <c r="C73" s="120" t="s">
        <v>985</v>
      </c>
      <c r="D73" s="135"/>
      <c r="E73" s="135"/>
      <c r="F73" s="525"/>
      <c r="G73" s="525"/>
      <c r="H73" s="525"/>
      <c r="I73" s="525"/>
      <c r="J73" s="525"/>
      <c r="K73" s="526"/>
      <c r="L73" s="579"/>
      <c r="M73" s="87"/>
      <c r="O73" s="476"/>
      <c r="P73" s="476" t="s">
        <v>325</v>
      </c>
      <c r="U73" s="126"/>
      <c r="V73" s="126"/>
      <c r="W73" s="126"/>
      <c r="X73" s="126"/>
      <c r="Y73" s="126"/>
      <c r="Z73" s="126"/>
    </row>
    <row r="74" spans="1:26" s="121" customFormat="1" ht="13.5">
      <c r="A74" s="519" t="s">
        <v>26</v>
      </c>
      <c r="B74" s="349" t="s">
        <v>326</v>
      </c>
      <c r="C74" s="120" t="s">
        <v>985</v>
      </c>
      <c r="D74" s="135"/>
      <c r="E74" s="135"/>
      <c r="F74" s="525"/>
      <c r="G74" s="525"/>
      <c r="H74" s="525"/>
      <c r="I74" s="525"/>
      <c r="J74" s="525"/>
      <c r="K74" s="526"/>
      <c r="L74" s="579"/>
      <c r="M74" s="87"/>
      <c r="O74" s="476"/>
      <c r="P74" s="476" t="s">
        <v>326</v>
      </c>
      <c r="U74" s="126"/>
      <c r="V74" s="126"/>
      <c r="W74" s="126"/>
      <c r="X74" s="126"/>
      <c r="Y74" s="126"/>
      <c r="Z74" s="126"/>
    </row>
    <row r="75" spans="1:26" s="513" customFormat="1" ht="27">
      <c r="A75" s="519" t="s">
        <v>870</v>
      </c>
      <c r="B75" s="513" t="s">
        <v>864</v>
      </c>
      <c r="C75" s="120" t="s">
        <v>985</v>
      </c>
      <c r="D75" s="135"/>
      <c r="E75" s="135"/>
      <c r="F75" s="525"/>
      <c r="G75" s="525"/>
      <c r="H75" s="525"/>
      <c r="I75" s="525"/>
      <c r="J75" s="525"/>
      <c r="K75" s="526"/>
      <c r="L75" s="579"/>
      <c r="M75" s="87"/>
      <c r="O75" s="476"/>
      <c r="P75" s="476" t="s">
        <v>864</v>
      </c>
      <c r="U75" s="126"/>
      <c r="V75" s="126"/>
      <c r="W75" s="126"/>
      <c r="X75" s="126"/>
      <c r="Y75" s="126"/>
      <c r="Z75" s="126"/>
    </row>
    <row r="76" spans="1:26" s="513" customFormat="1" ht="27">
      <c r="A76" s="519" t="s">
        <v>871</v>
      </c>
      <c r="B76" s="513" t="s">
        <v>865</v>
      </c>
      <c r="C76" s="120" t="s">
        <v>985</v>
      </c>
      <c r="D76" s="135"/>
      <c r="E76" s="135"/>
      <c r="F76" s="525"/>
      <c r="G76" s="525"/>
      <c r="H76" s="525"/>
      <c r="I76" s="525"/>
      <c r="J76" s="525"/>
      <c r="K76" s="526"/>
      <c r="L76" s="579"/>
      <c r="M76" s="87"/>
      <c r="O76" s="128"/>
      <c r="P76" s="128" t="s">
        <v>865</v>
      </c>
      <c r="U76" s="126"/>
      <c r="V76" s="126"/>
      <c r="W76" s="126"/>
      <c r="X76" s="126"/>
      <c r="Y76" s="126"/>
      <c r="Z76" s="126"/>
    </row>
    <row r="77" spans="1:26" s="121" customFormat="1" ht="14">
      <c r="A77" s="143"/>
      <c r="C77" s="120"/>
      <c r="D77" s="120"/>
      <c r="E77" s="120"/>
      <c r="F77" s="135"/>
      <c r="G77" s="135"/>
      <c r="H77" s="135"/>
      <c r="I77" s="135"/>
      <c r="J77" s="135"/>
      <c r="K77" s="135"/>
      <c r="L77" s="135"/>
      <c r="M77" s="135"/>
      <c r="O77" s="128"/>
      <c r="P77" s="128"/>
      <c r="U77" s="126"/>
      <c r="V77" s="126"/>
      <c r="W77" s="126"/>
      <c r="X77" s="126"/>
      <c r="Y77" s="126"/>
      <c r="Z77" s="126"/>
    </row>
    <row r="78" spans="1:26" s="121" customFormat="1" ht="15">
      <c r="A78" s="118" t="s">
        <v>480</v>
      </c>
      <c r="C78" s="120"/>
      <c r="D78" s="120"/>
      <c r="E78" s="120"/>
      <c r="F78" s="135"/>
      <c r="O78" s="128"/>
      <c r="P78" s="128"/>
      <c r="U78" s="126"/>
      <c r="V78" s="126"/>
      <c r="W78" s="126"/>
      <c r="X78" s="126"/>
      <c r="Y78" s="126"/>
      <c r="Z78" s="126"/>
    </row>
    <row r="79" spans="1:26" s="121" customFormat="1" ht="27" hidden="1">
      <c r="A79" s="121" t="s">
        <v>652</v>
      </c>
      <c r="B79" s="121" t="s">
        <v>268</v>
      </c>
      <c r="C79" s="120" t="s">
        <v>1</v>
      </c>
      <c r="D79" s="56"/>
      <c r="E79" s="56"/>
      <c r="F79" s="56"/>
      <c r="G79" s="56"/>
      <c r="H79" s="56"/>
      <c r="I79" s="56"/>
      <c r="J79" s="56"/>
      <c r="K79" s="56"/>
      <c r="L79" s="56"/>
      <c r="M79" s="56"/>
      <c r="O79" s="476"/>
      <c r="P79" s="476" t="s">
        <v>268</v>
      </c>
      <c r="U79" s="126"/>
      <c r="V79" s="126"/>
      <c r="W79" s="126"/>
      <c r="X79" s="126"/>
      <c r="Y79" s="126"/>
      <c r="Z79" s="126"/>
    </row>
    <row r="80" spans="1:26" s="121" customFormat="1" ht="13.5">
      <c r="A80" s="122"/>
      <c r="C80" s="120"/>
      <c r="D80" s="120"/>
      <c r="E80" s="120"/>
      <c r="F80" s="135"/>
      <c r="O80" s="128"/>
      <c r="P80" s="128"/>
      <c r="U80" s="126"/>
      <c r="V80" s="126"/>
      <c r="W80" s="126"/>
      <c r="X80" s="126"/>
      <c r="Y80" s="126"/>
      <c r="Z80" s="126"/>
    </row>
    <row r="81" spans="1:26" s="121" customFormat="1" ht="27">
      <c r="A81" s="122" t="s">
        <v>481</v>
      </c>
      <c r="C81" s="144"/>
      <c r="D81" s="120"/>
      <c r="O81" s="387"/>
      <c r="P81" s="387"/>
      <c r="U81" s="126"/>
      <c r="V81" s="126"/>
      <c r="W81" s="126"/>
      <c r="X81" s="126"/>
      <c r="Y81" s="126"/>
      <c r="Z81" s="126"/>
    </row>
    <row r="82" spans="1:26" s="121" customFormat="1" ht="14">
      <c r="A82" s="145" t="s">
        <v>450</v>
      </c>
      <c r="B82" s="145" t="s">
        <v>300</v>
      </c>
      <c r="C82" s="280" t="s">
        <v>483</v>
      </c>
      <c r="D82" s="142"/>
      <c r="F82" s="456"/>
      <c r="O82" s="477"/>
      <c r="P82" s="477"/>
      <c r="U82" s="126"/>
      <c r="V82" s="126"/>
      <c r="W82" s="126"/>
      <c r="X82" s="126"/>
      <c r="Y82" s="126"/>
      <c r="Z82" s="126"/>
    </row>
    <row r="83" spans="1:26" s="121" customFormat="1" ht="13.5">
      <c r="A83" s="122"/>
      <c r="C83" s="120"/>
      <c r="D83" s="120"/>
      <c r="O83" s="477"/>
      <c r="P83" s="477"/>
      <c r="U83" s="126"/>
      <c r="V83" s="126"/>
      <c r="W83" s="126"/>
      <c r="X83" s="126"/>
      <c r="Y83" s="126"/>
      <c r="Z83" s="126"/>
    </row>
    <row r="84" spans="1:26" ht="13.5">
      <c r="F84" s="140"/>
      <c r="G84" s="140"/>
      <c r="H84" s="140"/>
      <c r="I84" s="140"/>
      <c r="J84" s="140"/>
      <c r="K84" s="140"/>
      <c r="L84" s="140"/>
      <c r="M84" s="140"/>
      <c r="O84" s="387"/>
      <c r="P84" s="387"/>
    </row>
    <row r="85" spans="1:26" ht="13.5" hidden="1">
      <c r="A85" s="183" t="s">
        <v>485</v>
      </c>
      <c r="F85" s="140"/>
      <c r="G85" s="140"/>
      <c r="H85" s="129"/>
      <c r="I85" s="129"/>
      <c r="J85" s="129"/>
      <c r="K85" s="129"/>
      <c r="L85" s="129"/>
      <c r="M85" s="129"/>
      <c r="O85" s="387"/>
      <c r="P85" s="387"/>
    </row>
    <row r="86" spans="1:26" ht="13.5" hidden="1">
      <c r="A86" s="137" t="s">
        <v>653</v>
      </c>
      <c r="B86" s="137" t="s">
        <v>222</v>
      </c>
      <c r="C86" s="140" t="s">
        <v>484</v>
      </c>
      <c r="D86" s="56"/>
      <c r="E86" s="56"/>
      <c r="F86" s="56"/>
      <c r="G86" s="56"/>
      <c r="H86" s="56"/>
      <c r="I86" s="56"/>
      <c r="J86" s="56"/>
      <c r="K86" s="56"/>
      <c r="L86" s="56"/>
      <c r="M86" s="56"/>
      <c r="O86" s="476"/>
      <c r="P86" s="477" t="s">
        <v>222</v>
      </c>
    </row>
    <row r="87" spans="1:26" ht="12.75" hidden="1" customHeight="1">
      <c r="O87" s="387"/>
      <c r="P87" s="387"/>
    </row>
    <row r="88" spans="1:26" ht="13.5" hidden="1">
      <c r="A88" s="136" t="s">
        <v>486</v>
      </c>
      <c r="B88" s="137"/>
      <c r="O88" s="387"/>
      <c r="P88" s="387"/>
    </row>
    <row r="89" spans="1:26" ht="13.5" hidden="1">
      <c r="A89" s="137" t="s">
        <v>654</v>
      </c>
      <c r="B89" s="137" t="s">
        <v>265</v>
      </c>
      <c r="C89" s="140" t="s">
        <v>475</v>
      </c>
      <c r="D89" s="56"/>
      <c r="E89" s="56"/>
      <c r="F89" s="362"/>
      <c r="G89" s="362"/>
      <c r="H89" s="362"/>
      <c r="I89" s="362"/>
      <c r="J89" s="362"/>
      <c r="K89" s="362"/>
      <c r="L89" s="56"/>
      <c r="M89" s="56"/>
      <c r="O89" s="476"/>
      <c r="P89" s="477" t="s">
        <v>265</v>
      </c>
    </row>
    <row r="90" spans="1:26" ht="13.5" hidden="1">
      <c r="A90" s="126" t="s">
        <v>655</v>
      </c>
      <c r="B90" s="121" t="s">
        <v>231</v>
      </c>
      <c r="C90" s="140" t="s">
        <v>1</v>
      </c>
      <c r="D90" s="56"/>
      <c r="E90" s="56"/>
      <c r="F90" s="389"/>
      <c r="G90" s="389"/>
      <c r="H90" s="389"/>
      <c r="I90" s="389"/>
      <c r="J90" s="389"/>
      <c r="K90" s="362"/>
      <c r="L90" s="56"/>
      <c r="M90" s="56"/>
      <c r="O90" s="476"/>
      <c r="P90" s="477" t="s">
        <v>231</v>
      </c>
    </row>
    <row r="91" spans="1:26" ht="13.5" hidden="1">
      <c r="A91" s="126" t="s">
        <v>656</v>
      </c>
      <c r="B91" s="121" t="s">
        <v>227</v>
      </c>
      <c r="C91" s="140" t="s">
        <v>475</v>
      </c>
      <c r="D91" s="56"/>
      <c r="E91" s="56"/>
      <c r="F91" s="362"/>
      <c r="G91" s="362"/>
      <c r="H91" s="362"/>
      <c r="I91" s="362"/>
      <c r="J91" s="362"/>
      <c r="K91" s="362"/>
      <c r="L91" s="56"/>
      <c r="M91" s="56"/>
      <c r="O91" s="476"/>
      <c r="P91" s="477" t="s">
        <v>227</v>
      </c>
    </row>
    <row r="92" spans="1:26" ht="13.5">
      <c r="O92" s="387"/>
      <c r="P92" s="387"/>
    </row>
    <row r="93" spans="1:26" ht="13.5">
      <c r="A93" s="147" t="s">
        <v>239</v>
      </c>
      <c r="B93" s="121" t="s">
        <v>238</v>
      </c>
      <c r="C93" s="140" t="s">
        <v>122</v>
      </c>
      <c r="F93" s="305">
        <v>0.23</v>
      </c>
      <c r="G93" s="305">
        <v>0.21</v>
      </c>
      <c r="H93" s="305">
        <v>0.2</v>
      </c>
      <c r="I93" s="305">
        <v>0.2</v>
      </c>
      <c r="J93" s="305">
        <v>0.19</v>
      </c>
      <c r="K93" s="305">
        <v>0.19</v>
      </c>
      <c r="L93" s="305">
        <v>0.19</v>
      </c>
      <c r="M93" s="305">
        <v>0.19</v>
      </c>
      <c r="O93" s="477"/>
      <c r="P93" s="477" t="s">
        <v>238</v>
      </c>
    </row>
    <row r="94" spans="1:26" ht="13.5">
      <c r="A94" s="147"/>
      <c r="D94" s="69"/>
      <c r="E94" s="69"/>
      <c r="F94" s="69"/>
      <c r="G94" s="69"/>
      <c r="H94" s="69"/>
      <c r="I94" s="69"/>
      <c r="J94" s="69"/>
      <c r="K94" s="69"/>
      <c r="L94" s="69"/>
      <c r="M94" s="69"/>
      <c r="O94" s="477"/>
      <c r="P94" s="477"/>
    </row>
    <row r="95" spans="1:26" ht="13.5">
      <c r="A95" s="147"/>
      <c r="D95" s="69"/>
      <c r="E95" s="69"/>
      <c r="F95" s="69"/>
      <c r="G95" s="69"/>
      <c r="H95" s="69"/>
      <c r="I95" s="69"/>
      <c r="J95" s="69"/>
      <c r="K95" s="69"/>
      <c r="L95" s="69"/>
      <c r="M95" s="69"/>
      <c r="O95" s="477"/>
      <c r="P95" s="477"/>
    </row>
    <row r="96" spans="1:26" ht="13.5" hidden="1">
      <c r="A96" s="386" t="s">
        <v>488</v>
      </c>
      <c r="B96" s="387"/>
      <c r="D96" s="69"/>
      <c r="E96" s="367"/>
      <c r="F96" s="367"/>
      <c r="G96" s="69"/>
      <c r="H96" s="69"/>
      <c r="I96" s="69"/>
      <c r="J96" s="69"/>
      <c r="K96" s="69"/>
      <c r="L96" s="69"/>
      <c r="M96" s="69"/>
      <c r="O96" s="477"/>
      <c r="P96" s="477"/>
    </row>
    <row r="97" spans="1:20" ht="13.5" hidden="1">
      <c r="A97" s="388" t="s">
        <v>242</v>
      </c>
      <c r="B97" s="387" t="s">
        <v>50</v>
      </c>
      <c r="C97" s="140" t="s">
        <v>487</v>
      </c>
      <c r="D97" s="69"/>
      <c r="E97" s="56"/>
      <c r="F97" s="70" t="s">
        <v>50</v>
      </c>
      <c r="G97" s="69"/>
      <c r="H97" s="69"/>
      <c r="I97" s="69"/>
      <c r="J97" s="69"/>
      <c r="K97" s="69"/>
      <c r="L97" s="69"/>
      <c r="M97" s="69"/>
      <c r="O97" s="477"/>
      <c r="P97" s="477"/>
    </row>
    <row r="98" spans="1:20" ht="13.5" hidden="1">
      <c r="A98" s="388" t="s">
        <v>657</v>
      </c>
      <c r="B98" s="387" t="s">
        <v>244</v>
      </c>
      <c r="C98" s="140" t="s">
        <v>487</v>
      </c>
      <c r="D98" s="121"/>
      <c r="E98" s="121"/>
      <c r="F98" s="390"/>
      <c r="G98" s="390"/>
      <c r="H98" s="390"/>
      <c r="I98" s="390"/>
      <c r="J98" s="390"/>
      <c r="K98" s="56"/>
      <c r="L98" s="56"/>
      <c r="M98" s="56"/>
      <c r="O98" s="476"/>
      <c r="P98" s="477" t="s">
        <v>244</v>
      </c>
    </row>
    <row r="99" spans="1:20" ht="13.5" hidden="1">
      <c r="A99" s="388" t="s">
        <v>660</v>
      </c>
      <c r="B99" s="387" t="s">
        <v>661</v>
      </c>
      <c r="C99" s="140" t="s">
        <v>487</v>
      </c>
      <c r="D99" s="358"/>
      <c r="E99" s="368"/>
      <c r="F99" s="69"/>
      <c r="G99" s="390"/>
      <c r="H99" s="390"/>
      <c r="I99" s="390"/>
      <c r="J99" s="390"/>
      <c r="K99" s="56"/>
      <c r="L99" s="56"/>
      <c r="M99" s="56"/>
      <c r="O99" s="476"/>
      <c r="P99" s="477" t="s">
        <v>661</v>
      </c>
      <c r="R99" s="358"/>
      <c r="S99" s="358"/>
      <c r="T99" s="358"/>
    </row>
    <row r="100" spans="1:20" ht="13.5" hidden="1">
      <c r="A100" s="388" t="s">
        <v>658</v>
      </c>
      <c r="B100" s="387" t="s">
        <v>245</v>
      </c>
      <c r="C100" s="140" t="s">
        <v>487</v>
      </c>
      <c r="D100" s="121"/>
      <c r="E100" s="121"/>
      <c r="F100" s="390"/>
      <c r="G100" s="390"/>
      <c r="H100" s="390"/>
      <c r="I100" s="390"/>
      <c r="J100" s="390"/>
      <c r="K100" s="56"/>
      <c r="L100" s="56"/>
      <c r="M100" s="56"/>
      <c r="O100" s="476"/>
      <c r="P100" s="477" t="s">
        <v>245</v>
      </c>
    </row>
    <row r="101" spans="1:20" ht="13.5" hidden="1">
      <c r="A101" s="388" t="s">
        <v>662</v>
      </c>
      <c r="B101" s="387" t="s">
        <v>663</v>
      </c>
      <c r="C101" s="140" t="s">
        <v>487</v>
      </c>
      <c r="D101" s="358"/>
      <c r="E101" s="358"/>
      <c r="F101" s="69"/>
      <c r="G101" s="390"/>
      <c r="H101" s="390"/>
      <c r="I101" s="390"/>
      <c r="J101" s="390"/>
      <c r="K101" s="56"/>
      <c r="L101" s="56"/>
      <c r="M101" s="56"/>
      <c r="O101" s="476"/>
      <c r="P101" s="477" t="s">
        <v>663</v>
      </c>
      <c r="R101" s="358"/>
      <c r="S101" s="358"/>
      <c r="T101" s="358"/>
    </row>
    <row r="102" spans="1:20" ht="13.5" hidden="1">
      <c r="A102" s="147" t="s">
        <v>659</v>
      </c>
      <c r="B102" s="121" t="s">
        <v>247</v>
      </c>
      <c r="C102" s="140" t="s">
        <v>487</v>
      </c>
      <c r="D102" s="121"/>
      <c r="E102" s="121"/>
      <c r="F102" s="393"/>
      <c r="G102" s="390"/>
      <c r="H102" s="390"/>
      <c r="I102" s="390"/>
      <c r="J102" s="390"/>
      <c r="K102" s="56"/>
      <c r="L102" s="56"/>
      <c r="M102" s="56"/>
      <c r="O102" s="476"/>
      <c r="P102" s="477" t="s">
        <v>247</v>
      </c>
    </row>
    <row r="103" spans="1:20" ht="27" hidden="1">
      <c r="A103" s="147" t="s">
        <v>249</v>
      </c>
      <c r="B103" s="121" t="s">
        <v>248</v>
      </c>
      <c r="C103" s="140" t="s">
        <v>639</v>
      </c>
      <c r="D103" s="93"/>
      <c r="E103" s="93"/>
      <c r="F103" s="93">
        <v>50</v>
      </c>
      <c r="G103" s="93">
        <v>51</v>
      </c>
      <c r="H103" s="93">
        <v>52</v>
      </c>
      <c r="I103" s="93">
        <v>53</v>
      </c>
      <c r="J103" s="93">
        <v>54</v>
      </c>
      <c r="K103" s="93">
        <v>55</v>
      </c>
      <c r="L103" s="93">
        <v>56</v>
      </c>
      <c r="M103" s="93">
        <v>57</v>
      </c>
      <c r="O103" s="477"/>
      <c r="P103" s="477" t="s">
        <v>248</v>
      </c>
    </row>
    <row r="104" spans="1:20" ht="13.5">
      <c r="A104" s="147"/>
      <c r="C104" s="121"/>
      <c r="D104" s="121"/>
      <c r="E104" s="121"/>
      <c r="F104" s="121"/>
      <c r="G104" s="121"/>
      <c r="H104" s="121"/>
      <c r="I104" s="121"/>
      <c r="J104" s="121"/>
      <c r="K104" s="121"/>
      <c r="L104" s="121"/>
      <c r="M104" s="121"/>
      <c r="O104" s="477"/>
      <c r="P104" s="477"/>
    </row>
    <row r="105" spans="1:20" ht="13.5">
      <c r="A105" s="154" t="s">
        <v>489</v>
      </c>
      <c r="C105" s="121"/>
      <c r="D105" s="121"/>
      <c r="E105" s="121"/>
      <c r="F105" s="121"/>
      <c r="G105" s="121"/>
      <c r="H105" s="121"/>
      <c r="I105" s="430"/>
      <c r="J105" s="431"/>
      <c r="K105" s="121"/>
      <c r="L105" s="121"/>
      <c r="M105" s="121"/>
      <c r="O105" s="477"/>
      <c r="P105" s="477"/>
    </row>
    <row r="106" spans="1:20" ht="13.5">
      <c r="A106" s="137" t="s">
        <v>59</v>
      </c>
      <c r="B106" s="137" t="s">
        <v>273</v>
      </c>
      <c r="C106" s="120" t="s">
        <v>985</v>
      </c>
      <c r="D106" s="121"/>
      <c r="E106" s="121"/>
      <c r="F106" s="525"/>
      <c r="G106" s="525"/>
      <c r="H106" s="525"/>
      <c r="I106" s="525"/>
      <c r="J106" s="525"/>
      <c r="K106" s="525"/>
      <c r="L106" s="56"/>
      <c r="M106" s="56"/>
      <c r="O106" s="477"/>
      <c r="P106" s="477" t="s">
        <v>273</v>
      </c>
    </row>
    <row r="107" spans="1:20" s="150" customFormat="1" ht="13.5">
      <c r="A107" s="148" t="s">
        <v>415</v>
      </c>
      <c r="B107" s="402" t="s">
        <v>313</v>
      </c>
      <c r="C107" s="120" t="s">
        <v>985</v>
      </c>
      <c r="D107" s="149"/>
      <c r="E107" s="149"/>
      <c r="F107" s="525"/>
      <c r="G107" s="525"/>
      <c r="H107" s="525"/>
      <c r="I107" s="525"/>
      <c r="J107" s="525"/>
      <c r="K107" s="525"/>
      <c r="L107" s="587"/>
      <c r="M107" s="75"/>
      <c r="O107" s="477"/>
      <c r="P107" s="477" t="s">
        <v>313</v>
      </c>
      <c r="R107" s="149"/>
      <c r="S107" s="149"/>
      <c r="T107" s="149"/>
    </row>
    <row r="108" spans="1:20" ht="13.5">
      <c r="A108" s="137" t="s">
        <v>272</v>
      </c>
      <c r="B108" s="137" t="s">
        <v>56</v>
      </c>
      <c r="C108" s="120" t="s">
        <v>985</v>
      </c>
      <c r="D108" s="121"/>
      <c r="E108" s="121"/>
      <c r="F108" s="525"/>
      <c r="G108" s="525"/>
      <c r="H108" s="525"/>
      <c r="I108" s="525"/>
      <c r="J108" s="525"/>
      <c r="K108" s="513"/>
      <c r="L108" s="578"/>
      <c r="M108" s="578"/>
      <c r="O108" s="477"/>
      <c r="P108" s="477" t="s">
        <v>56</v>
      </c>
    </row>
    <row r="109" spans="1:20" ht="13.5">
      <c r="A109" s="137" t="s">
        <v>53</v>
      </c>
      <c r="B109" s="137" t="s">
        <v>276</v>
      </c>
      <c r="C109" s="120" t="s">
        <v>985</v>
      </c>
      <c r="D109" s="121"/>
      <c r="E109" s="121"/>
      <c r="F109" s="525"/>
      <c r="G109" s="525"/>
      <c r="H109" s="525"/>
      <c r="I109" s="525"/>
      <c r="J109" s="525"/>
      <c r="K109" s="525"/>
      <c r="L109" s="579"/>
      <c r="M109" s="56"/>
      <c r="O109" s="477"/>
      <c r="P109" s="477" t="s">
        <v>276</v>
      </c>
    </row>
    <row r="110" spans="1:20" ht="13.5">
      <c r="A110" s="137" t="s">
        <v>35</v>
      </c>
      <c r="B110" s="137" t="s">
        <v>275</v>
      </c>
      <c r="C110" s="120" t="s">
        <v>985</v>
      </c>
      <c r="D110" s="121"/>
      <c r="E110" s="121"/>
      <c r="F110" s="525"/>
      <c r="G110" s="525"/>
      <c r="H110" s="525"/>
      <c r="I110" s="525"/>
      <c r="J110" s="525"/>
      <c r="K110" s="525"/>
      <c r="L110" s="56"/>
      <c r="M110" s="56"/>
      <c r="O110" s="477"/>
      <c r="P110" s="477" t="s">
        <v>275</v>
      </c>
    </row>
    <row r="111" spans="1:20" s="152" customFormat="1" ht="13.5">
      <c r="A111" s="151"/>
      <c r="B111" s="151"/>
      <c r="F111" s="86"/>
      <c r="G111" s="86"/>
      <c r="H111" s="86"/>
      <c r="I111" s="86"/>
      <c r="J111" s="86"/>
      <c r="K111" s="86"/>
      <c r="L111" s="86"/>
      <c r="M111" s="86"/>
      <c r="O111" s="507"/>
      <c r="P111" s="507"/>
    </row>
    <row r="112" spans="1:20" ht="13.5">
      <c r="A112" s="147"/>
      <c r="C112" s="121"/>
      <c r="D112" s="121"/>
      <c r="E112" s="121"/>
      <c r="F112" s="121"/>
      <c r="G112" s="121"/>
      <c r="H112" s="121"/>
      <c r="I112" s="121"/>
      <c r="J112" s="121"/>
      <c r="K112" s="121"/>
      <c r="L112" s="121"/>
      <c r="M112" s="121"/>
      <c r="O112" s="477"/>
      <c r="P112" s="477"/>
    </row>
    <row r="113" spans="1:31" s="121" customFormat="1" ht="13.5" hidden="1">
      <c r="A113" s="154" t="s">
        <v>490</v>
      </c>
      <c r="C113" s="120"/>
      <c r="E113" s="120"/>
      <c r="F113" s="135"/>
      <c r="O113" s="476"/>
      <c r="P113" s="476"/>
      <c r="U113" s="126"/>
      <c r="V113" s="126"/>
      <c r="W113" s="126"/>
      <c r="X113" s="126"/>
      <c r="Y113" s="126"/>
      <c r="Z113" s="126"/>
    </row>
    <row r="114" spans="1:31" s="121" customFormat="1" ht="12.75" hidden="1" customHeight="1">
      <c r="A114" s="154" t="s">
        <v>183</v>
      </c>
      <c r="O114" s="476"/>
      <c r="P114" s="476"/>
      <c r="U114" s="126"/>
      <c r="V114" s="126"/>
      <c r="W114" s="126"/>
      <c r="X114" s="126"/>
      <c r="Y114" s="126"/>
      <c r="Z114" s="126"/>
    </row>
    <row r="115" spans="1:31" s="121" customFormat="1" ht="13.5" hidden="1">
      <c r="A115" s="153" t="s">
        <v>184</v>
      </c>
      <c r="B115" s="121" t="s">
        <v>175</v>
      </c>
      <c r="C115" s="120" t="s">
        <v>1</v>
      </c>
      <c r="E115" s="56"/>
      <c r="F115" s="56"/>
      <c r="G115" s="56"/>
      <c r="H115" s="56"/>
      <c r="I115" s="56"/>
      <c r="J115" s="56"/>
      <c r="K115" s="56"/>
      <c r="L115" s="56"/>
      <c r="M115" s="56"/>
      <c r="O115" s="476"/>
      <c r="P115" s="476" t="s">
        <v>175</v>
      </c>
      <c r="U115" s="126"/>
      <c r="V115" s="126"/>
      <c r="W115" s="126"/>
      <c r="X115" s="126"/>
      <c r="Y115" s="126"/>
      <c r="Z115" s="126"/>
    </row>
    <row r="116" spans="1:31" ht="13.5" hidden="1">
      <c r="A116" s="153" t="s">
        <v>185</v>
      </c>
      <c r="B116" s="121" t="s">
        <v>177</v>
      </c>
      <c r="C116" s="120" t="s">
        <v>1</v>
      </c>
      <c r="D116" s="121"/>
      <c r="E116" s="56"/>
      <c r="F116" s="56"/>
      <c r="G116" s="56"/>
      <c r="H116" s="56"/>
      <c r="I116" s="56"/>
      <c r="J116" s="56"/>
      <c r="K116" s="56"/>
      <c r="L116" s="56"/>
      <c r="M116" s="56"/>
      <c r="O116" s="476"/>
      <c r="P116" s="476" t="s">
        <v>750</v>
      </c>
    </row>
    <row r="117" spans="1:31" ht="13.5" hidden="1">
      <c r="A117" s="153" t="s">
        <v>186</v>
      </c>
      <c r="B117" s="121" t="s">
        <v>179</v>
      </c>
      <c r="C117" s="120" t="s">
        <v>1</v>
      </c>
      <c r="D117" s="121"/>
      <c r="E117" s="56"/>
      <c r="F117" s="56"/>
      <c r="G117" s="56"/>
      <c r="H117" s="56"/>
      <c r="I117" s="56"/>
      <c r="J117" s="56"/>
      <c r="K117" s="56"/>
      <c r="L117" s="56"/>
      <c r="M117" s="56"/>
      <c r="O117" s="476"/>
      <c r="P117" s="477" t="s">
        <v>179</v>
      </c>
    </row>
    <row r="118" spans="1:31" ht="13.5" hidden="1">
      <c r="A118" s="153" t="s">
        <v>86</v>
      </c>
      <c r="B118" s="121" t="s">
        <v>168</v>
      </c>
      <c r="C118" s="120" t="s">
        <v>1</v>
      </c>
      <c r="D118" s="121"/>
      <c r="E118" s="56"/>
      <c r="F118" s="56"/>
      <c r="G118" s="56"/>
      <c r="H118" s="56"/>
      <c r="I118" s="56"/>
      <c r="J118" s="56"/>
      <c r="K118" s="56"/>
      <c r="L118" s="56"/>
      <c r="M118" s="56"/>
      <c r="O118" s="476"/>
      <c r="P118" s="476" t="s">
        <v>751</v>
      </c>
    </row>
    <row r="119" spans="1:31" ht="13.5" hidden="1">
      <c r="A119" s="153" t="s">
        <v>763</v>
      </c>
      <c r="B119" s="121" t="s">
        <v>171</v>
      </c>
      <c r="C119" s="120" t="s">
        <v>1</v>
      </c>
      <c r="D119" s="121"/>
      <c r="E119" s="56"/>
      <c r="F119" s="56"/>
      <c r="G119" s="56"/>
      <c r="H119" s="56"/>
      <c r="I119" s="56"/>
      <c r="J119" s="56"/>
      <c r="K119" s="56"/>
      <c r="L119" s="56"/>
      <c r="M119" s="56"/>
      <c r="O119" s="476"/>
      <c r="P119" s="476" t="s">
        <v>171</v>
      </c>
    </row>
    <row r="120" spans="1:31" ht="13.5">
      <c r="D120" s="121"/>
      <c r="F120" s="140"/>
      <c r="G120" s="140"/>
      <c r="H120" s="140"/>
      <c r="I120" s="140"/>
      <c r="J120" s="140"/>
      <c r="K120" s="140"/>
      <c r="L120" s="140"/>
      <c r="M120" s="140"/>
      <c r="O120" s="387"/>
      <c r="P120" s="387"/>
    </row>
    <row r="121" spans="1:31" ht="13.5">
      <c r="A121" s="155" t="s">
        <v>368</v>
      </c>
      <c r="D121" s="121"/>
      <c r="F121" s="140"/>
      <c r="G121" s="140"/>
      <c r="H121" s="140"/>
      <c r="I121" s="140"/>
      <c r="J121" s="140"/>
      <c r="K121" s="140"/>
      <c r="L121" s="140"/>
      <c r="M121" s="140"/>
      <c r="O121" s="387"/>
      <c r="P121" s="387"/>
    </row>
    <row r="122" spans="1:31" ht="13.5">
      <c r="A122" s="137" t="s">
        <v>366</v>
      </c>
      <c r="B122" s="137" t="s">
        <v>364</v>
      </c>
      <c r="C122" s="120" t="s">
        <v>985</v>
      </c>
      <c r="D122" s="121"/>
      <c r="E122" s="56"/>
      <c r="G122" s="140"/>
      <c r="H122" s="140"/>
      <c r="I122" s="140"/>
      <c r="J122" s="140"/>
      <c r="K122" s="140"/>
      <c r="L122" s="140"/>
      <c r="M122" s="140"/>
      <c r="O122" s="387"/>
      <c r="P122" s="387"/>
    </row>
    <row r="123" spans="1:31" ht="13.5">
      <c r="A123" s="137" t="s">
        <v>367</v>
      </c>
      <c r="B123" s="137" t="s">
        <v>365</v>
      </c>
      <c r="C123" s="120" t="s">
        <v>985</v>
      </c>
      <c r="D123" s="156"/>
      <c r="E123" s="56"/>
      <c r="G123" s="140"/>
      <c r="H123" s="140"/>
      <c r="I123" s="140"/>
      <c r="J123" s="140"/>
      <c r="K123" s="140"/>
      <c r="L123" s="140"/>
      <c r="M123" s="140"/>
      <c r="O123" s="387"/>
      <c r="P123" s="387"/>
    </row>
    <row r="124" spans="1:31" ht="36.75" customHeight="1">
      <c r="A124" s="351" t="s">
        <v>473</v>
      </c>
      <c r="B124" s="351" t="s">
        <v>470</v>
      </c>
      <c r="C124" s="352" t="s">
        <v>472</v>
      </c>
      <c r="E124" s="353"/>
      <c r="F124" s="93"/>
      <c r="G124" s="93"/>
      <c r="H124" s="93">
        <v>0</v>
      </c>
      <c r="I124" s="93">
        <v>-7.4</v>
      </c>
      <c r="J124" s="93"/>
      <c r="K124" s="93"/>
      <c r="L124" s="93"/>
      <c r="M124" s="93"/>
      <c r="O124" s="408"/>
      <c r="P124" s="408" t="s">
        <v>470</v>
      </c>
    </row>
    <row r="125" spans="1:31" ht="13.5">
      <c r="O125" s="387"/>
      <c r="P125" s="387"/>
    </row>
    <row r="126" spans="1:31" ht="13.5">
      <c r="A126" s="155" t="s">
        <v>698</v>
      </c>
      <c r="O126" s="387"/>
      <c r="P126" s="387"/>
    </row>
    <row r="127" spans="1:31" s="402" customFormat="1" ht="14">
      <c r="A127" s="402" t="s">
        <v>716</v>
      </c>
      <c r="C127" s="404"/>
      <c r="D127" s="422" t="s">
        <v>717</v>
      </c>
      <c r="E127" s="404"/>
      <c r="F127" s="580"/>
      <c r="G127" s="580"/>
      <c r="H127" s="580"/>
      <c r="I127" s="580"/>
      <c r="J127" s="580"/>
      <c r="K127" s="580"/>
      <c r="L127" s="580"/>
      <c r="M127" s="580"/>
      <c r="N127" s="580"/>
      <c r="O127" s="407"/>
      <c r="P127" s="407" t="s">
        <v>718</v>
      </c>
      <c r="R127" s="404"/>
      <c r="S127" s="404"/>
      <c r="T127" s="404"/>
    </row>
    <row r="128" spans="1:31" s="137" customFormat="1" ht="14">
      <c r="A128" s="403" t="s">
        <v>679</v>
      </c>
      <c r="B128" s="403" t="s">
        <v>675</v>
      </c>
      <c r="C128" s="404"/>
      <c r="D128" s="410" t="s">
        <v>1</v>
      </c>
      <c r="E128" s="399"/>
      <c r="F128" s="581"/>
      <c r="G128" s="581"/>
      <c r="H128" s="582"/>
      <c r="I128" s="583"/>
      <c r="J128" s="583"/>
      <c r="K128" s="580"/>
      <c r="L128" s="565"/>
      <c r="M128" s="565"/>
      <c r="N128" s="580"/>
      <c r="O128" s="580"/>
      <c r="P128" s="408" t="s">
        <v>675</v>
      </c>
      <c r="R128" s="404"/>
      <c r="S128" s="404"/>
      <c r="T128" s="404"/>
      <c r="U128" s="403"/>
      <c r="V128" s="403"/>
      <c r="W128" s="403"/>
      <c r="X128" s="403"/>
      <c r="Y128" s="403"/>
      <c r="Z128" s="403"/>
      <c r="AA128" s="403"/>
      <c r="AB128" s="403"/>
      <c r="AC128" s="403"/>
      <c r="AD128" s="403"/>
      <c r="AE128" s="403"/>
    </row>
    <row r="129" spans="1:20" s="402" customFormat="1" ht="14">
      <c r="A129" s="415" t="s">
        <v>702</v>
      </c>
      <c r="C129" s="404"/>
      <c r="D129" s="404"/>
      <c r="E129" s="404"/>
      <c r="F129" s="580"/>
      <c r="G129" s="580"/>
      <c r="H129" s="580"/>
      <c r="I129" s="580"/>
      <c r="J129" s="580"/>
      <c r="K129" s="580"/>
      <c r="L129" s="583"/>
      <c r="M129" s="583"/>
      <c r="O129" s="265"/>
      <c r="P129" s="408" t="s">
        <v>703</v>
      </c>
      <c r="R129" s="404"/>
      <c r="S129" s="404"/>
      <c r="T129" s="404"/>
    </row>
    <row r="130" spans="1:20" s="402" customFormat="1" ht="14">
      <c r="A130" s="415" t="s">
        <v>708</v>
      </c>
      <c r="C130" s="404"/>
      <c r="D130" s="404"/>
      <c r="E130" s="404"/>
      <c r="F130" s="580"/>
      <c r="G130" s="580"/>
      <c r="H130" s="580"/>
      <c r="I130" s="580"/>
      <c r="J130" s="580"/>
      <c r="K130" s="580"/>
      <c r="L130" s="580"/>
      <c r="M130" s="580"/>
      <c r="O130" s="265"/>
      <c r="P130" s="408" t="s">
        <v>705</v>
      </c>
      <c r="R130" s="404"/>
      <c r="S130" s="404"/>
      <c r="T130" s="404"/>
    </row>
    <row r="131" spans="1:20" s="402" customFormat="1" ht="14">
      <c r="A131" s="415" t="s">
        <v>709</v>
      </c>
      <c r="C131" s="404"/>
      <c r="D131" s="404"/>
      <c r="E131" s="404"/>
      <c r="F131" s="580"/>
      <c r="G131" s="580"/>
      <c r="H131" s="580"/>
      <c r="I131" s="580"/>
      <c r="J131" s="580"/>
      <c r="K131" s="580"/>
      <c r="L131" s="583"/>
      <c r="M131" s="583"/>
      <c r="O131" s="265"/>
      <c r="P131" s="408" t="s">
        <v>707</v>
      </c>
      <c r="R131" s="404"/>
      <c r="S131" s="404"/>
      <c r="T131" s="404"/>
    </row>
    <row r="132" spans="1:20" s="420" customFormat="1" ht="32.25" customHeight="1">
      <c r="A132" s="415" t="s">
        <v>723</v>
      </c>
      <c r="B132" s="415" t="s">
        <v>724</v>
      </c>
      <c r="C132" s="418"/>
      <c r="D132" s="419"/>
      <c r="E132" s="418"/>
      <c r="F132" s="580"/>
      <c r="G132" s="580"/>
      <c r="H132" s="580"/>
      <c r="I132" s="580"/>
      <c r="J132" s="580"/>
      <c r="K132" s="580"/>
      <c r="L132" s="584"/>
      <c r="M132" s="584"/>
      <c r="O132" s="585"/>
      <c r="P132" s="478" t="s">
        <v>724</v>
      </c>
    </row>
    <row r="133" spans="1:20" s="420" customFormat="1" ht="27">
      <c r="A133" s="415" t="s">
        <v>725</v>
      </c>
      <c r="B133" s="415" t="s">
        <v>726</v>
      </c>
      <c r="C133" s="418"/>
      <c r="D133" s="419"/>
      <c r="E133" s="418"/>
      <c r="F133" s="580"/>
      <c r="G133" s="580"/>
      <c r="H133" s="580"/>
      <c r="I133" s="580"/>
      <c r="J133" s="580"/>
      <c r="K133" s="580"/>
      <c r="L133" s="584"/>
      <c r="M133" s="584"/>
      <c r="O133" s="478"/>
      <c r="P133" s="478" t="s">
        <v>726</v>
      </c>
    </row>
    <row r="134" spans="1:20" s="420" customFormat="1" ht="27">
      <c r="A134" s="415" t="s">
        <v>727</v>
      </c>
      <c r="B134" s="415" t="s">
        <v>728</v>
      </c>
      <c r="C134" s="418"/>
      <c r="D134" s="419"/>
      <c r="E134" s="418"/>
      <c r="F134" s="580"/>
      <c r="G134" s="580"/>
      <c r="H134" s="580"/>
      <c r="I134" s="580"/>
      <c r="J134" s="580"/>
      <c r="K134" s="580"/>
      <c r="L134" s="584"/>
      <c r="M134" s="584"/>
      <c r="O134" s="478"/>
      <c r="P134" s="478" t="s">
        <v>728</v>
      </c>
    </row>
    <row r="135" spans="1:20" s="420" customFormat="1" ht="27">
      <c r="A135" s="415" t="s">
        <v>729</v>
      </c>
      <c r="B135" s="415" t="s">
        <v>730</v>
      </c>
      <c r="C135" s="418"/>
      <c r="D135" s="419"/>
      <c r="E135" s="418"/>
      <c r="F135" s="580"/>
      <c r="G135" s="580"/>
      <c r="H135" s="580"/>
      <c r="I135" s="580"/>
      <c r="J135" s="580"/>
      <c r="K135" s="580"/>
      <c r="L135" s="584"/>
      <c r="M135" s="584"/>
      <c r="O135" s="478"/>
      <c r="P135" s="478" t="s">
        <v>730</v>
      </c>
    </row>
    <row r="136" spans="1:20" ht="13.5">
      <c r="O136" s="387"/>
      <c r="P136" s="387"/>
    </row>
    <row r="137" spans="1:20" ht="13.5">
      <c r="O137" s="387"/>
      <c r="P137" s="387"/>
    </row>
    <row r="138" spans="1:20" ht="13.5">
      <c r="O138" s="387"/>
      <c r="P138" s="387"/>
    </row>
    <row r="139" spans="1:20" ht="13.5">
      <c r="O139" s="387"/>
      <c r="P139" s="387"/>
    </row>
    <row r="140" spans="1:20" ht="13.5">
      <c r="O140" s="387"/>
      <c r="P140" s="387"/>
    </row>
    <row r="141" spans="1:20" ht="13.5"/>
    <row r="142" spans="1:20" ht="13.5"/>
    <row r="143" spans="1:20" ht="13.5"/>
    <row r="144" spans="1:20" ht="13.5"/>
    <row r="145" ht="13.5"/>
    <row r="146" ht="13.5"/>
    <row r="147" ht="13.5"/>
    <row r="148" ht="13.5"/>
    <row r="149" ht="13.5"/>
    <row r="150" ht="13.5"/>
    <row r="151" ht="13.5"/>
    <row r="152" ht="13.5"/>
    <row r="153" ht="13.5"/>
    <row r="154" ht="13.5"/>
    <row r="155" ht="13.5"/>
    <row r="156" ht="13.5"/>
    <row r="157" ht="13.5"/>
    <row r="158" ht="13.5"/>
    <row r="159" ht="13.5"/>
    <row r="160" ht="13.5"/>
    <row r="161" ht="13.5"/>
    <row r="162" ht="13.5"/>
    <row r="163" ht="13.5"/>
    <row r="164" ht="13.5"/>
    <row r="165" ht="13.5"/>
    <row r="166" ht="13.5"/>
    <row r="167" ht="13.5"/>
    <row r="168" ht="13.5"/>
    <row r="169" ht="13.5"/>
    <row r="170" ht="13.5"/>
    <row r="171" ht="13.5"/>
    <row r="172" ht="13.5"/>
    <row r="173" ht="13.5"/>
    <row r="174" ht="13.5"/>
    <row r="175" ht="13.5"/>
    <row r="176" ht="13.5"/>
    <row r="177" ht="13.5"/>
    <row r="178" ht="13.5"/>
    <row r="179" ht="13.5"/>
    <row r="180" ht="13.5"/>
    <row r="181" ht="13.5"/>
    <row r="182" ht="13.5"/>
    <row r="183" ht="13.5"/>
    <row r="184" ht="13.5"/>
    <row r="185" ht="13.5"/>
    <row r="186" ht="13.5"/>
    <row r="187" ht="13.5"/>
    <row r="188" ht="13.5"/>
    <row r="189" ht="13.5"/>
    <row r="190" ht="13.5"/>
    <row r="191" ht="13.5"/>
    <row r="192" ht="13.5"/>
    <row r="193" ht="13.5"/>
    <row r="194" ht="13.5"/>
    <row r="195" ht="13.5"/>
    <row r="196" ht="13.5"/>
    <row r="197" ht="13.5"/>
    <row r="198" ht="13.5"/>
    <row r="199" ht="13.5"/>
    <row r="200" ht="13.5"/>
    <row r="201" ht="13.5"/>
    <row r="202" ht="13.5"/>
    <row r="203" ht="13.5"/>
    <row r="204" ht="13.5"/>
    <row r="205" ht="13.5"/>
    <row r="206" ht="13.5"/>
    <row r="207" ht="13.5"/>
    <row r="208" ht="13.5"/>
    <row r="209" ht="13.5"/>
    <row r="210" ht="13.5"/>
    <row r="211" ht="13.5"/>
    <row r="212" ht="13.5"/>
    <row r="213" ht="13.5"/>
    <row r="214" ht="13.5"/>
    <row r="215" ht="13.5"/>
    <row r="216" ht="13.5"/>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sheetData>
  <sheetProtection formatCells="0" formatColumns="0" formatRows="0" insertHyperlinks="0" autoFilter="0" pivotTables="0"/>
  <mergeCells count="3">
    <mergeCell ref="G3:H3"/>
    <mergeCell ref="F7:I7"/>
    <mergeCell ref="E6:J6"/>
  </mergeCells>
  <pageMargins left="0.23622047244094491" right="0.23622047244094491" top="0.39370078740157483" bottom="0.43307086614173229" header="0.19685039370078741" footer="0.19685039370078741"/>
  <pageSetup paperSize="8" scale="60" orientation="portrait" r:id="rId1"/>
  <headerFooter>
    <oddHeader>&amp;C&amp;A</oddHeader>
    <oddFooter>&amp;L&amp;D &amp;T&amp;C&amp;Z&amp;R&amp;F</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FF00"/>
    <pageSetUpPr fitToPage="1"/>
  </sheetPr>
  <dimension ref="A1:R1000013"/>
  <sheetViews>
    <sheetView showGridLines="0" topLeftCell="A26" zoomScale="85" zoomScaleNormal="85" workbookViewId="0">
      <selection activeCell="T49" sqref="T49"/>
    </sheetView>
  </sheetViews>
  <sheetFormatPr defaultColWidth="9" defaultRowHeight="13.5"/>
  <cols>
    <col min="1" max="1" width="30.61328125" style="137" customWidth="1"/>
    <col min="2" max="2" width="10.61328125" style="137" customWidth="1"/>
    <col min="3" max="3" width="12.61328125" style="137" customWidth="1"/>
    <col min="4" max="4" width="8.765625" style="137" customWidth="1"/>
    <col min="5" max="5" width="15.4609375" style="137" customWidth="1"/>
    <col min="6" max="6" width="11.4609375" style="137" customWidth="1"/>
    <col min="7" max="9" width="10" style="137" customWidth="1"/>
    <col min="10" max="13" width="9.61328125" style="137" customWidth="1"/>
    <col min="15" max="15" width="9" style="137"/>
    <col min="16" max="16" width="6.765625" style="137" customWidth="1"/>
    <col min="17" max="16384" width="9" style="137"/>
  </cols>
  <sheetData>
    <row r="1" spans="1:16" s="148" customFormat="1" ht="15">
      <c r="A1" s="157" t="s">
        <v>899</v>
      </c>
      <c r="B1" s="157"/>
      <c r="C1" s="158"/>
      <c r="D1" s="158"/>
      <c r="E1" s="158"/>
    </row>
    <row r="2" spans="1:16" s="148" customFormat="1" ht="15">
      <c r="A2" s="157" t="str">
        <f>CompName</f>
        <v>National Grid Electricity System Operator Ltd</v>
      </c>
      <c r="B2" s="157"/>
      <c r="C2" s="158"/>
      <c r="D2" s="158"/>
      <c r="E2" s="158"/>
      <c r="I2" s="442"/>
    </row>
    <row r="3" spans="1:16" s="148" customFormat="1">
      <c r="A3" s="159" t="str">
        <f>RegYr</f>
        <v>Regulatory Year ending 31 March 2021</v>
      </c>
      <c r="B3" s="159"/>
      <c r="C3" s="158"/>
      <c r="D3" s="158"/>
      <c r="E3" s="158"/>
    </row>
    <row r="4" spans="1:16" ht="27.75" hidden="1" customHeight="1">
      <c r="B4" s="160"/>
      <c r="C4" s="161" t="s">
        <v>0</v>
      </c>
      <c r="P4" s="128" t="s">
        <v>121</v>
      </c>
    </row>
    <row r="5" spans="1:16" ht="17.5" hidden="1">
      <c r="C5" s="162"/>
      <c r="D5" s="162"/>
      <c r="E5" s="162"/>
      <c r="F5" s="160" t="s">
        <v>104</v>
      </c>
      <c r="G5" s="162"/>
      <c r="H5" s="162"/>
      <c r="I5" s="162"/>
      <c r="K5" s="263"/>
    </row>
    <row r="6" spans="1:16" ht="14.25" hidden="1" customHeight="1">
      <c r="A6" s="159" t="s">
        <v>491</v>
      </c>
    </row>
    <row r="7" spans="1:16" ht="14.5" hidden="1">
      <c r="F7" s="138">
        <v>2014</v>
      </c>
      <c r="G7" s="138">
        <v>2015</v>
      </c>
      <c r="H7" s="138">
        <v>2016</v>
      </c>
      <c r="I7" s="138">
        <v>2017</v>
      </c>
      <c r="J7" s="138">
        <v>2018</v>
      </c>
      <c r="K7" s="138">
        <v>2019</v>
      </c>
      <c r="L7" s="138">
        <v>2020</v>
      </c>
      <c r="M7" s="138">
        <v>2021</v>
      </c>
      <c r="P7" s="165"/>
    </row>
    <row r="8" spans="1:16" hidden="1">
      <c r="A8" s="137" t="s">
        <v>17</v>
      </c>
      <c r="B8" s="139" t="s">
        <v>124</v>
      </c>
      <c r="C8" s="137" t="s">
        <v>1</v>
      </c>
      <c r="F8" s="163">
        <f t="shared" ref="F8:M8" si="0">PU</f>
        <v>1342.2809999999999</v>
      </c>
      <c r="G8" s="163">
        <f t="shared" si="0"/>
        <v>1443.829</v>
      </c>
      <c r="H8" s="163">
        <f t="shared" si="0"/>
        <v>1475.5930000000001</v>
      </c>
      <c r="I8" s="163">
        <f t="shared" si="0"/>
        <v>1571.3869999999999</v>
      </c>
      <c r="J8" s="163">
        <f t="shared" si="0"/>
        <v>1554.942</v>
      </c>
      <c r="K8" s="163">
        <f t="shared" si="0"/>
        <v>1587.627</v>
      </c>
      <c r="L8" s="163">
        <f t="shared" si="0"/>
        <v>1585.2280000000001</v>
      </c>
      <c r="M8" s="163">
        <f t="shared" si="0"/>
        <v>1571.5840000000001</v>
      </c>
      <c r="P8" s="165" t="s">
        <v>124</v>
      </c>
    </row>
    <row r="9" spans="1:16" hidden="1">
      <c r="A9" s="137" t="s">
        <v>16</v>
      </c>
      <c r="B9" s="139" t="s">
        <v>310</v>
      </c>
      <c r="C9" s="137" t="s">
        <v>1</v>
      </c>
      <c r="F9" s="163">
        <f t="shared" ref="F9:M9" si="1">MOD</f>
        <v>0</v>
      </c>
      <c r="G9" s="163">
        <f t="shared" si="1"/>
        <v>-5.4</v>
      </c>
      <c r="H9" s="163">
        <f t="shared" si="1"/>
        <v>-114.4</v>
      </c>
      <c r="I9" s="163">
        <f t="shared" si="1"/>
        <v>-185.4</v>
      </c>
      <c r="J9" s="163">
        <f t="shared" si="1"/>
        <v>-253.3</v>
      </c>
      <c r="K9" s="163">
        <f t="shared" si="1"/>
        <v>-310.2</v>
      </c>
      <c r="L9" s="163">
        <f t="shared" si="1"/>
        <v>-378</v>
      </c>
      <c r="M9" s="163">
        <f t="shared" si="1"/>
        <v>0</v>
      </c>
      <c r="P9" s="165" t="s">
        <v>310</v>
      </c>
    </row>
    <row r="10" spans="1:16" hidden="1">
      <c r="A10" s="137" t="s">
        <v>84</v>
      </c>
      <c r="B10" s="139" t="s">
        <v>342</v>
      </c>
      <c r="C10" s="137" t="s">
        <v>1</v>
      </c>
      <c r="F10" s="163">
        <v>0</v>
      </c>
      <c r="G10" s="163">
        <f t="shared" ref="G10:M10" si="2">TRU</f>
        <v>0</v>
      </c>
      <c r="H10" s="163">
        <f t="shared" si="2"/>
        <v>0</v>
      </c>
      <c r="I10" s="163">
        <f t="shared" si="2"/>
        <v>0</v>
      </c>
      <c r="J10" s="163">
        <f t="shared" si="2"/>
        <v>0</v>
      </c>
      <c r="K10" s="163">
        <f t="shared" si="2"/>
        <v>0</v>
      </c>
      <c r="L10" s="163">
        <f t="shared" si="2"/>
        <v>0</v>
      </c>
      <c r="M10" s="163">
        <f t="shared" si="2"/>
        <v>0</v>
      </c>
      <c r="P10" s="165" t="s">
        <v>342</v>
      </c>
    </row>
    <row r="11" spans="1:16" hidden="1">
      <c r="A11" s="137" t="s">
        <v>72</v>
      </c>
      <c r="B11" s="139" t="s">
        <v>132</v>
      </c>
      <c r="C11" s="137" t="s">
        <v>133</v>
      </c>
      <c r="F11" s="164">
        <f t="shared" ref="F11:M11" si="3">RPIF</f>
        <v>1.163</v>
      </c>
      <c r="G11" s="164">
        <f t="shared" si="3"/>
        <v>1.2050000000000001</v>
      </c>
      <c r="H11" s="164">
        <f t="shared" si="3"/>
        <v>1.2270000000000001</v>
      </c>
      <c r="I11" s="164">
        <f t="shared" si="3"/>
        <v>1.2330000000000001</v>
      </c>
      <c r="J11" s="164">
        <f t="shared" si="3"/>
        <v>1.2709999999999999</v>
      </c>
      <c r="K11" s="164">
        <f t="shared" si="3"/>
        <v>1.3140000000000001</v>
      </c>
      <c r="L11" s="164">
        <f t="shared" si="3"/>
        <v>1.3580000000000001</v>
      </c>
      <c r="M11" s="164">
        <f t="shared" si="3"/>
        <v>1.38</v>
      </c>
      <c r="P11" s="165" t="s">
        <v>132</v>
      </c>
    </row>
    <row r="12" spans="1:16" hidden="1">
      <c r="A12" s="137" t="s">
        <v>12</v>
      </c>
      <c r="B12" s="139" t="s">
        <v>317</v>
      </c>
      <c r="C12" s="137" t="s">
        <v>1</v>
      </c>
      <c r="F12" s="175">
        <f>SUM(F8:F10)*F11</f>
        <v>1561.072803</v>
      </c>
      <c r="G12" s="175">
        <f t="shared" ref="G12:M12" si="4">SUM(G8:G10)*G11</f>
        <v>1733.306945</v>
      </c>
      <c r="H12" s="175">
        <f>SUM(H8:H10)*H11</f>
        <v>1670.1838110000001</v>
      </c>
      <c r="I12" s="175">
        <f t="shared" si="4"/>
        <v>1708.921971</v>
      </c>
      <c r="J12" s="175">
        <f t="shared" si="4"/>
        <v>1654.386982</v>
      </c>
      <c r="K12" s="175">
        <f t="shared" si="4"/>
        <v>1678.539078</v>
      </c>
      <c r="L12" s="175">
        <f t="shared" si="4"/>
        <v>1639.4156240000002</v>
      </c>
      <c r="M12" s="175">
        <f t="shared" si="4"/>
        <v>2168.7859199999998</v>
      </c>
      <c r="P12" s="165" t="s">
        <v>317</v>
      </c>
    </row>
    <row r="13" spans="1:16" hidden="1">
      <c r="F13" s="165"/>
      <c r="G13" s="165"/>
      <c r="H13" s="165"/>
      <c r="I13" s="165"/>
    </row>
    <row r="16" spans="1:16" ht="17.5">
      <c r="A16" s="159" t="s">
        <v>492</v>
      </c>
      <c r="F16" s="160" t="s">
        <v>105</v>
      </c>
      <c r="K16" s="263"/>
    </row>
    <row r="17" spans="2:16">
      <c r="C17" s="166"/>
      <c r="D17" s="166"/>
      <c r="E17" s="166"/>
    </row>
    <row r="18" spans="2:16" ht="14.5">
      <c r="D18" s="138">
        <v>2012</v>
      </c>
      <c r="E18" s="138">
        <v>2013</v>
      </c>
      <c r="F18" s="138">
        <v>2014</v>
      </c>
      <c r="G18" s="138">
        <v>2015</v>
      </c>
      <c r="H18" s="138">
        <v>2016</v>
      </c>
      <c r="I18" s="138">
        <v>2017</v>
      </c>
      <c r="J18" s="138">
        <v>2018</v>
      </c>
      <c r="K18" s="138">
        <v>2019</v>
      </c>
      <c r="L18" s="138">
        <v>2020</v>
      </c>
      <c r="M18" s="138">
        <v>2021</v>
      </c>
      <c r="N18" s="593">
        <v>2022</v>
      </c>
      <c r="O18" s="593">
        <v>2023</v>
      </c>
    </row>
    <row r="19" spans="2:16">
      <c r="B19" s="137" t="s">
        <v>341</v>
      </c>
      <c r="D19" s="167">
        <f>'R5 Input page'!D10</f>
        <v>1.1000000000000001</v>
      </c>
      <c r="E19" s="167">
        <f>'R5 Input page'!E10</f>
        <v>1.1339999999999999</v>
      </c>
      <c r="F19" s="167">
        <f>'R5 Input page'!F10</f>
        <v>1.167</v>
      </c>
      <c r="G19" s="167">
        <f>'R5 Input page'!G10</f>
        <v>1.19</v>
      </c>
      <c r="H19" s="167">
        <f>'R5 Input page'!H10</f>
        <v>1.202</v>
      </c>
      <c r="I19" s="167">
        <f>'R5 Input page'!I10</f>
        <v>1.228</v>
      </c>
      <c r="J19" s="167">
        <f>'R5 Input page'!J10</f>
        <v>1.274</v>
      </c>
      <c r="K19" s="167">
        <f>'R5 Input page'!K10</f>
        <v>1.3129999999999999</v>
      </c>
      <c r="L19" s="167">
        <f>'R5 Input page'!L10</f>
        <v>1.347</v>
      </c>
      <c r="M19" s="167">
        <f>'R5 Input page'!M10</f>
        <v>1.363</v>
      </c>
      <c r="N19" s="167">
        <f>'R5 Input page'!N10</f>
        <v>1.383</v>
      </c>
      <c r="O19" s="167">
        <f>'R5 Input page'!O10</f>
        <v>1.4079999999999999</v>
      </c>
      <c r="P19" s="165" t="s">
        <v>142</v>
      </c>
    </row>
    <row r="20" spans="2:16">
      <c r="B20" s="137" t="s">
        <v>340</v>
      </c>
      <c r="C20" s="137" t="s">
        <v>189</v>
      </c>
      <c r="E20" s="67">
        <f>0.75*'R5 Input page'!D16+0.25*'R5 Input page'!E16</f>
        <v>0.03</v>
      </c>
      <c r="F20" s="67">
        <f>0.75*'R5 Input page'!E16+0.25*'R5 Input page'!F16</f>
        <v>2.6500000000000003E-2</v>
      </c>
    </row>
    <row r="21" spans="2:16">
      <c r="B21" s="137" t="s">
        <v>340</v>
      </c>
      <c r="C21" s="137" t="s">
        <v>190</v>
      </c>
      <c r="F21" s="67">
        <f>0.75*'R5 Input page'!E17+0.25*'R5 Input page'!F17</f>
        <v>3.1E-2</v>
      </c>
      <c r="G21" s="67">
        <f>0.75*'R5 Input page'!F17+0.25*'R5 Input page'!G17</f>
        <v>3.075E-2</v>
      </c>
    </row>
    <row r="22" spans="2:16">
      <c r="B22" s="137" t="s">
        <v>340</v>
      </c>
      <c r="C22" s="137" t="s">
        <v>191</v>
      </c>
      <c r="G22" s="67">
        <f>0.75*'R5 Input page'!F18+0.25*'R5 Input page'!G18</f>
        <v>2.4750000000000001E-2</v>
      </c>
      <c r="H22" s="67">
        <f>0.75*'R5 Input page'!G18+0.25*'R5 Input page'!H18</f>
        <v>2.6000000000000002E-2</v>
      </c>
    </row>
    <row r="23" spans="2:16">
      <c r="B23" s="137" t="s">
        <v>340</v>
      </c>
      <c r="C23" s="137" t="s">
        <v>192</v>
      </c>
      <c r="H23" s="67">
        <f>0.75*'R5 Input page'!G19+0.25*'R5 Input page'!H19</f>
        <v>1.2750000000000001E-2</v>
      </c>
      <c r="I23" s="67">
        <f>0.75*'R5 Input page'!H19+0.25*'R5 Input page'!I19</f>
        <v>2.325E-2</v>
      </c>
    </row>
    <row r="24" spans="2:16">
      <c r="B24" s="137" t="s">
        <v>340</v>
      </c>
      <c r="C24" s="137" t="s">
        <v>193</v>
      </c>
      <c r="I24" s="67">
        <f>0.75*'R5 Input page'!H20+0.25*'R5 Input page'!I20</f>
        <v>2.2249999999999999E-2</v>
      </c>
      <c r="J24" s="67">
        <f>0.75*'R5 Input page'!I20+0.25*'R5 Input page'!J20</f>
        <v>3.4000000000000002E-2</v>
      </c>
    </row>
    <row r="25" spans="2:16">
      <c r="B25" s="137" t="s">
        <v>340</v>
      </c>
      <c r="C25" s="137" t="s">
        <v>194</v>
      </c>
      <c r="J25" s="67">
        <f>0.75*'R5 Input page'!I21+0.25*'R5 Input page'!J21</f>
        <v>3.5499999999999997E-2</v>
      </c>
      <c r="K25" s="67">
        <f>0.75*'R5 Input page'!J21+0.25*'R5 Input page'!K21</f>
        <v>3.3250000000000002E-2</v>
      </c>
    </row>
    <row r="26" spans="2:16">
      <c r="B26" s="137" t="s">
        <v>340</v>
      </c>
      <c r="C26" s="137" t="s">
        <v>195</v>
      </c>
      <c r="K26" s="67">
        <f>0.75*'R5 Input page'!J22+0.25*'R5 Input page'!K22</f>
        <v>3.3500000000000002E-2</v>
      </c>
      <c r="L26" s="67">
        <f>0.75*'R5 Input page'!K22+0.25*'R5 Input page'!L22</f>
        <v>3.175E-2</v>
      </c>
    </row>
    <row r="27" spans="2:16">
      <c r="B27" s="137" t="s">
        <v>340</v>
      </c>
      <c r="C27" s="137" t="s">
        <v>196</v>
      </c>
      <c r="L27" s="67">
        <f>0.75*'R5 Input page'!K23+0.25*'R5 Input page'!L23</f>
        <v>2.5500000000000002E-2</v>
      </c>
      <c r="M27" s="67">
        <f>0.75*'R5 Input page'!L23+0.25*'R5 Input page'!M23</f>
        <v>2.4750000000000001E-2</v>
      </c>
      <c r="N27" s="137"/>
    </row>
    <row r="28" spans="2:16" s="402" customFormat="1">
      <c r="B28" s="594" t="s">
        <v>340</v>
      </c>
      <c r="C28" s="594" t="s">
        <v>1039</v>
      </c>
      <c r="M28" s="67">
        <f>0.75*'R5 Input page'!L24+0.25*'R5 Input page'!M24</f>
        <v>1.7000000000000001E-2</v>
      </c>
      <c r="N28" s="67">
        <f>0.75*'R5 Input page'!M24+0.25*'R5 Input page'!N24</f>
        <v>2.4E-2</v>
      </c>
    </row>
    <row r="29" spans="2:16" s="402" customFormat="1">
      <c r="B29" s="594" t="s">
        <v>340</v>
      </c>
      <c r="C29" s="594" t="s">
        <v>1040</v>
      </c>
      <c r="N29" s="67">
        <f>0.75*'R5 Input page'!M25+0.25*'R5 Input page'!N25</f>
        <v>2.4E-2</v>
      </c>
      <c r="O29" s="67">
        <f>0.75*'R5 Input page'!N25+0.25*'R5 Input page'!O25</f>
        <v>2.725E-2</v>
      </c>
    </row>
    <row r="30" spans="2:16">
      <c r="B30" s="137" t="s">
        <v>301</v>
      </c>
      <c r="E30" s="391">
        <f>1.1344</f>
        <v>1.1344000000000001</v>
      </c>
      <c r="F30" s="363">
        <f>ROUND(D19*(1+$E$20)*(1+$F$20),3)</f>
        <v>1.163</v>
      </c>
      <c r="G30" s="363">
        <f>ROUND(E19*(1+$F$21)*(1+$G$21),3)</f>
        <v>1.2050000000000001</v>
      </c>
      <c r="H30" s="173">
        <f>ROUND(F19*(1+$G$22)*(1+$H$22),3)</f>
        <v>1.2270000000000001</v>
      </c>
      <c r="I30" s="173">
        <f>ROUND(G19*(1+$H$23)*(1+$I$23),3)</f>
        <v>1.2330000000000001</v>
      </c>
      <c r="J30" s="173">
        <f>ROUND(H19*(1+$I$24)*(1+$J$24),3)</f>
        <v>1.2709999999999999</v>
      </c>
      <c r="K30" s="173">
        <f>ROUND(I19*(1+$J$25)*(1+$K$25),3)</f>
        <v>1.3140000000000001</v>
      </c>
      <c r="L30" s="173">
        <f>ROUND(J19*(1+$K$26)*(1+$L$26),3)</f>
        <v>1.3580000000000001</v>
      </c>
      <c r="M30" s="173">
        <f>ROUND(K19*(1+$L$27)*(1+$M$27),3)</f>
        <v>1.38</v>
      </c>
      <c r="N30" s="173">
        <f>ROUND(L19*(1+$M$28)*(1+$N$28),3)</f>
        <v>1.403</v>
      </c>
      <c r="O30" s="173">
        <f>ROUND(M19*(1+$N$29)*(1+$O$29),3)</f>
        <v>1.4339999999999999</v>
      </c>
      <c r="P30" s="169" t="s">
        <v>132</v>
      </c>
    </row>
    <row r="31" spans="2:16">
      <c r="I31" s="165"/>
      <c r="N31" s="137"/>
    </row>
    <row r="33" spans="1:18">
      <c r="N33" s="137"/>
    </row>
    <row r="34" spans="1:18">
      <c r="A34" s="545" t="s">
        <v>39</v>
      </c>
      <c r="N34" s="137"/>
    </row>
    <row r="35" spans="1:18" ht="14">
      <c r="A35" s="602" t="s">
        <v>491</v>
      </c>
      <c r="M35" s="263"/>
      <c r="N35" s="137"/>
    </row>
    <row r="37" spans="1:18" ht="14.5">
      <c r="E37" s="138">
        <v>2013</v>
      </c>
      <c r="F37" s="138">
        <v>2014</v>
      </c>
      <c r="G37" s="138">
        <v>2015</v>
      </c>
      <c r="H37" s="138">
        <v>2016</v>
      </c>
      <c r="I37" s="138">
        <v>2017</v>
      </c>
      <c r="J37" s="138">
        <v>2018</v>
      </c>
      <c r="K37" s="138">
        <v>2019</v>
      </c>
      <c r="L37" s="138">
        <v>2020</v>
      </c>
      <c r="M37" s="138">
        <v>2021</v>
      </c>
      <c r="N37" s="593">
        <v>2022</v>
      </c>
      <c r="O37" s="593">
        <v>2023</v>
      </c>
      <c r="P37" s="593">
        <v>2024</v>
      </c>
      <c r="Q37" s="593">
        <v>2025</v>
      </c>
    </row>
    <row r="38" spans="1:18">
      <c r="A38" s="137" t="s">
        <v>40</v>
      </c>
      <c r="B38" s="137" t="s">
        <v>343</v>
      </c>
      <c r="C38" s="281" t="s">
        <v>1</v>
      </c>
      <c r="E38" s="163">
        <f t="shared" ref="E38:O38" si="5">REV</f>
        <v>0</v>
      </c>
      <c r="F38" s="163">
        <f t="shared" si="5"/>
        <v>0</v>
      </c>
      <c r="G38" s="163">
        <f t="shared" si="5"/>
        <v>0</v>
      </c>
      <c r="H38" s="163">
        <f t="shared" si="5"/>
        <v>0</v>
      </c>
      <c r="I38" s="163">
        <f t="shared" si="5"/>
        <v>0</v>
      </c>
      <c r="J38" s="163">
        <f t="shared" si="5"/>
        <v>0</v>
      </c>
      <c r="K38" s="163">
        <f t="shared" si="5"/>
        <v>0</v>
      </c>
      <c r="L38" s="163">
        <f t="shared" si="5"/>
        <v>0</v>
      </c>
      <c r="M38" s="163">
        <f t="shared" si="5"/>
        <v>0</v>
      </c>
      <c r="N38" s="163">
        <f t="shared" si="5"/>
        <v>0</v>
      </c>
      <c r="O38" s="163">
        <f t="shared" si="5"/>
        <v>0</v>
      </c>
      <c r="R38" s="165" t="s">
        <v>343</v>
      </c>
    </row>
    <row r="39" spans="1:18">
      <c r="A39" s="137" t="s">
        <v>41</v>
      </c>
      <c r="B39" s="137" t="s">
        <v>146</v>
      </c>
      <c r="C39" s="281" t="s">
        <v>133</v>
      </c>
      <c r="E39" s="168">
        <f t="shared" ref="E39:P39" si="6">PVF</f>
        <v>1.0475000000000001</v>
      </c>
      <c r="F39" s="168">
        <f t="shared" si="6"/>
        <v>1.04552</v>
      </c>
      <c r="G39" s="168">
        <f t="shared" si="6"/>
        <v>1.0443199999999999</v>
      </c>
      <c r="H39" s="168">
        <f t="shared" si="6"/>
        <v>1.0432999999999999</v>
      </c>
      <c r="I39" s="168">
        <f t="shared" si="6"/>
        <v>1.0422800000000001</v>
      </c>
      <c r="J39" s="168">
        <f t="shared" si="6"/>
        <v>1.04132</v>
      </c>
      <c r="K39" s="168">
        <f t="shared" si="6"/>
        <v>1.0394600000000001</v>
      </c>
      <c r="L39" s="168">
        <f t="shared" si="6"/>
        <v>1.03748</v>
      </c>
      <c r="M39" s="168">
        <f t="shared" si="6"/>
        <v>1.03454</v>
      </c>
      <c r="N39" s="168">
        <f t="shared" si="6"/>
        <v>1.0489599999999999</v>
      </c>
      <c r="O39" s="168">
        <f t="shared" si="6"/>
        <v>1.0507900000000001</v>
      </c>
      <c r="P39" s="168">
        <f t="shared" si="6"/>
        <v>1.0521400000000001</v>
      </c>
      <c r="R39" s="165" t="s">
        <v>146</v>
      </c>
    </row>
    <row r="40" spans="1:18" ht="15.5">
      <c r="A40" s="137" t="s">
        <v>84</v>
      </c>
      <c r="B40" s="139" t="s">
        <v>342</v>
      </c>
      <c r="C40" s="120" t="s">
        <v>985</v>
      </c>
      <c r="F40" s="172">
        <f>IFERROR(((D$19-D$30)/D$19)*D$38*D$39*E$39,"-")</f>
        <v>0</v>
      </c>
      <c r="G40" s="172">
        <f>IFERROR(((E$19-E$30)/E$19)*E$38*E$39*F$39,"-")</f>
        <v>0</v>
      </c>
      <c r="H40" s="172">
        <f t="shared" ref="H40:M40" si="7">IFERROR(((F$19-F$30)/F$19)*F$38*F$39*G$39,"-")</f>
        <v>0</v>
      </c>
      <c r="I40" s="172">
        <f t="shared" si="7"/>
        <v>0</v>
      </c>
      <c r="J40" s="172">
        <f>IFERROR(((H$19-H$30)/H$19)*H$38*H$39*I$39,"-")</f>
        <v>0</v>
      </c>
      <c r="K40" s="172">
        <f t="shared" si="7"/>
        <v>0</v>
      </c>
      <c r="L40" s="172">
        <f t="shared" si="7"/>
        <v>0</v>
      </c>
      <c r="M40" s="172">
        <f t="shared" si="7"/>
        <v>0</v>
      </c>
      <c r="N40" s="172">
        <f t="shared" ref="N40" si="8">IFERROR(((L$19-L$30)/L$19)*L$38*L$39*M$39,"-")</f>
        <v>0</v>
      </c>
      <c r="O40" s="172">
        <f t="shared" ref="O40" si="9">IFERROR(((M$19-M$30)/M$19)*M$38*M$39*N$39,"-")</f>
        <v>0</v>
      </c>
      <c r="P40" s="172">
        <f t="shared" ref="P40" si="10">IFERROR(((N$19-N$30)/N$19)*N$38*N$39*O$39,"-")</f>
        <v>0</v>
      </c>
      <c r="Q40" s="172">
        <f>IFERROR(((O$19-O$30)/O$19)*O$38*O$39*P$39,"-")</f>
        <v>0</v>
      </c>
      <c r="R40" s="165" t="s">
        <v>277</v>
      </c>
    </row>
    <row r="41" spans="1:18">
      <c r="F41" s="165"/>
      <c r="G41" s="165"/>
      <c r="H41" s="165"/>
      <c r="I41" s="165"/>
      <c r="N41" s="137"/>
    </row>
    <row r="43" spans="1:18">
      <c r="A43" s="136"/>
      <c r="N43" s="137"/>
    </row>
    <row r="44" spans="1:18">
      <c r="A44" s="136"/>
      <c r="N44" s="137"/>
    </row>
    <row r="45" spans="1:18">
      <c r="A45" s="601" t="s">
        <v>926</v>
      </c>
      <c r="B45" s="136"/>
      <c r="D45" s="406" t="s">
        <v>856</v>
      </c>
      <c r="M45" s="169"/>
      <c r="N45" s="137"/>
    </row>
    <row r="47" spans="1:18">
      <c r="C47" s="165"/>
      <c r="N47" s="137"/>
    </row>
    <row r="49" spans="1:16" ht="14.5">
      <c r="E49" s="138">
        <v>2013</v>
      </c>
      <c r="F49" s="138">
        <v>2014</v>
      </c>
      <c r="G49" s="138">
        <v>2015</v>
      </c>
      <c r="H49" s="138">
        <v>2016</v>
      </c>
      <c r="I49" s="138">
        <v>2017</v>
      </c>
      <c r="J49" s="138">
        <v>2018</v>
      </c>
      <c r="K49" s="138">
        <v>2019</v>
      </c>
      <c r="L49" s="138">
        <v>2020</v>
      </c>
      <c r="M49" s="138">
        <v>2021</v>
      </c>
      <c r="N49" s="593">
        <v>2022</v>
      </c>
      <c r="O49" s="593">
        <v>2023</v>
      </c>
    </row>
    <row r="50" spans="1:16" ht="15.5">
      <c r="A50" s="137" t="s">
        <v>21</v>
      </c>
      <c r="B50" s="139" t="s">
        <v>428</v>
      </c>
      <c r="C50" s="120" t="s">
        <v>985</v>
      </c>
      <c r="E50" s="302"/>
      <c r="F50" s="532"/>
      <c r="G50" s="532"/>
      <c r="H50" s="532"/>
      <c r="I50" s="532"/>
      <c r="J50" s="532"/>
      <c r="K50" s="532"/>
      <c r="L50" s="163">
        <f t="shared" ref="L50:O50" si="11">RBt</f>
        <v>0</v>
      </c>
      <c r="M50" s="163">
        <f t="shared" si="11"/>
        <v>0</v>
      </c>
      <c r="N50" s="163">
        <f t="shared" si="11"/>
        <v>0</v>
      </c>
      <c r="O50" s="163">
        <f t="shared" si="11"/>
        <v>0</v>
      </c>
      <c r="P50" s="165" t="s">
        <v>298</v>
      </c>
    </row>
    <row r="51" spans="1:16">
      <c r="A51" s="137" t="s">
        <v>22</v>
      </c>
      <c r="B51" s="139" t="s">
        <v>19</v>
      </c>
      <c r="C51" s="120" t="s">
        <v>985</v>
      </c>
      <c r="E51" s="302"/>
      <c r="F51" s="532"/>
      <c r="G51" s="532"/>
      <c r="H51" s="532"/>
      <c r="I51" s="532"/>
      <c r="J51" s="532"/>
      <c r="K51" s="532"/>
      <c r="L51" s="163">
        <f>LF</f>
        <v>0</v>
      </c>
      <c r="M51" s="163">
        <f>LF</f>
        <v>0</v>
      </c>
      <c r="N51" s="163">
        <f>LF</f>
        <v>0</v>
      </c>
      <c r="O51" s="163">
        <f>LF</f>
        <v>0</v>
      </c>
      <c r="P51" s="165" t="s">
        <v>19</v>
      </c>
    </row>
    <row r="52" spans="1:16">
      <c r="A52" s="137" t="s">
        <v>81</v>
      </c>
      <c r="B52" s="139" t="s">
        <v>20</v>
      </c>
      <c r="C52" s="120" t="s">
        <v>985</v>
      </c>
      <c r="E52" s="302"/>
      <c r="F52" s="532"/>
      <c r="G52" s="532"/>
      <c r="H52" s="532"/>
      <c r="I52" s="532"/>
      <c r="J52" s="532"/>
      <c r="K52" s="532"/>
      <c r="L52" s="163">
        <f t="shared" ref="L52:O52" si="12">ITC</f>
        <v>0</v>
      </c>
      <c r="M52" s="163">
        <f t="shared" si="12"/>
        <v>0</v>
      </c>
      <c r="N52" s="163">
        <f t="shared" si="12"/>
        <v>0</v>
      </c>
      <c r="O52" s="163">
        <f t="shared" si="12"/>
        <v>0</v>
      </c>
      <c r="P52" s="165" t="s">
        <v>20</v>
      </c>
    </row>
    <row r="53" spans="1:16">
      <c r="A53" s="137" t="s">
        <v>72</v>
      </c>
      <c r="B53" s="139" t="s">
        <v>132</v>
      </c>
      <c r="C53" s="281" t="s">
        <v>133</v>
      </c>
      <c r="E53" s="304"/>
      <c r="F53" s="164">
        <f t="shared" ref="F53:O53" si="13">RPIF</f>
        <v>1.163</v>
      </c>
      <c r="G53" s="164">
        <f t="shared" si="13"/>
        <v>1.2050000000000001</v>
      </c>
      <c r="H53" s="164">
        <f t="shared" si="13"/>
        <v>1.2270000000000001</v>
      </c>
      <c r="I53" s="164">
        <f t="shared" si="13"/>
        <v>1.2330000000000001</v>
      </c>
      <c r="J53" s="164">
        <f t="shared" si="13"/>
        <v>1.2709999999999999</v>
      </c>
      <c r="K53" s="164">
        <f t="shared" si="13"/>
        <v>1.3140000000000001</v>
      </c>
      <c r="L53" s="164">
        <f t="shared" si="13"/>
        <v>1.3580000000000001</v>
      </c>
      <c r="M53" s="164">
        <f t="shared" si="13"/>
        <v>1.38</v>
      </c>
      <c r="N53" s="405">
        <f t="shared" si="13"/>
        <v>1.403</v>
      </c>
      <c r="O53" s="405">
        <f t="shared" si="13"/>
        <v>1.4339999999999999</v>
      </c>
      <c r="P53" s="165" t="s">
        <v>132</v>
      </c>
    </row>
    <row r="54" spans="1:16" ht="15.5">
      <c r="B54" s="139" t="s">
        <v>429</v>
      </c>
      <c r="C54" s="120" t="s">
        <v>985</v>
      </c>
      <c r="E54" s="303">
        <v>0</v>
      </c>
      <c r="F54" s="171">
        <f t="shared" ref="F54:M54" si="14">SUM(F50:F52)/F53</f>
        <v>0</v>
      </c>
      <c r="G54" s="171">
        <f t="shared" si="14"/>
        <v>0</v>
      </c>
      <c r="H54" s="171">
        <f t="shared" si="14"/>
        <v>0</v>
      </c>
      <c r="I54" s="171">
        <f t="shared" si="14"/>
        <v>0</v>
      </c>
      <c r="J54" s="171">
        <f t="shared" si="14"/>
        <v>0</v>
      </c>
      <c r="K54" s="171">
        <f t="shared" si="14"/>
        <v>0</v>
      </c>
      <c r="L54" s="171">
        <f>SUM(L50:L52)/L53</f>
        <v>0</v>
      </c>
      <c r="M54" s="171">
        <f t="shared" si="14"/>
        <v>0</v>
      </c>
      <c r="N54" s="171">
        <f>SUM(N50:N52)/N53</f>
        <v>0</v>
      </c>
      <c r="O54" s="171">
        <f t="shared" ref="O54" si="15">SUM(O50:O52)/O53</f>
        <v>0</v>
      </c>
      <c r="P54" s="165" t="s">
        <v>299</v>
      </c>
    </row>
    <row r="55" spans="1:16">
      <c r="C55" s="281"/>
      <c r="E55" s="165"/>
      <c r="F55" s="165"/>
      <c r="G55" s="165"/>
      <c r="H55" s="165"/>
      <c r="N55" s="137"/>
    </row>
    <row r="1000001" spans="1:14">
      <c r="N1000001" s="137"/>
    </row>
    <row r="1000008" spans="1:14">
      <c r="A1000008" s="137" t="s">
        <v>7</v>
      </c>
      <c r="N1000008" s="137"/>
    </row>
    <row r="1000009" spans="1:14">
      <c r="A1000009" s="137" t="s">
        <v>2</v>
      </c>
      <c r="N1000009" s="137"/>
    </row>
    <row r="1000010" spans="1:14">
      <c r="A1000010" s="137" t="s">
        <v>6</v>
      </c>
      <c r="N1000010" s="137"/>
    </row>
    <row r="1000011" spans="1:14">
      <c r="A1000011" s="137" t="s">
        <v>3</v>
      </c>
      <c r="N1000011" s="137"/>
    </row>
    <row r="1000012" spans="1:14">
      <c r="A1000012" s="137" t="s">
        <v>4</v>
      </c>
      <c r="N1000012" s="137"/>
    </row>
    <row r="1000013" spans="1:14">
      <c r="A1000013" s="137" t="s">
        <v>5</v>
      </c>
      <c r="N1000013" s="137"/>
    </row>
  </sheetData>
  <pageMargins left="0.15748031496062992" right="0.15748031496062992" top="0.39370078740157483" bottom="0.47244094488188981" header="0.19685039370078741" footer="0.23622047244094491"/>
  <pageSetup paperSize="8" scale="79" orientation="portrait" r:id="rId1"/>
  <headerFooter>
    <oddFooter>&amp;C&amp;D&amp;R&amp;F</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FF00"/>
    <pageSetUpPr fitToPage="1"/>
  </sheetPr>
  <dimension ref="A1:S1000024"/>
  <sheetViews>
    <sheetView showGridLines="0" zoomScale="85" zoomScaleNormal="85" workbookViewId="0">
      <selection activeCell="J31" sqref="J31"/>
    </sheetView>
  </sheetViews>
  <sheetFormatPr defaultColWidth="9" defaultRowHeight="13.5"/>
  <cols>
    <col min="1" max="1" width="39.3828125" style="137" customWidth="1"/>
    <col min="2" max="2" width="8.15234375" style="137" customWidth="1"/>
    <col min="3" max="3" width="10.84375" style="281" bestFit="1" customWidth="1"/>
    <col min="4" max="4" width="7.15234375" style="137" customWidth="1"/>
    <col min="5" max="5" width="8.3828125" style="137" customWidth="1"/>
    <col min="6" max="7" width="9" style="137"/>
    <col min="8" max="8" width="10.15234375" style="137" bestFit="1" customWidth="1"/>
    <col min="9" max="13" width="10.765625" style="137" bestFit="1" customWidth="1"/>
    <col min="15" max="15" width="9" style="137"/>
    <col min="16" max="16" width="6" style="137" customWidth="1"/>
    <col min="17" max="17" width="11.765625" style="137" customWidth="1"/>
    <col min="18" max="18" width="10.84375" style="137" bestFit="1" customWidth="1"/>
    <col min="19" max="19" width="9.84375" style="137" customWidth="1"/>
    <col min="20" max="16384" width="9" style="137"/>
  </cols>
  <sheetData>
    <row r="1" spans="1:19" s="148" customFormat="1" ht="15">
      <c r="A1" s="157" t="s">
        <v>130</v>
      </c>
      <c r="C1" s="158"/>
    </row>
    <row r="2" spans="1:19" s="148" customFormat="1" ht="15">
      <c r="A2" s="157" t="str">
        <f>CompName</f>
        <v>National Grid Electricity System Operator Ltd</v>
      </c>
      <c r="C2" s="158"/>
    </row>
    <row r="3" spans="1:19" s="148" customFormat="1">
      <c r="A3" s="159" t="str">
        <f>RegYr</f>
        <v>Regulatory Year ending 31 March 2021</v>
      </c>
      <c r="C3" s="158"/>
    </row>
    <row r="4" spans="1:19">
      <c r="A4" s="176"/>
      <c r="B4" s="176"/>
      <c r="C4" s="557"/>
      <c r="D4" s="176"/>
      <c r="E4" s="176"/>
      <c r="F4" s="176"/>
      <c r="G4" s="176"/>
      <c r="H4" s="176"/>
      <c r="I4" s="176"/>
      <c r="J4" s="176"/>
      <c r="K4" s="176"/>
      <c r="L4" s="176"/>
      <c r="M4" s="176"/>
      <c r="O4" s="176"/>
      <c r="P4" s="176"/>
      <c r="Q4" s="176"/>
      <c r="R4" s="176"/>
      <c r="S4" s="176"/>
    </row>
    <row r="5" spans="1:19" ht="17.5">
      <c r="A5" s="177" t="s">
        <v>28</v>
      </c>
      <c r="B5" s="162"/>
      <c r="C5" s="558"/>
      <c r="D5" s="162"/>
      <c r="E5" s="162"/>
      <c r="G5" s="162"/>
      <c r="H5" s="162"/>
      <c r="I5" s="162"/>
    </row>
    <row r="6" spans="1:19" s="402" customFormat="1" ht="15.5">
      <c r="A6" s="520" t="s">
        <v>862</v>
      </c>
      <c r="B6" s="517" t="s">
        <v>860</v>
      </c>
      <c r="C6" s="558"/>
      <c r="D6" s="404"/>
      <c r="E6" s="404"/>
      <c r="G6" s="404"/>
      <c r="H6" s="404"/>
      <c r="I6" s="404"/>
    </row>
    <row r="7" spans="1:19" ht="17.5" hidden="1">
      <c r="A7" s="520" t="s">
        <v>861</v>
      </c>
      <c r="B7" s="517" t="s">
        <v>213</v>
      </c>
      <c r="C7" s="558"/>
      <c r="D7" s="162"/>
      <c r="E7" s="162"/>
      <c r="F7" s="162"/>
      <c r="G7" s="162"/>
      <c r="H7" s="263"/>
      <c r="I7" s="443"/>
    </row>
    <row r="8" spans="1:19" ht="14">
      <c r="A8" s="284" t="s">
        <v>498</v>
      </c>
      <c r="B8" s="162"/>
      <c r="C8" s="558"/>
      <c r="D8" s="162"/>
      <c r="E8" s="162"/>
      <c r="F8" s="162"/>
      <c r="G8" s="162"/>
      <c r="H8" s="162"/>
      <c r="I8" s="162"/>
    </row>
    <row r="9" spans="1:19" ht="30" customHeight="1">
      <c r="B9" s="142"/>
      <c r="C9" s="280"/>
      <c r="D9" s="142"/>
      <c r="F9" s="138">
        <v>2014</v>
      </c>
      <c r="G9" s="138">
        <v>2015</v>
      </c>
      <c r="H9" s="138">
        <v>2016</v>
      </c>
      <c r="I9" s="138">
        <v>2017</v>
      </c>
      <c r="J9" s="138">
        <v>2018</v>
      </c>
      <c r="K9" s="138">
        <v>2019</v>
      </c>
      <c r="L9" s="138">
        <v>2020</v>
      </c>
      <c r="M9" s="138">
        <v>2021</v>
      </c>
      <c r="N9" s="593">
        <v>2022</v>
      </c>
      <c r="O9" s="593">
        <v>2023</v>
      </c>
      <c r="Q9" s="590"/>
      <c r="R9" s="312"/>
      <c r="S9" s="312"/>
    </row>
    <row r="10" spans="1:19" ht="12" customHeight="1">
      <c r="A10" s="139" t="s">
        <v>21</v>
      </c>
      <c r="B10" s="139" t="s">
        <v>321</v>
      </c>
      <c r="C10" s="410" t="s">
        <v>985</v>
      </c>
      <c r="D10" s="139"/>
      <c r="F10" s="536"/>
      <c r="G10" s="536"/>
      <c r="H10" s="536"/>
      <c r="I10" s="536"/>
      <c r="J10" s="536"/>
      <c r="K10" s="536"/>
      <c r="L10" s="178">
        <f t="shared" ref="L10:O10" si="0">RB</f>
        <v>0</v>
      </c>
      <c r="M10" s="178">
        <f t="shared" si="0"/>
        <v>0</v>
      </c>
      <c r="N10" s="360">
        <f t="shared" si="0"/>
        <v>0</v>
      </c>
      <c r="O10" s="360">
        <f t="shared" si="0"/>
        <v>0</v>
      </c>
      <c r="P10" s="165" t="s">
        <v>321</v>
      </c>
      <c r="Q10" s="591"/>
      <c r="R10" s="591"/>
      <c r="S10" s="591"/>
    </row>
    <row r="11" spans="1:19" ht="12" customHeight="1">
      <c r="A11" s="139" t="s">
        <v>22</v>
      </c>
      <c r="B11" s="139" t="s">
        <v>156</v>
      </c>
      <c r="C11" s="410" t="s">
        <v>985</v>
      </c>
      <c r="D11" s="139"/>
      <c r="F11" s="536"/>
      <c r="G11" s="536"/>
      <c r="H11" s="536"/>
      <c r="I11" s="536"/>
      <c r="J11" s="536"/>
      <c r="K11" s="536"/>
      <c r="L11" s="178">
        <f t="shared" ref="L11:O11" si="1">LF</f>
        <v>0</v>
      </c>
      <c r="M11" s="178">
        <f t="shared" si="1"/>
        <v>0</v>
      </c>
      <c r="N11" s="360">
        <f t="shared" si="1"/>
        <v>0</v>
      </c>
      <c r="O11" s="360">
        <f t="shared" si="1"/>
        <v>0</v>
      </c>
      <c r="P11" s="165" t="s">
        <v>156</v>
      </c>
      <c r="Q11" s="591"/>
      <c r="R11" s="591"/>
      <c r="S11" s="591"/>
    </row>
    <row r="12" spans="1:19" ht="12" customHeight="1">
      <c r="A12" s="139" t="s">
        <v>81</v>
      </c>
      <c r="B12" s="139" t="s">
        <v>150</v>
      </c>
      <c r="C12" s="410" t="s">
        <v>985</v>
      </c>
      <c r="D12" s="139"/>
      <c r="F12" s="534"/>
      <c r="G12" s="534"/>
      <c r="H12" s="534"/>
      <c r="I12" s="534"/>
      <c r="J12" s="534"/>
      <c r="K12" s="534"/>
      <c r="L12" s="164">
        <f t="shared" ref="L12:O12" si="2">ITC</f>
        <v>0</v>
      </c>
      <c r="M12" s="164">
        <f t="shared" si="2"/>
        <v>0</v>
      </c>
      <c r="N12" s="405">
        <f t="shared" si="2"/>
        <v>0</v>
      </c>
      <c r="O12" s="405">
        <f t="shared" si="2"/>
        <v>0</v>
      </c>
      <c r="P12" s="165" t="s">
        <v>150</v>
      </c>
      <c r="Q12" s="591"/>
      <c r="R12" s="591"/>
      <c r="S12" s="591"/>
    </row>
    <row r="13" spans="1:19">
      <c r="A13" s="139" t="s">
        <v>27</v>
      </c>
      <c r="B13" s="139" t="s">
        <v>322</v>
      </c>
      <c r="C13" s="410" t="s">
        <v>985</v>
      </c>
      <c r="D13" s="139"/>
      <c r="F13" s="534"/>
      <c r="G13" s="534"/>
      <c r="H13" s="534"/>
      <c r="I13" s="534"/>
      <c r="J13" s="534"/>
      <c r="K13" s="534"/>
      <c r="L13" s="164">
        <f t="shared" ref="L13:M13" si="3">TERMt</f>
        <v>0</v>
      </c>
      <c r="M13" s="164">
        <f t="shared" si="3"/>
        <v>0</v>
      </c>
      <c r="O13" s="592"/>
      <c r="P13" s="165" t="s">
        <v>322</v>
      </c>
      <c r="Q13" s="591"/>
      <c r="R13" s="591"/>
      <c r="S13" s="591"/>
    </row>
    <row r="14" spans="1:19" ht="12" customHeight="1">
      <c r="A14" s="139" t="s">
        <v>24</v>
      </c>
      <c r="B14" s="139" t="s">
        <v>323</v>
      </c>
      <c r="C14" s="410" t="s">
        <v>985</v>
      </c>
      <c r="D14" s="139"/>
      <c r="F14" s="534"/>
      <c r="G14" s="534"/>
      <c r="H14" s="534"/>
      <c r="I14" s="534"/>
      <c r="J14" s="534"/>
      <c r="K14" s="534"/>
      <c r="L14" s="164">
        <f t="shared" ref="L14:M14" si="4">TSP</f>
        <v>0</v>
      </c>
      <c r="M14" s="164">
        <f t="shared" si="4"/>
        <v>0</v>
      </c>
      <c r="O14" s="592"/>
      <c r="P14" s="165" t="s">
        <v>323</v>
      </c>
      <c r="Q14" s="591"/>
      <c r="R14" s="591"/>
      <c r="S14" s="591"/>
    </row>
    <row r="15" spans="1:19" ht="12" customHeight="1">
      <c r="A15" s="139" t="s">
        <v>25</v>
      </c>
      <c r="B15" s="139" t="s">
        <v>324</v>
      </c>
      <c r="C15" s="410" t="s">
        <v>985</v>
      </c>
      <c r="D15" s="139"/>
      <c r="F15" s="534"/>
      <c r="G15" s="534"/>
      <c r="H15" s="534"/>
      <c r="I15" s="534"/>
      <c r="J15" s="534"/>
      <c r="K15" s="534"/>
      <c r="L15" s="164">
        <f t="shared" ref="L15:M15" si="5">TSH</f>
        <v>0</v>
      </c>
      <c r="M15" s="164">
        <f t="shared" si="5"/>
        <v>0</v>
      </c>
      <c r="O15" s="592"/>
      <c r="P15" s="165" t="s">
        <v>324</v>
      </c>
      <c r="Q15" s="591"/>
      <c r="R15" s="591"/>
      <c r="S15" s="591"/>
    </row>
    <row r="16" spans="1:19" s="402" customFormat="1" ht="12" customHeight="1">
      <c r="A16" s="403" t="s">
        <v>866</v>
      </c>
      <c r="B16" s="403" t="s">
        <v>863</v>
      </c>
      <c r="C16" s="410" t="s">
        <v>985</v>
      </c>
      <c r="D16" s="403"/>
      <c r="F16" s="534"/>
      <c r="G16" s="534"/>
      <c r="H16" s="534"/>
      <c r="I16" s="534"/>
      <c r="J16" s="534"/>
      <c r="K16" s="534"/>
      <c r="L16" s="405">
        <f>'R5 Input page'!L72</f>
        <v>0</v>
      </c>
      <c r="M16" s="405">
        <f>'R5 Input page'!M72</f>
        <v>0</v>
      </c>
      <c r="O16" s="589"/>
      <c r="P16" s="406" t="s">
        <v>863</v>
      </c>
      <c r="Q16" s="591"/>
      <c r="R16" s="591"/>
      <c r="S16" s="591"/>
    </row>
    <row r="17" spans="1:19" ht="12" customHeight="1">
      <c r="A17" s="139" t="s">
        <v>23</v>
      </c>
      <c r="B17" s="139" t="s">
        <v>325</v>
      </c>
      <c r="C17" s="410" t="s">
        <v>985</v>
      </c>
      <c r="D17" s="139"/>
      <c r="F17" s="534"/>
      <c r="G17" s="534"/>
      <c r="H17" s="534"/>
      <c r="I17" s="534"/>
      <c r="J17" s="534"/>
      <c r="K17" s="534"/>
      <c r="L17" s="164">
        <f t="shared" ref="L17:M17" si="6">TOFTO</f>
        <v>0</v>
      </c>
      <c r="M17" s="164">
        <f t="shared" si="6"/>
        <v>0</v>
      </c>
      <c r="O17" s="592"/>
      <c r="P17" s="165" t="s">
        <v>325</v>
      </c>
      <c r="Q17" s="591"/>
      <c r="R17" s="591"/>
      <c r="S17" s="591"/>
    </row>
    <row r="18" spans="1:19" ht="12" customHeight="1">
      <c r="A18" s="139" t="s">
        <v>26</v>
      </c>
      <c r="B18" s="139" t="s">
        <v>326</v>
      </c>
      <c r="C18" s="410" t="s">
        <v>985</v>
      </c>
      <c r="D18" s="139"/>
      <c r="F18" s="534"/>
      <c r="G18" s="534"/>
      <c r="H18" s="534"/>
      <c r="I18" s="534"/>
      <c r="J18" s="534"/>
      <c r="K18" s="534"/>
      <c r="L18" s="164">
        <f t="shared" ref="L18:M18" si="7">OFET</f>
        <v>0</v>
      </c>
      <c r="M18" s="164">
        <f t="shared" si="7"/>
        <v>0</v>
      </c>
      <c r="O18" s="592"/>
      <c r="P18" s="165" t="s">
        <v>326</v>
      </c>
      <c r="Q18" s="591"/>
      <c r="R18" s="591"/>
      <c r="S18" s="591"/>
    </row>
    <row r="19" spans="1:19" s="402" customFormat="1" ht="12" customHeight="1">
      <c r="A19" s="403" t="s">
        <v>868</v>
      </c>
      <c r="B19" s="403" t="s">
        <v>864</v>
      </c>
      <c r="C19" s="410" t="s">
        <v>985</v>
      </c>
      <c r="D19" s="403"/>
      <c r="F19" s="534"/>
      <c r="G19" s="534"/>
      <c r="H19" s="534"/>
      <c r="I19" s="534"/>
      <c r="J19" s="534"/>
      <c r="K19" s="534"/>
      <c r="L19" s="405">
        <f>'R5 Input page'!L75</f>
        <v>0</v>
      </c>
      <c r="M19" s="405">
        <f>'R5 Input page'!M75</f>
        <v>0</v>
      </c>
      <c r="O19" s="592"/>
      <c r="P19" s="406" t="s">
        <v>864</v>
      </c>
      <c r="Q19" s="591"/>
      <c r="R19" s="591"/>
      <c r="S19" s="591"/>
    </row>
    <row r="20" spans="1:19" s="402" customFormat="1" ht="12" customHeight="1">
      <c r="A20" s="403" t="s">
        <v>869</v>
      </c>
      <c r="B20" s="403" t="s">
        <v>865</v>
      </c>
      <c r="C20" s="410" t="s">
        <v>985</v>
      </c>
      <c r="D20" s="403"/>
      <c r="F20" s="534"/>
      <c r="G20" s="534"/>
      <c r="H20" s="534"/>
      <c r="I20" s="534"/>
      <c r="J20" s="534"/>
      <c r="K20" s="534"/>
      <c r="L20" s="405">
        <f>'R5 Input page'!L76</f>
        <v>0</v>
      </c>
      <c r="M20" s="405">
        <f>'R5 Input page'!M76</f>
        <v>0</v>
      </c>
      <c r="O20" s="589"/>
      <c r="P20" s="406" t="s">
        <v>865</v>
      </c>
      <c r="Q20" s="591"/>
      <c r="R20" s="591"/>
      <c r="S20" s="591"/>
    </row>
    <row r="21" spans="1:19">
      <c r="A21" s="139" t="s">
        <v>18</v>
      </c>
      <c r="B21" s="139" t="s">
        <v>327</v>
      </c>
      <c r="C21" s="410" t="s">
        <v>985</v>
      </c>
      <c r="D21" s="139"/>
      <c r="F21" s="174">
        <f t="shared" ref="F21:O21" si="8">SUM(F10:F20)</f>
        <v>0</v>
      </c>
      <c r="G21" s="174">
        <f t="shared" si="8"/>
        <v>0</v>
      </c>
      <c r="H21" s="174">
        <f t="shared" si="8"/>
        <v>0</v>
      </c>
      <c r="I21" s="174">
        <f t="shared" si="8"/>
        <v>0</v>
      </c>
      <c r="J21" s="174">
        <f t="shared" si="8"/>
        <v>0</v>
      </c>
      <c r="K21" s="174">
        <f t="shared" si="8"/>
        <v>0</v>
      </c>
      <c r="L21" s="174">
        <f>SUM(L10:L20)</f>
        <v>0</v>
      </c>
      <c r="M21" s="174">
        <f t="shared" si="8"/>
        <v>0</v>
      </c>
      <c r="N21" s="174">
        <f>SUM(N10:N20)</f>
        <v>0</v>
      </c>
      <c r="O21" s="174">
        <f t="shared" si="8"/>
        <v>0</v>
      </c>
      <c r="P21" s="165" t="s">
        <v>327</v>
      </c>
      <c r="Q21" s="312"/>
      <c r="R21" s="312"/>
      <c r="S21" s="591"/>
    </row>
    <row r="22" spans="1:19">
      <c r="A22" s="139"/>
      <c r="B22" s="139"/>
      <c r="C22" s="410"/>
      <c r="D22" s="139"/>
      <c r="F22" s="165"/>
      <c r="G22" s="165"/>
      <c r="H22" s="165"/>
      <c r="I22" s="165"/>
      <c r="O22" s="312"/>
      <c r="Q22" s="312"/>
      <c r="R22" s="312"/>
      <c r="S22" s="312"/>
    </row>
    <row r="23" spans="1:19">
      <c r="A23" s="139"/>
      <c r="B23" s="139"/>
      <c r="C23" s="410"/>
      <c r="D23" s="139"/>
    </row>
    <row r="24" spans="1:19" ht="14.25" customHeight="1">
      <c r="A24" s="608" t="s">
        <v>80</v>
      </c>
      <c r="B24" s="139"/>
      <c r="C24" s="410"/>
      <c r="D24" s="139"/>
      <c r="G24" s="160"/>
      <c r="L24" s="263"/>
    </row>
    <row r="25" spans="1:19" ht="20.25" customHeight="1">
      <c r="A25" s="284" t="s">
        <v>499</v>
      </c>
      <c r="B25" s="139"/>
      <c r="C25" s="410"/>
      <c r="D25" s="139"/>
    </row>
    <row r="26" spans="1:19" ht="14.5">
      <c r="A26" s="139"/>
      <c r="B26" s="139"/>
      <c r="C26" s="410"/>
      <c r="D26" s="139"/>
      <c r="F26" s="138">
        <v>2014</v>
      </c>
      <c r="G26" s="138">
        <v>2015</v>
      </c>
      <c r="H26" s="138">
        <v>2016</v>
      </c>
      <c r="I26" s="138">
        <v>2017</v>
      </c>
      <c r="J26" s="138">
        <v>2018</v>
      </c>
      <c r="K26" s="138">
        <v>2019</v>
      </c>
      <c r="L26" s="138">
        <v>2020</v>
      </c>
      <c r="M26" s="138">
        <v>2021</v>
      </c>
      <c r="N26" s="593">
        <v>2022</v>
      </c>
      <c r="O26" s="593">
        <v>2023</v>
      </c>
    </row>
    <row r="27" spans="1:19">
      <c r="A27" s="139" t="s">
        <v>79</v>
      </c>
      <c r="B27" s="139" t="s">
        <v>138</v>
      </c>
      <c r="C27" s="410" t="s">
        <v>985</v>
      </c>
      <c r="D27" s="139"/>
      <c r="F27" s="164">
        <f t="shared" ref="F27:M27" si="9">RBA</f>
        <v>0</v>
      </c>
      <c r="G27" s="164">
        <f t="shared" si="9"/>
        <v>0</v>
      </c>
      <c r="H27" s="164">
        <f t="shared" si="9"/>
        <v>0</v>
      </c>
      <c r="I27" s="164">
        <f t="shared" si="9"/>
        <v>0</v>
      </c>
      <c r="J27" s="164">
        <f t="shared" si="9"/>
        <v>0</v>
      </c>
      <c r="K27" s="164">
        <f t="shared" si="9"/>
        <v>0</v>
      </c>
      <c r="L27" s="164">
        <f t="shared" si="9"/>
        <v>0</v>
      </c>
      <c r="M27" s="164">
        <f t="shared" si="9"/>
        <v>0</v>
      </c>
      <c r="P27" s="165" t="s">
        <v>138</v>
      </c>
    </row>
    <row r="28" spans="1:19">
      <c r="A28" s="139" t="s">
        <v>143</v>
      </c>
      <c r="B28" s="139" t="s">
        <v>142</v>
      </c>
      <c r="C28" s="410" t="s">
        <v>500</v>
      </c>
      <c r="D28" s="139"/>
      <c r="F28" s="164">
        <f t="shared" ref="F28:M28" si="10">RPIA</f>
        <v>1.167</v>
      </c>
      <c r="G28" s="164">
        <f t="shared" si="10"/>
        <v>1.19</v>
      </c>
      <c r="H28" s="164">
        <f t="shared" si="10"/>
        <v>1.202</v>
      </c>
      <c r="I28" s="164">
        <f t="shared" si="10"/>
        <v>1.228</v>
      </c>
      <c r="J28" s="164">
        <f t="shared" si="10"/>
        <v>1.274</v>
      </c>
      <c r="K28" s="164">
        <f t="shared" si="10"/>
        <v>1.3129999999999999</v>
      </c>
      <c r="L28" s="164">
        <f t="shared" si="10"/>
        <v>1.347</v>
      </c>
      <c r="M28" s="164">
        <f t="shared" si="10"/>
        <v>1.363</v>
      </c>
      <c r="P28" s="165" t="s">
        <v>142</v>
      </c>
    </row>
    <row r="29" spans="1:19">
      <c r="A29" s="139" t="s">
        <v>78</v>
      </c>
      <c r="B29" s="139" t="s">
        <v>137</v>
      </c>
      <c r="C29" s="410" t="s">
        <v>984</v>
      </c>
      <c r="D29" s="139"/>
      <c r="F29" s="164">
        <f t="shared" ref="F29:M29" si="11">RBE</f>
        <v>0</v>
      </c>
      <c r="G29" s="164">
        <f t="shared" si="11"/>
        <v>0</v>
      </c>
      <c r="H29" s="164">
        <f t="shared" si="11"/>
        <v>0</v>
      </c>
      <c r="I29" s="164">
        <f t="shared" si="11"/>
        <v>0</v>
      </c>
      <c r="J29" s="164">
        <f>RBE</f>
        <v>0</v>
      </c>
      <c r="K29" s="164">
        <f t="shared" si="11"/>
        <v>0</v>
      </c>
      <c r="L29" s="164">
        <f t="shared" si="11"/>
        <v>0</v>
      </c>
      <c r="M29" s="164">
        <f t="shared" si="11"/>
        <v>0</v>
      </c>
      <c r="P29" s="165" t="s">
        <v>137</v>
      </c>
    </row>
    <row r="30" spans="1:19">
      <c r="A30" s="139" t="s">
        <v>147</v>
      </c>
      <c r="B30" s="139" t="s">
        <v>146</v>
      </c>
      <c r="C30" s="410" t="s">
        <v>133</v>
      </c>
      <c r="D30" s="139"/>
      <c r="F30" s="164">
        <f t="shared" ref="F30:N30" si="12">PVF</f>
        <v>1.04552</v>
      </c>
      <c r="G30" s="164">
        <f t="shared" si="12"/>
        <v>1.0443199999999999</v>
      </c>
      <c r="H30" s="164">
        <f>PVF</f>
        <v>1.0432999999999999</v>
      </c>
      <c r="I30" s="164">
        <f t="shared" si="12"/>
        <v>1.0422800000000001</v>
      </c>
      <c r="J30" s="164">
        <f t="shared" si="12"/>
        <v>1.04132</v>
      </c>
      <c r="K30" s="164">
        <f t="shared" si="12"/>
        <v>1.0394600000000001</v>
      </c>
      <c r="L30" s="164">
        <f t="shared" si="12"/>
        <v>1.03748</v>
      </c>
      <c r="M30" s="164">
        <f t="shared" si="12"/>
        <v>1.03454</v>
      </c>
      <c r="N30" s="405">
        <f t="shared" si="12"/>
        <v>1.0489599999999999</v>
      </c>
      <c r="P30" s="165" t="s">
        <v>146</v>
      </c>
    </row>
    <row r="31" spans="1:19">
      <c r="A31" s="139" t="s">
        <v>72</v>
      </c>
      <c r="B31" s="139" t="s">
        <v>132</v>
      </c>
      <c r="C31" s="410" t="s">
        <v>500</v>
      </c>
      <c r="D31" s="139"/>
      <c r="F31" s="164">
        <f t="shared" ref="F31:O31" si="13">RPIF</f>
        <v>1.163</v>
      </c>
      <c r="G31" s="164">
        <f t="shared" si="13"/>
        <v>1.2050000000000001</v>
      </c>
      <c r="H31" s="164">
        <f t="shared" si="13"/>
        <v>1.2270000000000001</v>
      </c>
      <c r="I31" s="164">
        <f t="shared" si="13"/>
        <v>1.2330000000000001</v>
      </c>
      <c r="J31" s="164">
        <f t="shared" si="13"/>
        <v>1.2709999999999999</v>
      </c>
      <c r="K31" s="164">
        <f t="shared" si="13"/>
        <v>1.3140000000000001</v>
      </c>
      <c r="L31" s="164">
        <f t="shared" si="13"/>
        <v>1.3580000000000001</v>
      </c>
      <c r="M31" s="164">
        <f t="shared" si="13"/>
        <v>1.38</v>
      </c>
      <c r="N31" s="405">
        <f t="shared" si="13"/>
        <v>1.403</v>
      </c>
      <c r="O31" s="405">
        <f t="shared" si="13"/>
        <v>1.4339999999999999</v>
      </c>
      <c r="P31" s="165" t="s">
        <v>132</v>
      </c>
    </row>
    <row r="32" spans="1:19">
      <c r="A32" s="139" t="s">
        <v>21</v>
      </c>
      <c r="B32" s="139" t="s">
        <v>321</v>
      </c>
      <c r="C32" s="410" t="s">
        <v>985</v>
      </c>
      <c r="D32" s="139"/>
      <c r="F32" s="537"/>
      <c r="G32" s="537"/>
      <c r="H32" s="537"/>
      <c r="I32" s="537"/>
      <c r="J32" s="537"/>
      <c r="K32" s="537"/>
      <c r="L32" s="174">
        <f>IFERROR(((J27/J28)-J29)*J30*K30*L31,0)</f>
        <v>0</v>
      </c>
      <c r="M32" s="174">
        <f t="shared" ref="M32" si="14">IFERROR(((K27/K28)-K29)*K30*L30*M31,0)</f>
        <v>0</v>
      </c>
      <c r="N32" s="174">
        <f t="shared" ref="N32" si="15">IFERROR(((L27/L28)-L29)*L30*M30*N31,0)</f>
        <v>0</v>
      </c>
      <c r="O32" s="174">
        <f t="shared" ref="O32" si="16">IFERROR(((M27/M28)-M29)*M30*N30*O31,0)</f>
        <v>0</v>
      </c>
      <c r="P32" s="165" t="s">
        <v>321</v>
      </c>
    </row>
    <row r="33" spans="1:16" ht="14">
      <c r="A33" s="142"/>
      <c r="B33" s="142"/>
      <c r="C33" s="280"/>
      <c r="D33" s="142"/>
      <c r="F33" s="165"/>
      <c r="G33" s="165"/>
      <c r="H33" s="165"/>
      <c r="I33" s="165"/>
      <c r="J33" s="179"/>
      <c r="K33" s="179"/>
      <c r="L33" s="179"/>
      <c r="M33" s="179"/>
    </row>
    <row r="34" spans="1:16" ht="14">
      <c r="A34" s="142"/>
      <c r="B34" s="142"/>
      <c r="C34" s="280"/>
      <c r="D34" s="142"/>
      <c r="F34" s="179"/>
      <c r="G34" s="179"/>
      <c r="H34" s="179"/>
      <c r="I34" s="179"/>
      <c r="J34" s="179"/>
      <c r="K34" s="179"/>
      <c r="L34" s="179"/>
      <c r="M34" s="179"/>
    </row>
    <row r="35" spans="1:16" ht="15.5">
      <c r="A35" s="608" t="s">
        <v>369</v>
      </c>
      <c r="B35" s="139"/>
      <c r="C35" s="410"/>
      <c r="D35" s="139"/>
      <c r="G35" s="160"/>
      <c r="L35" s="263"/>
    </row>
    <row r="36" spans="1:16" ht="17.25" customHeight="1">
      <c r="A36" s="284" t="s">
        <v>501</v>
      </c>
      <c r="B36" s="139"/>
      <c r="C36" s="410"/>
      <c r="D36" s="139"/>
    </row>
    <row r="37" spans="1:16" ht="17.25" customHeight="1">
      <c r="A37" s="139"/>
      <c r="B37" s="139"/>
      <c r="C37" s="410"/>
      <c r="D37" s="139"/>
      <c r="F37" s="138">
        <v>2014</v>
      </c>
      <c r="G37" s="138">
        <v>2015</v>
      </c>
      <c r="H37" s="138">
        <v>2016</v>
      </c>
      <c r="I37" s="138">
        <v>2017</v>
      </c>
      <c r="J37" s="138">
        <v>2018</v>
      </c>
      <c r="K37" s="138">
        <v>2019</v>
      </c>
      <c r="L37" s="138">
        <v>2020</v>
      </c>
      <c r="M37" s="138">
        <v>2021</v>
      </c>
      <c r="N37" s="593">
        <v>2022</v>
      </c>
      <c r="O37" s="593">
        <v>2023</v>
      </c>
    </row>
    <row r="38" spans="1:16">
      <c r="A38" s="139" t="s">
        <v>71</v>
      </c>
      <c r="B38" s="139" t="s">
        <v>140</v>
      </c>
      <c r="C38" s="410" t="s">
        <v>985</v>
      </c>
      <c r="D38" s="139"/>
      <c r="F38" s="164">
        <f t="shared" ref="F38:M38" si="17">LFA</f>
        <v>0</v>
      </c>
      <c r="G38" s="164">
        <f t="shared" si="17"/>
        <v>0</v>
      </c>
      <c r="H38" s="164">
        <f>LFA</f>
        <v>0</v>
      </c>
      <c r="I38" s="164">
        <f t="shared" si="17"/>
        <v>0</v>
      </c>
      <c r="J38" s="164">
        <f t="shared" si="17"/>
        <v>0</v>
      </c>
      <c r="K38" s="164">
        <f t="shared" si="17"/>
        <v>0</v>
      </c>
      <c r="L38" s="164">
        <f t="shared" si="17"/>
        <v>0</v>
      </c>
      <c r="M38" s="164">
        <f t="shared" si="17"/>
        <v>0</v>
      </c>
      <c r="P38" s="165" t="s">
        <v>140</v>
      </c>
    </row>
    <row r="39" spans="1:16">
      <c r="A39" s="139" t="s">
        <v>143</v>
      </c>
      <c r="B39" s="139" t="s">
        <v>142</v>
      </c>
      <c r="C39" s="410" t="s">
        <v>500</v>
      </c>
      <c r="D39" s="139"/>
      <c r="F39" s="164">
        <f t="shared" ref="F39:M39" si="18">RPIA</f>
        <v>1.167</v>
      </c>
      <c r="G39" s="164">
        <f t="shared" si="18"/>
        <v>1.19</v>
      </c>
      <c r="H39" s="164">
        <f>RPIA</f>
        <v>1.202</v>
      </c>
      <c r="I39" s="164">
        <f t="shared" si="18"/>
        <v>1.228</v>
      </c>
      <c r="J39" s="164">
        <f t="shared" si="18"/>
        <v>1.274</v>
      </c>
      <c r="K39" s="164">
        <f t="shared" si="18"/>
        <v>1.3129999999999999</v>
      </c>
      <c r="L39" s="164">
        <f t="shared" si="18"/>
        <v>1.347</v>
      </c>
      <c r="M39" s="164">
        <f t="shared" si="18"/>
        <v>1.363</v>
      </c>
      <c r="P39" s="165" t="s">
        <v>142</v>
      </c>
    </row>
    <row r="40" spans="1:16">
      <c r="A40" s="139" t="s">
        <v>148</v>
      </c>
      <c r="B40" s="139" t="s">
        <v>139</v>
      </c>
      <c r="C40" s="410" t="s">
        <v>984</v>
      </c>
      <c r="D40" s="139"/>
      <c r="F40" s="164">
        <f t="shared" ref="F40:M40" si="19">LFE</f>
        <v>0</v>
      </c>
      <c r="G40" s="164">
        <f t="shared" si="19"/>
        <v>0</v>
      </c>
      <c r="H40" s="164">
        <f>LFE</f>
        <v>0</v>
      </c>
      <c r="I40" s="164">
        <f t="shared" si="19"/>
        <v>0</v>
      </c>
      <c r="J40" s="164">
        <f t="shared" si="19"/>
        <v>0</v>
      </c>
      <c r="K40" s="164">
        <f t="shared" si="19"/>
        <v>0</v>
      </c>
      <c r="L40" s="164">
        <f t="shared" si="19"/>
        <v>0</v>
      </c>
      <c r="M40" s="164">
        <f t="shared" si="19"/>
        <v>0</v>
      </c>
      <c r="P40" s="165" t="s">
        <v>139</v>
      </c>
    </row>
    <row r="41" spans="1:16">
      <c r="A41" s="139" t="s">
        <v>147</v>
      </c>
      <c r="B41" s="139" t="s">
        <v>146</v>
      </c>
      <c r="C41" s="410" t="s">
        <v>133</v>
      </c>
      <c r="D41" s="139"/>
      <c r="F41" s="164">
        <f t="shared" ref="F41:N41" si="20">PVF</f>
        <v>1.04552</v>
      </c>
      <c r="G41" s="164">
        <f t="shared" si="20"/>
        <v>1.0443199999999999</v>
      </c>
      <c r="H41" s="164">
        <f t="shared" si="20"/>
        <v>1.0432999999999999</v>
      </c>
      <c r="I41" s="164">
        <f t="shared" si="20"/>
        <v>1.0422800000000001</v>
      </c>
      <c r="J41" s="164">
        <f t="shared" si="20"/>
        <v>1.04132</v>
      </c>
      <c r="K41" s="164">
        <f t="shared" si="20"/>
        <v>1.0394600000000001</v>
      </c>
      <c r="L41" s="164">
        <f t="shared" si="20"/>
        <v>1.03748</v>
      </c>
      <c r="M41" s="164">
        <f t="shared" si="20"/>
        <v>1.03454</v>
      </c>
      <c r="N41" s="405">
        <f t="shared" si="20"/>
        <v>1.0489599999999999</v>
      </c>
      <c r="P41" s="165" t="s">
        <v>146</v>
      </c>
    </row>
    <row r="42" spans="1:16">
      <c r="A42" s="139" t="s">
        <v>72</v>
      </c>
      <c r="B42" s="139" t="s">
        <v>132</v>
      </c>
      <c r="C42" s="410" t="s">
        <v>500</v>
      </c>
      <c r="D42" s="139"/>
      <c r="F42" s="164">
        <f t="shared" ref="F42:O42" si="21">RPIF</f>
        <v>1.163</v>
      </c>
      <c r="G42" s="164">
        <f t="shared" si="21"/>
        <v>1.2050000000000001</v>
      </c>
      <c r="H42" s="164">
        <f t="shared" si="21"/>
        <v>1.2270000000000001</v>
      </c>
      <c r="I42" s="164">
        <f t="shared" si="21"/>
        <v>1.2330000000000001</v>
      </c>
      <c r="J42" s="164">
        <f t="shared" si="21"/>
        <v>1.2709999999999999</v>
      </c>
      <c r="K42" s="164">
        <f t="shared" si="21"/>
        <v>1.3140000000000001</v>
      </c>
      <c r="L42" s="164">
        <f t="shared" si="21"/>
        <v>1.3580000000000001</v>
      </c>
      <c r="M42" s="164">
        <f t="shared" si="21"/>
        <v>1.38</v>
      </c>
      <c r="N42" s="405">
        <f t="shared" si="21"/>
        <v>1.403</v>
      </c>
      <c r="O42" s="405">
        <f t="shared" si="21"/>
        <v>1.4339999999999999</v>
      </c>
      <c r="P42" s="165" t="s">
        <v>132</v>
      </c>
    </row>
    <row r="43" spans="1:16">
      <c r="A43" s="139" t="s">
        <v>22</v>
      </c>
      <c r="B43" s="139" t="s">
        <v>156</v>
      </c>
      <c r="C43" s="410" t="s">
        <v>985</v>
      </c>
      <c r="D43" s="139"/>
      <c r="F43" s="537"/>
      <c r="G43" s="537"/>
      <c r="H43" s="537"/>
      <c r="I43" s="537"/>
      <c r="J43" s="537"/>
      <c r="K43" s="537"/>
      <c r="L43" s="174">
        <f>IFERROR(((J38/J39)-J40)*J41*K41*L42,0)</f>
        <v>0</v>
      </c>
      <c r="M43" s="174">
        <f t="shared" ref="M43" si="22">IFERROR(((K38/K39)-K40)*K41*L41*M42,0)</f>
        <v>0</v>
      </c>
      <c r="N43" s="174">
        <f t="shared" ref="N43" si="23">IFERROR(((L38/L39)-L40)*L41*M41*N42,0)</f>
        <v>0</v>
      </c>
      <c r="O43" s="174">
        <f t="shared" ref="O43" si="24">IFERROR(((M38/M39)-M40)*M41*N41*O42,0)</f>
        <v>0</v>
      </c>
      <c r="P43" s="165" t="s">
        <v>156</v>
      </c>
    </row>
    <row r="44" spans="1:16">
      <c r="A44" s="139"/>
      <c r="B44" s="139"/>
      <c r="C44" s="410"/>
      <c r="D44" s="139"/>
      <c r="F44" s="165"/>
      <c r="G44" s="165"/>
      <c r="H44" s="165"/>
      <c r="I44" s="165"/>
    </row>
    <row r="45" spans="1:16">
      <c r="A45" s="139"/>
      <c r="B45" s="139"/>
      <c r="C45" s="410"/>
      <c r="D45" s="139"/>
    </row>
    <row r="46" spans="1:16" ht="15.5" hidden="1">
      <c r="A46" s="143" t="s">
        <v>149</v>
      </c>
      <c r="B46" s="139"/>
      <c r="C46" s="410"/>
      <c r="D46" s="139"/>
      <c r="G46" s="160"/>
      <c r="K46" s="263"/>
    </row>
    <row r="47" spans="1:16" ht="14" hidden="1">
      <c r="A47" s="284" t="s">
        <v>502</v>
      </c>
      <c r="B47" s="139"/>
      <c r="C47" s="410"/>
      <c r="D47" s="139"/>
    </row>
    <row r="48" spans="1:16" ht="14.5" hidden="1">
      <c r="A48" s="139"/>
      <c r="B48" s="139"/>
      <c r="C48" s="410"/>
      <c r="D48" s="139"/>
      <c r="E48" s="138">
        <v>2013</v>
      </c>
      <c r="F48" s="138">
        <v>2014</v>
      </c>
      <c r="G48" s="138">
        <v>2015</v>
      </c>
      <c r="H48" s="138">
        <v>2016</v>
      </c>
      <c r="I48" s="138">
        <v>2017</v>
      </c>
      <c r="J48" s="138">
        <v>2018</v>
      </c>
      <c r="K48" s="138">
        <v>2019</v>
      </c>
      <c r="L48" s="138">
        <v>2020</v>
      </c>
      <c r="M48" s="138">
        <v>2021</v>
      </c>
    </row>
    <row r="49" spans="1:16" hidden="1">
      <c r="A49" s="139" t="s">
        <v>155</v>
      </c>
      <c r="B49" s="139" t="s">
        <v>154</v>
      </c>
      <c r="C49" s="410" t="s">
        <v>1</v>
      </c>
      <c r="D49" s="139"/>
      <c r="E49" s="164">
        <f>TPA</f>
        <v>0</v>
      </c>
      <c r="F49" s="164">
        <f>TPA</f>
        <v>0</v>
      </c>
      <c r="G49" s="164">
        <f t="shared" ref="G49:M49" si="25">TPA</f>
        <v>0</v>
      </c>
      <c r="H49" s="164">
        <f t="shared" si="25"/>
        <v>0</v>
      </c>
      <c r="I49" s="164">
        <f t="shared" si="25"/>
        <v>0</v>
      </c>
      <c r="J49" s="164">
        <f t="shared" si="25"/>
        <v>0</v>
      </c>
      <c r="K49" s="164">
        <f t="shared" si="25"/>
        <v>0</v>
      </c>
      <c r="L49" s="164">
        <f t="shared" si="25"/>
        <v>0</v>
      </c>
      <c r="M49" s="164">
        <f t="shared" si="25"/>
        <v>0</v>
      </c>
      <c r="P49" s="165" t="s">
        <v>154</v>
      </c>
    </row>
    <row r="50" spans="1:16" hidden="1">
      <c r="A50" s="139" t="s">
        <v>143</v>
      </c>
      <c r="B50" s="139" t="s">
        <v>142</v>
      </c>
      <c r="C50" s="410" t="s">
        <v>500</v>
      </c>
      <c r="D50" s="139"/>
      <c r="E50" s="164">
        <f t="shared" ref="E50:M50" si="26">RPIA</f>
        <v>1.1339999999999999</v>
      </c>
      <c r="F50" s="164">
        <f t="shared" si="26"/>
        <v>1.167</v>
      </c>
      <c r="G50" s="164">
        <f t="shared" si="26"/>
        <v>1.19</v>
      </c>
      <c r="H50" s="164">
        <f t="shared" si="26"/>
        <v>1.202</v>
      </c>
      <c r="I50" s="164">
        <f t="shared" si="26"/>
        <v>1.228</v>
      </c>
      <c r="J50" s="164">
        <f t="shared" si="26"/>
        <v>1.274</v>
      </c>
      <c r="K50" s="164">
        <f t="shared" si="26"/>
        <v>1.3129999999999999</v>
      </c>
      <c r="L50" s="164">
        <f t="shared" si="26"/>
        <v>1.347</v>
      </c>
      <c r="M50" s="164">
        <f t="shared" si="26"/>
        <v>1.363</v>
      </c>
      <c r="P50" s="165" t="s">
        <v>142</v>
      </c>
    </row>
    <row r="51" spans="1:16" hidden="1">
      <c r="A51" s="139" t="s">
        <v>147</v>
      </c>
      <c r="B51" s="139" t="s">
        <v>146</v>
      </c>
      <c r="C51" s="410" t="s">
        <v>133</v>
      </c>
      <c r="D51" s="139"/>
      <c r="E51" s="164">
        <f t="shared" ref="E51:M51" si="27">PVF</f>
        <v>1.0475000000000001</v>
      </c>
      <c r="F51" s="164">
        <f t="shared" si="27"/>
        <v>1.04552</v>
      </c>
      <c r="G51" s="164">
        <f t="shared" si="27"/>
        <v>1.0443199999999999</v>
      </c>
      <c r="H51" s="164">
        <f t="shared" si="27"/>
        <v>1.0432999999999999</v>
      </c>
      <c r="I51" s="164">
        <f t="shared" si="27"/>
        <v>1.0422800000000001</v>
      </c>
      <c r="J51" s="164">
        <f t="shared" si="27"/>
        <v>1.04132</v>
      </c>
      <c r="K51" s="164">
        <f t="shared" si="27"/>
        <v>1.0394600000000001</v>
      </c>
      <c r="L51" s="164">
        <f t="shared" si="27"/>
        <v>1.03748</v>
      </c>
      <c r="M51" s="164">
        <f t="shared" si="27"/>
        <v>1.03454</v>
      </c>
      <c r="P51" s="165" t="s">
        <v>146</v>
      </c>
    </row>
    <row r="52" spans="1:16" hidden="1">
      <c r="A52" s="139" t="s">
        <v>72</v>
      </c>
      <c r="B52" s="139" t="s">
        <v>132</v>
      </c>
      <c r="C52" s="410" t="s">
        <v>500</v>
      </c>
      <c r="D52" s="139"/>
      <c r="E52" s="164">
        <f t="shared" ref="E52:M52" si="28">RPIF</f>
        <v>1.1344000000000001</v>
      </c>
      <c r="F52" s="164">
        <f t="shared" si="28"/>
        <v>1.163</v>
      </c>
      <c r="G52" s="164">
        <f t="shared" si="28"/>
        <v>1.2050000000000001</v>
      </c>
      <c r="H52" s="164">
        <f t="shared" si="28"/>
        <v>1.2270000000000001</v>
      </c>
      <c r="I52" s="164">
        <f t="shared" si="28"/>
        <v>1.2330000000000001</v>
      </c>
      <c r="J52" s="164">
        <f t="shared" si="28"/>
        <v>1.2709999999999999</v>
      </c>
      <c r="K52" s="164">
        <f t="shared" si="28"/>
        <v>1.3140000000000001</v>
      </c>
      <c r="L52" s="164">
        <f t="shared" si="28"/>
        <v>1.3580000000000001</v>
      </c>
      <c r="M52" s="164">
        <f t="shared" si="28"/>
        <v>1.38</v>
      </c>
      <c r="P52" s="165" t="s">
        <v>132</v>
      </c>
    </row>
    <row r="53" spans="1:16" hidden="1">
      <c r="A53" s="139" t="s">
        <v>149</v>
      </c>
      <c r="B53" s="139" t="s">
        <v>153</v>
      </c>
      <c r="C53" s="410" t="s">
        <v>1</v>
      </c>
      <c r="D53" s="139"/>
      <c r="F53" s="174">
        <f>IFERROR(((D49/D50))*D51*E51*F52,0)</f>
        <v>0</v>
      </c>
      <c r="G53" s="174">
        <f>IFERROR(((E49/E50))*E51*F51*G52,0)</f>
        <v>0</v>
      </c>
      <c r="H53" s="174">
        <f>IFERROR(((F49/F50))*F51*G51*H52,0)</f>
        <v>0</v>
      </c>
      <c r="I53" s="174">
        <f t="shared" ref="I53:M53" si="29">IFERROR(((G49/G50))*G51*H51*I52,0)</f>
        <v>0</v>
      </c>
      <c r="J53" s="174">
        <f t="shared" si="29"/>
        <v>0</v>
      </c>
      <c r="K53" s="174">
        <f t="shared" si="29"/>
        <v>0</v>
      </c>
      <c r="L53" s="174">
        <f t="shared" si="29"/>
        <v>0</v>
      </c>
      <c r="M53" s="174">
        <f t="shared" si="29"/>
        <v>0</v>
      </c>
      <c r="P53" s="165" t="s">
        <v>153</v>
      </c>
    </row>
    <row r="54" spans="1:16" ht="14">
      <c r="A54" s="139"/>
      <c r="B54" s="139"/>
      <c r="D54" s="139"/>
      <c r="F54" s="165"/>
      <c r="G54" s="165"/>
      <c r="H54" s="165"/>
      <c r="I54" s="165"/>
      <c r="J54" s="142"/>
      <c r="K54" s="142"/>
      <c r="L54" s="142"/>
      <c r="M54" s="142"/>
      <c r="P54" s="165"/>
    </row>
    <row r="55" spans="1:16" ht="14">
      <c r="A55" s="142"/>
      <c r="B55" s="142"/>
      <c r="C55" s="280"/>
      <c r="D55" s="142"/>
      <c r="F55" s="179"/>
      <c r="G55" s="179"/>
      <c r="H55" s="179"/>
      <c r="I55" s="179"/>
      <c r="J55" s="179"/>
      <c r="K55" s="179"/>
      <c r="L55" s="179"/>
      <c r="M55" s="179"/>
    </row>
    <row r="56" spans="1:16" ht="14">
      <c r="A56" s="608" t="s">
        <v>141</v>
      </c>
      <c r="B56" s="139"/>
      <c r="C56" s="410"/>
      <c r="D56" s="139"/>
      <c r="L56" s="263"/>
    </row>
    <row r="57" spans="1:16" ht="14">
      <c r="A57" s="284" t="s">
        <v>503</v>
      </c>
      <c r="B57" s="139"/>
      <c r="C57" s="410"/>
      <c r="D57" s="139"/>
    </row>
    <row r="58" spans="1:16" ht="14.5">
      <c r="A58" s="284"/>
      <c r="B58" s="139"/>
      <c r="C58" s="410"/>
      <c r="D58" s="139"/>
      <c r="E58" s="138">
        <v>2013</v>
      </c>
      <c r="F58" s="138">
        <v>2014</v>
      </c>
      <c r="G58" s="138">
        <v>2015</v>
      </c>
      <c r="H58" s="138">
        <v>2016</v>
      </c>
      <c r="I58" s="138">
        <v>2017</v>
      </c>
      <c r="J58" s="138">
        <v>2018</v>
      </c>
      <c r="K58" s="138">
        <v>2019</v>
      </c>
      <c r="L58" s="138">
        <v>2020</v>
      </c>
      <c r="M58" s="138">
        <v>2021</v>
      </c>
      <c r="N58" s="593">
        <v>2022</v>
      </c>
      <c r="O58" s="593">
        <v>2023</v>
      </c>
    </row>
    <row r="59" spans="1:16">
      <c r="A59" s="139" t="s">
        <v>82</v>
      </c>
      <c r="B59" s="139" t="s">
        <v>151</v>
      </c>
      <c r="C59" s="410" t="s">
        <v>985</v>
      </c>
      <c r="D59" s="139"/>
      <c r="E59" s="164">
        <f t="shared" ref="E59:M59" si="30">ITP</f>
        <v>0</v>
      </c>
      <c r="F59" s="164">
        <f t="shared" si="30"/>
        <v>0</v>
      </c>
      <c r="G59" s="164">
        <f t="shared" si="30"/>
        <v>0</v>
      </c>
      <c r="H59" s="164">
        <f t="shared" si="30"/>
        <v>0</v>
      </c>
      <c r="I59" s="164">
        <f t="shared" si="30"/>
        <v>0</v>
      </c>
      <c r="J59" s="164">
        <f t="shared" si="30"/>
        <v>0</v>
      </c>
      <c r="K59" s="164">
        <f t="shared" si="30"/>
        <v>0</v>
      </c>
      <c r="L59" s="164">
        <f t="shared" si="30"/>
        <v>0</v>
      </c>
      <c r="M59" s="164">
        <f t="shared" si="30"/>
        <v>0</v>
      </c>
      <c r="P59" s="165" t="s">
        <v>151</v>
      </c>
    </row>
    <row r="60" spans="1:16">
      <c r="A60" s="139" t="s">
        <v>107</v>
      </c>
      <c r="B60" s="139" t="s">
        <v>142</v>
      </c>
      <c r="C60" s="410" t="s">
        <v>500</v>
      </c>
      <c r="D60" s="139"/>
      <c r="E60" s="164">
        <f t="shared" ref="E60:M60" si="31">RPIA</f>
        <v>1.1339999999999999</v>
      </c>
      <c r="F60" s="164">
        <f t="shared" si="31"/>
        <v>1.167</v>
      </c>
      <c r="G60" s="164">
        <f t="shared" si="31"/>
        <v>1.19</v>
      </c>
      <c r="H60" s="164">
        <f t="shared" si="31"/>
        <v>1.202</v>
      </c>
      <c r="I60" s="164">
        <f t="shared" si="31"/>
        <v>1.228</v>
      </c>
      <c r="J60" s="164">
        <f t="shared" si="31"/>
        <v>1.274</v>
      </c>
      <c r="K60" s="164">
        <f t="shared" si="31"/>
        <v>1.3129999999999999</v>
      </c>
      <c r="L60" s="164">
        <f t="shared" si="31"/>
        <v>1.347</v>
      </c>
      <c r="M60" s="164">
        <f t="shared" si="31"/>
        <v>1.363</v>
      </c>
      <c r="P60" s="165" t="s">
        <v>142</v>
      </c>
    </row>
    <row r="61" spans="1:16">
      <c r="A61" s="139" t="s">
        <v>83</v>
      </c>
      <c r="B61" s="139" t="s">
        <v>152</v>
      </c>
      <c r="C61" s="410" t="s">
        <v>984</v>
      </c>
      <c r="D61" s="139"/>
      <c r="E61" s="164">
        <f t="shared" ref="E61:M61" si="32">ITA</f>
        <v>0</v>
      </c>
      <c r="F61" s="164">
        <f t="shared" si="32"/>
        <v>0</v>
      </c>
      <c r="G61" s="164">
        <f t="shared" si="32"/>
        <v>0</v>
      </c>
      <c r="H61" s="164">
        <f t="shared" si="32"/>
        <v>0</v>
      </c>
      <c r="I61" s="164">
        <f t="shared" si="32"/>
        <v>0</v>
      </c>
      <c r="J61" s="164">
        <f t="shared" si="32"/>
        <v>0</v>
      </c>
      <c r="K61" s="164">
        <f t="shared" si="32"/>
        <v>0</v>
      </c>
      <c r="L61" s="164">
        <f t="shared" si="32"/>
        <v>0</v>
      </c>
      <c r="M61" s="164">
        <f t="shared" si="32"/>
        <v>0</v>
      </c>
      <c r="P61" s="165" t="s">
        <v>152</v>
      </c>
    </row>
    <row r="62" spans="1:16">
      <c r="A62" s="139" t="s">
        <v>106</v>
      </c>
      <c r="B62" s="139" t="s">
        <v>146</v>
      </c>
      <c r="C62" s="410" t="s">
        <v>133</v>
      </c>
      <c r="D62" s="139"/>
      <c r="E62" s="164">
        <f t="shared" ref="E62:N62" si="33">PVF</f>
        <v>1.0475000000000001</v>
      </c>
      <c r="F62" s="164">
        <f t="shared" si="33"/>
        <v>1.04552</v>
      </c>
      <c r="G62" s="164">
        <f t="shared" si="33"/>
        <v>1.0443199999999999</v>
      </c>
      <c r="H62" s="164">
        <f t="shared" si="33"/>
        <v>1.0432999999999999</v>
      </c>
      <c r="I62" s="164">
        <f t="shared" si="33"/>
        <v>1.0422800000000001</v>
      </c>
      <c r="J62" s="164">
        <f t="shared" si="33"/>
        <v>1.04132</v>
      </c>
      <c r="K62" s="164">
        <f t="shared" si="33"/>
        <v>1.0394600000000001</v>
      </c>
      <c r="L62" s="164">
        <f t="shared" si="33"/>
        <v>1.03748</v>
      </c>
      <c r="M62" s="164">
        <f t="shared" si="33"/>
        <v>1.03454</v>
      </c>
      <c r="N62" s="405">
        <f t="shared" si="33"/>
        <v>1.0489599999999999</v>
      </c>
      <c r="P62" s="165" t="s">
        <v>146</v>
      </c>
    </row>
    <row r="63" spans="1:16">
      <c r="A63" s="139" t="s">
        <v>72</v>
      </c>
      <c r="B63" s="139" t="s">
        <v>132</v>
      </c>
      <c r="C63" s="410" t="s">
        <v>500</v>
      </c>
      <c r="D63" s="139"/>
      <c r="E63" s="164">
        <f t="shared" ref="E63:O63" si="34">RPIF</f>
        <v>1.1344000000000001</v>
      </c>
      <c r="F63" s="164">
        <f t="shared" si="34"/>
        <v>1.163</v>
      </c>
      <c r="G63" s="164">
        <f t="shared" si="34"/>
        <v>1.2050000000000001</v>
      </c>
      <c r="H63" s="164">
        <f t="shared" si="34"/>
        <v>1.2270000000000001</v>
      </c>
      <c r="I63" s="164">
        <f t="shared" si="34"/>
        <v>1.2330000000000001</v>
      </c>
      <c r="J63" s="164">
        <f t="shared" si="34"/>
        <v>1.2709999999999999</v>
      </c>
      <c r="K63" s="164">
        <f t="shared" si="34"/>
        <v>1.3140000000000001</v>
      </c>
      <c r="L63" s="164">
        <f t="shared" si="34"/>
        <v>1.3580000000000001</v>
      </c>
      <c r="M63" s="164">
        <f t="shared" si="34"/>
        <v>1.38</v>
      </c>
      <c r="N63" s="405">
        <f t="shared" si="34"/>
        <v>1.403</v>
      </c>
      <c r="O63" s="405">
        <f t="shared" si="34"/>
        <v>1.4339999999999999</v>
      </c>
      <c r="P63" s="165" t="s">
        <v>132</v>
      </c>
    </row>
    <row r="64" spans="1:16">
      <c r="A64" s="139" t="s">
        <v>81</v>
      </c>
      <c r="B64" s="139" t="s">
        <v>150</v>
      </c>
      <c r="C64" s="410" t="s">
        <v>985</v>
      </c>
      <c r="D64" s="139"/>
      <c r="F64" s="537"/>
      <c r="G64" s="537"/>
      <c r="H64" s="537"/>
      <c r="I64" s="537"/>
      <c r="J64" s="537"/>
      <c r="K64" s="537"/>
      <c r="L64" s="174">
        <f t="shared" ref="L64:M64" si="35">IFERROR(((J59/J60)-J61)*J62*K62*L63,0)</f>
        <v>0</v>
      </c>
      <c r="M64" s="174">
        <f t="shared" si="35"/>
        <v>0</v>
      </c>
      <c r="N64" s="174">
        <f t="shared" ref="N64" si="36">IFERROR(((L59/L60)-L61)*L62*M62*N63,0)</f>
        <v>0</v>
      </c>
      <c r="O64" s="174">
        <f t="shared" ref="O64" si="37">IFERROR(((M59/M60)-M61)*M62*N62*O63,0)</f>
        <v>0</v>
      </c>
      <c r="P64" s="165" t="s">
        <v>150</v>
      </c>
    </row>
    <row r="65" spans="1:10" ht="14">
      <c r="A65" s="139"/>
      <c r="B65" s="139"/>
      <c r="C65" s="410"/>
      <c r="D65" s="139"/>
      <c r="F65" s="165"/>
      <c r="G65" s="165"/>
      <c r="H65" s="165"/>
      <c r="I65" s="165"/>
      <c r="J65" s="142"/>
    </row>
    <row r="1000019" spans="1:1">
      <c r="A1000019" s="137" t="s">
        <v>7</v>
      </c>
    </row>
    <row r="1000020" spans="1:1">
      <c r="A1000020" s="137" t="s">
        <v>2</v>
      </c>
    </row>
    <row r="1000021" spans="1:1">
      <c r="A1000021" s="137" t="s">
        <v>6</v>
      </c>
    </row>
    <row r="1000022" spans="1:1">
      <c r="A1000022" s="137" t="s">
        <v>3</v>
      </c>
    </row>
    <row r="1000023" spans="1:1">
      <c r="A1000023" s="137" t="s">
        <v>4</v>
      </c>
    </row>
    <row r="1000024" spans="1:1">
      <c r="A1000024" s="137" t="s">
        <v>5</v>
      </c>
    </row>
  </sheetData>
  <pageMargins left="0.17" right="0.16" top="0.5" bottom="0.74803149606299213" header="0.31496062992125984" footer="0.31496062992125984"/>
  <pageSetup paperSize="9" scale="60" orientation="portrait" r:id="rId1"/>
  <headerFooter>
    <oddFooter>&amp;C&amp;D&amp;R&amp;F</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S900130"/>
  <sheetViews>
    <sheetView showGridLines="0" zoomScale="85" zoomScaleNormal="85" workbookViewId="0"/>
  </sheetViews>
  <sheetFormatPr defaultColWidth="9" defaultRowHeight="13.5"/>
  <cols>
    <col min="1" max="1" width="37.4609375" style="139" customWidth="1"/>
    <col min="2" max="2" width="10.84375" style="139" customWidth="1"/>
    <col min="3" max="3" width="7.61328125" style="137" customWidth="1"/>
    <col min="4" max="4" width="9" style="137"/>
    <col min="5" max="5" width="14.15234375" style="137" customWidth="1"/>
    <col min="6" max="6" width="11.765625" style="139" customWidth="1"/>
    <col min="7" max="7" width="11.765625" style="137" customWidth="1"/>
    <col min="8" max="8" width="12" style="137" customWidth="1"/>
    <col min="9" max="13" width="13.15234375" style="137" bestFit="1" customWidth="1"/>
    <col min="14" max="16384" width="9" style="137"/>
  </cols>
  <sheetData>
    <row r="1" spans="1:19" s="148" customFormat="1" ht="15">
      <c r="A1" s="180" t="s">
        <v>131</v>
      </c>
    </row>
    <row r="2" spans="1:19" s="148" customFormat="1" ht="15">
      <c r="A2" s="180" t="str">
        <f>CompName</f>
        <v>National Grid Electricity System Operator Ltd</v>
      </c>
    </row>
    <row r="3" spans="1:19" s="148" customFormat="1">
      <c r="A3" s="181" t="str">
        <f>RegYr</f>
        <v>Regulatory Year ending 31 March 2021</v>
      </c>
    </row>
    <row r="4" spans="1:19">
      <c r="A4" s="182"/>
      <c r="B4" s="182"/>
      <c r="C4" s="176"/>
      <c r="D4" s="176"/>
      <c r="E4" s="176"/>
      <c r="F4" s="183"/>
      <c r="G4" s="176"/>
      <c r="H4" s="176"/>
      <c r="I4" s="176"/>
      <c r="J4" s="176"/>
      <c r="K4" s="176"/>
      <c r="L4" s="176"/>
      <c r="M4" s="176"/>
      <c r="N4" s="176"/>
      <c r="O4" s="176"/>
      <c r="P4" s="176"/>
      <c r="Q4" s="176"/>
      <c r="R4" s="176"/>
      <c r="S4" s="176"/>
    </row>
    <row r="5" spans="1:19" ht="24" customHeight="1">
      <c r="A5" s="184" t="s">
        <v>329</v>
      </c>
    </row>
    <row r="6" spans="1:19" ht="17.5">
      <c r="B6" s="162"/>
      <c r="C6" s="162"/>
      <c r="D6" s="162"/>
      <c r="E6" s="162"/>
      <c r="F6" s="162"/>
      <c r="G6" s="162"/>
      <c r="H6" s="160" t="s">
        <v>832</v>
      </c>
      <c r="I6" s="162"/>
      <c r="L6" s="165"/>
    </row>
    <row r="7" spans="1:19" ht="15" customHeight="1">
      <c r="A7" s="183" t="s">
        <v>504</v>
      </c>
      <c r="C7" s="142"/>
      <c r="D7" s="142"/>
      <c r="E7" s="181"/>
    </row>
    <row r="8" spans="1:19" ht="14.5">
      <c r="B8" s="142"/>
      <c r="C8" s="142"/>
      <c r="D8" s="142"/>
      <c r="E8" s="142"/>
      <c r="F8" s="185">
        <v>2014</v>
      </c>
      <c r="G8" s="138">
        <v>2015</v>
      </c>
      <c r="H8" s="138">
        <v>2016</v>
      </c>
      <c r="I8" s="138">
        <v>2017</v>
      </c>
      <c r="J8" s="138">
        <v>2018</v>
      </c>
      <c r="K8" s="138">
        <v>2019</v>
      </c>
      <c r="L8" s="138">
        <v>2020</v>
      </c>
      <c r="M8" s="138">
        <v>2021</v>
      </c>
    </row>
    <row r="9" spans="1:19">
      <c r="A9" s="139" t="s">
        <v>29</v>
      </c>
      <c r="B9" s="139" t="s">
        <v>300</v>
      </c>
      <c r="C9" s="137" t="s">
        <v>1</v>
      </c>
      <c r="F9" s="178" t="e">
        <f t="shared" ref="F9:M9" si="0">RI</f>
        <v>#REF!</v>
      </c>
      <c r="G9" s="178">
        <f t="shared" si="0"/>
        <v>0</v>
      </c>
      <c r="H9" s="178">
        <f t="shared" si="0"/>
        <v>4.124839702504044</v>
      </c>
      <c r="I9" s="178">
        <f t="shared" si="0"/>
        <v>4.0314946337338053</v>
      </c>
      <c r="J9" s="178">
        <f t="shared" si="0"/>
        <v>4.0957786068599829</v>
      </c>
      <c r="K9" s="178">
        <f t="shared" si="0"/>
        <v>4.2263094243253025</v>
      </c>
      <c r="L9" s="178">
        <f t="shared" si="0"/>
        <v>4.3022341222072038</v>
      </c>
      <c r="M9" s="178">
        <f t="shared" si="0"/>
        <v>4.3558095282092602</v>
      </c>
      <c r="N9" s="165" t="s">
        <v>300</v>
      </c>
    </row>
    <row r="10" spans="1:19">
      <c r="A10" s="139" t="s">
        <v>30</v>
      </c>
      <c r="B10" s="139" t="s">
        <v>334</v>
      </c>
      <c r="C10" s="137" t="s">
        <v>1</v>
      </c>
      <c r="F10" s="178">
        <f t="shared" ref="F10:M10" si="1">SSO</f>
        <v>0</v>
      </c>
      <c r="G10" s="178">
        <f t="shared" si="1"/>
        <v>0</v>
      </c>
      <c r="H10" s="178">
        <f t="shared" si="1"/>
        <v>-11.150127326656428</v>
      </c>
      <c r="I10" s="178">
        <f t="shared" si="1"/>
        <v>-12.367877942378003</v>
      </c>
      <c r="J10" s="178">
        <f t="shared" si="1"/>
        <v>-11.900541689910646</v>
      </c>
      <c r="K10" s="178">
        <f t="shared" si="1"/>
        <v>-17.207338687713552</v>
      </c>
      <c r="L10" s="178">
        <f t="shared" si="1"/>
        <v>-16.71300524591128</v>
      </c>
      <c r="M10" s="178">
        <f t="shared" si="1"/>
        <v>-17.019517439093228</v>
      </c>
      <c r="N10" s="165" t="s">
        <v>334</v>
      </c>
    </row>
    <row r="11" spans="1:19">
      <c r="A11" s="139" t="s">
        <v>747</v>
      </c>
      <c r="B11" s="139" t="s">
        <v>250</v>
      </c>
      <c r="C11" s="139" t="s">
        <v>1</v>
      </c>
      <c r="D11" s="139"/>
      <c r="E11" s="139"/>
      <c r="F11" s="178">
        <f t="shared" ref="F11:M11" si="2">SFI</f>
        <v>0</v>
      </c>
      <c r="G11" s="178">
        <f t="shared" si="2"/>
        <v>0</v>
      </c>
      <c r="H11" s="178">
        <f t="shared" si="2"/>
        <v>0</v>
      </c>
      <c r="I11" s="178">
        <f t="shared" si="2"/>
        <v>0</v>
      </c>
      <c r="J11" s="178">
        <f t="shared" si="2"/>
        <v>0</v>
      </c>
      <c r="K11" s="178">
        <f t="shared" si="2"/>
        <v>0</v>
      </c>
      <c r="L11" s="178">
        <f t="shared" si="2"/>
        <v>0</v>
      </c>
      <c r="M11" s="178">
        <f t="shared" si="2"/>
        <v>0</v>
      </c>
      <c r="N11" s="165" t="s">
        <v>250</v>
      </c>
    </row>
    <row r="12" spans="1:19">
      <c r="A12" s="139" t="s">
        <v>31</v>
      </c>
      <c r="B12" s="139" t="s">
        <v>335</v>
      </c>
      <c r="C12" s="137" t="s">
        <v>1</v>
      </c>
      <c r="F12" s="178">
        <f t="shared" ref="F12:M12" si="3">EDR</f>
        <v>0</v>
      </c>
      <c r="G12" s="164">
        <f t="shared" si="3"/>
        <v>0</v>
      </c>
      <c r="H12" s="164">
        <f t="shared" si="3"/>
        <v>0</v>
      </c>
      <c r="I12" s="164">
        <f t="shared" si="3"/>
        <v>0</v>
      </c>
      <c r="J12" s="164">
        <f t="shared" si="3"/>
        <v>0</v>
      </c>
      <c r="K12" s="164">
        <f t="shared" si="3"/>
        <v>0</v>
      </c>
      <c r="L12" s="164">
        <f t="shared" si="3"/>
        <v>0</v>
      </c>
      <c r="M12" s="164">
        <f t="shared" si="3"/>
        <v>0</v>
      </c>
      <c r="N12" s="165" t="s">
        <v>335</v>
      </c>
    </row>
    <row r="13" spans="1:19">
      <c r="A13" s="139" t="s">
        <v>13</v>
      </c>
      <c r="B13" s="139" t="s">
        <v>209</v>
      </c>
      <c r="C13" s="137" t="s">
        <v>1</v>
      </c>
      <c r="F13" s="214" t="e">
        <f>SUM(F9:F12)</f>
        <v>#REF!</v>
      </c>
      <c r="G13" s="174">
        <f t="shared" ref="G13:M13" si="4">SUM(G9:G12)</f>
        <v>0</v>
      </c>
      <c r="H13" s="174">
        <f t="shared" si="4"/>
        <v>-7.0252876241523836</v>
      </c>
      <c r="I13" s="174">
        <f t="shared" si="4"/>
        <v>-8.3363833086441979</v>
      </c>
      <c r="J13" s="174">
        <f t="shared" si="4"/>
        <v>-7.8047630830506636</v>
      </c>
      <c r="K13" s="174">
        <f t="shared" si="4"/>
        <v>-12.981029263388249</v>
      </c>
      <c r="L13" s="174">
        <f t="shared" si="4"/>
        <v>-12.410771123704077</v>
      </c>
      <c r="M13" s="174">
        <f t="shared" si="4"/>
        <v>-12.663707910883968</v>
      </c>
      <c r="N13" s="165" t="s">
        <v>209</v>
      </c>
    </row>
    <row r="14" spans="1:19">
      <c r="F14" s="165"/>
      <c r="G14" s="165"/>
      <c r="H14" s="165"/>
      <c r="I14" s="165"/>
    </row>
    <row r="16" spans="1:19" ht="14">
      <c r="A16" s="146" t="s">
        <v>29</v>
      </c>
    </row>
    <row r="17" spans="1:15" ht="24" customHeight="1">
      <c r="E17" s="626" t="s">
        <v>38</v>
      </c>
      <c r="F17" s="626"/>
      <c r="G17" s="625"/>
      <c r="H17" s="625"/>
      <c r="I17" s="625"/>
      <c r="J17" s="625"/>
      <c r="K17" s="625"/>
      <c r="L17" s="625"/>
      <c r="M17" s="625"/>
      <c r="O17" s="165"/>
    </row>
    <row r="18" spans="1:15">
      <c r="A18" s="183" t="s">
        <v>330</v>
      </c>
      <c r="B18" s="139" t="s">
        <v>214</v>
      </c>
    </row>
    <row r="20" spans="1:15" ht="14.5">
      <c r="F20" s="185">
        <v>2014</v>
      </c>
      <c r="G20" s="138">
        <v>2015</v>
      </c>
      <c r="H20" s="138">
        <v>2016</v>
      </c>
      <c r="I20" s="138">
        <v>2017</v>
      </c>
      <c r="J20" s="138">
        <v>2018</v>
      </c>
      <c r="K20" s="138">
        <v>2019</v>
      </c>
      <c r="L20" s="138">
        <v>2020</v>
      </c>
      <c r="M20" s="138">
        <v>2021</v>
      </c>
    </row>
    <row r="21" spans="1:15">
      <c r="A21" s="139" t="s">
        <v>77</v>
      </c>
      <c r="B21" s="139" t="s">
        <v>215</v>
      </c>
      <c r="C21" s="281" t="s">
        <v>1</v>
      </c>
      <c r="D21" s="141"/>
      <c r="E21" s="141"/>
      <c r="F21" s="178" t="e">
        <f>F52</f>
        <v>#REF!</v>
      </c>
      <c r="G21" s="186">
        <v>0</v>
      </c>
      <c r="H21" s="139"/>
      <c r="I21" s="139"/>
      <c r="J21" s="139"/>
      <c r="K21" s="139"/>
      <c r="L21" s="139"/>
      <c r="M21" s="139"/>
    </row>
    <row r="22" spans="1:15" s="141" customFormat="1">
      <c r="A22" s="139" t="s">
        <v>73</v>
      </c>
      <c r="B22" s="139" t="s">
        <v>218</v>
      </c>
      <c r="C22" s="281" t="s">
        <v>748</v>
      </c>
      <c r="F22" s="187">
        <f>'R4 Licence Condition Values'!F22</f>
        <v>1.6E-2</v>
      </c>
      <c r="G22" s="187">
        <f>'R4 Licence Condition Values'!G22</f>
        <v>1.6E-2</v>
      </c>
      <c r="H22" s="187">
        <f>'R4 Licence Condition Values'!H22</f>
        <v>1.6E-2</v>
      </c>
      <c r="I22" s="187">
        <f>'R4 Licence Condition Values'!I22</f>
        <v>1.6E-2</v>
      </c>
      <c r="J22" s="187">
        <f>'R4 Licence Condition Values'!J22</f>
        <v>1.6E-2</v>
      </c>
      <c r="K22" s="187">
        <f>'R4 Licence Condition Values'!K22</f>
        <v>1.6E-2</v>
      </c>
      <c r="L22" s="187">
        <f>'R4 Licence Condition Values'!L22</f>
        <v>1.6E-2</v>
      </c>
      <c r="M22" s="187">
        <f>'R4 Licence Condition Values'!M22</f>
        <v>1.6E-2</v>
      </c>
      <c r="N22" s="165" t="s">
        <v>218</v>
      </c>
    </row>
    <row r="23" spans="1:15">
      <c r="A23" s="139" t="s">
        <v>75</v>
      </c>
      <c r="B23" s="139" t="s">
        <v>220</v>
      </c>
      <c r="C23" s="281" t="s">
        <v>219</v>
      </c>
      <c r="F23" s="188">
        <f>'R4 Licence Condition Values'!F23</f>
        <v>316</v>
      </c>
      <c r="G23" s="189">
        <f>'R4 Licence Condition Values'!G23</f>
        <v>316</v>
      </c>
      <c r="H23" s="189">
        <f>'R4 Licence Condition Values'!H23</f>
        <v>316</v>
      </c>
      <c r="I23" s="189">
        <f>'R4 Licence Condition Values'!I23</f>
        <v>316</v>
      </c>
      <c r="J23" s="189">
        <f>'R4 Licence Condition Values'!J23</f>
        <v>316</v>
      </c>
      <c r="K23" s="189">
        <f>'R4 Licence Condition Values'!K23</f>
        <v>316</v>
      </c>
      <c r="L23" s="189">
        <f>'R4 Licence Condition Values'!L23</f>
        <v>316</v>
      </c>
      <c r="M23" s="189">
        <f>'R4 Licence Condition Values'!M23</f>
        <v>316</v>
      </c>
      <c r="N23" s="165" t="s">
        <v>220</v>
      </c>
    </row>
    <row r="24" spans="1:15">
      <c r="A24" s="139" t="s">
        <v>76</v>
      </c>
      <c r="B24" s="139" t="s">
        <v>222</v>
      </c>
      <c r="C24" s="281" t="s">
        <v>219</v>
      </c>
      <c r="F24" s="188">
        <f t="shared" ref="F24:M24" si="5">ENSA</f>
        <v>0</v>
      </c>
      <c r="G24" s="189">
        <f t="shared" si="5"/>
        <v>0</v>
      </c>
      <c r="H24" s="189">
        <f t="shared" si="5"/>
        <v>0</v>
      </c>
      <c r="I24" s="189">
        <f t="shared" si="5"/>
        <v>0</v>
      </c>
      <c r="J24" s="189">
        <f t="shared" si="5"/>
        <v>0</v>
      </c>
      <c r="K24" s="189">
        <f t="shared" si="5"/>
        <v>0</v>
      </c>
      <c r="L24" s="189">
        <f t="shared" si="5"/>
        <v>0</v>
      </c>
      <c r="M24" s="189">
        <f t="shared" si="5"/>
        <v>0</v>
      </c>
      <c r="N24" s="165" t="s">
        <v>222</v>
      </c>
    </row>
    <row r="25" spans="1:15">
      <c r="A25" s="139" t="s">
        <v>331</v>
      </c>
      <c r="B25" s="139" t="s">
        <v>233</v>
      </c>
      <c r="C25" s="281" t="s">
        <v>122</v>
      </c>
      <c r="F25" s="178">
        <f t="shared" ref="F25:M25" si="6">PTIS</f>
        <v>0.60896103896103893</v>
      </c>
      <c r="G25" s="164">
        <f t="shared" si="6"/>
        <v>0.59354430379746825</v>
      </c>
      <c r="H25" s="164">
        <f t="shared" si="6"/>
        <v>0.5861249999999999</v>
      </c>
      <c r="I25" s="164">
        <f t="shared" si="6"/>
        <v>0.5861249999999999</v>
      </c>
      <c r="J25" s="164">
        <f t="shared" si="6"/>
        <v>0.57888888888888879</v>
      </c>
      <c r="K25" s="164">
        <f t="shared" si="6"/>
        <v>0.57888888888888879</v>
      </c>
      <c r="L25" s="164">
        <f t="shared" si="6"/>
        <v>0.57888888888888879</v>
      </c>
      <c r="M25" s="164">
        <f t="shared" si="6"/>
        <v>0.57888888888888879</v>
      </c>
      <c r="N25" s="165" t="s">
        <v>233</v>
      </c>
    </row>
    <row r="26" spans="1:15">
      <c r="A26" s="139" t="s">
        <v>74</v>
      </c>
      <c r="B26" s="139" t="s">
        <v>221</v>
      </c>
      <c r="C26" s="281" t="s">
        <v>122</v>
      </c>
      <c r="F26" s="190">
        <f t="shared" ref="F26:M26" si="7">RIDPA</f>
        <v>0.03</v>
      </c>
      <c r="G26" s="191">
        <f t="shared" si="7"/>
        <v>0.03</v>
      </c>
      <c r="H26" s="191">
        <f t="shared" si="7"/>
        <v>0.03</v>
      </c>
      <c r="I26" s="191">
        <f t="shared" si="7"/>
        <v>0.03</v>
      </c>
      <c r="J26" s="191">
        <f t="shared" si="7"/>
        <v>0.03</v>
      </c>
      <c r="K26" s="191">
        <f t="shared" si="7"/>
        <v>0.03</v>
      </c>
      <c r="L26" s="191">
        <f t="shared" si="7"/>
        <v>0.03</v>
      </c>
      <c r="M26" s="191">
        <f t="shared" si="7"/>
        <v>0.03</v>
      </c>
      <c r="N26" s="165" t="s">
        <v>221</v>
      </c>
    </row>
    <row r="27" spans="1:15">
      <c r="A27" s="139" t="s">
        <v>61</v>
      </c>
      <c r="B27" s="139" t="s">
        <v>317</v>
      </c>
      <c r="C27" s="281" t="s">
        <v>1</v>
      </c>
      <c r="F27" s="192">
        <f>BRt</f>
        <v>1561.072803</v>
      </c>
      <c r="G27" s="163">
        <f t="shared" ref="G27:M27" si="8">BRt</f>
        <v>1733.306945</v>
      </c>
      <c r="H27" s="163">
        <f t="shared" si="8"/>
        <v>1670.1838110000001</v>
      </c>
      <c r="I27" s="163">
        <f t="shared" si="8"/>
        <v>1708.921971</v>
      </c>
      <c r="J27" s="163">
        <f t="shared" si="8"/>
        <v>1654.386982</v>
      </c>
      <c r="K27" s="163">
        <f t="shared" si="8"/>
        <v>1678.539078</v>
      </c>
      <c r="L27" s="163">
        <f t="shared" si="8"/>
        <v>1639.4156240000002</v>
      </c>
      <c r="M27" s="163">
        <f t="shared" si="8"/>
        <v>2168.7859199999998</v>
      </c>
      <c r="N27" s="165" t="s">
        <v>317</v>
      </c>
    </row>
    <row r="28" spans="1:15">
      <c r="A28" s="139" t="s">
        <v>159</v>
      </c>
      <c r="B28" s="139" t="s">
        <v>159</v>
      </c>
      <c r="C28" s="281" t="s">
        <v>1</v>
      </c>
      <c r="F28" s="178">
        <f t="shared" ref="F28:M28" si="9">TIRG</f>
        <v>15.992450216000002</v>
      </c>
      <c r="G28" s="164">
        <f t="shared" si="9"/>
        <v>15.995999039999997</v>
      </c>
      <c r="H28" s="164">
        <f t="shared" si="9"/>
        <v>15.703460112000002</v>
      </c>
      <c r="I28" s="164">
        <f t="shared" si="9"/>
        <v>0</v>
      </c>
      <c r="J28" s="164">
        <f t="shared" si="9"/>
        <v>0</v>
      </c>
      <c r="K28" s="164">
        <f t="shared" si="9"/>
        <v>0</v>
      </c>
      <c r="L28" s="164">
        <f t="shared" si="9"/>
        <v>0</v>
      </c>
      <c r="M28" s="164">
        <f t="shared" si="9"/>
        <v>0</v>
      </c>
      <c r="N28" s="165" t="s">
        <v>159</v>
      </c>
    </row>
    <row r="29" spans="1:15">
      <c r="A29" s="139" t="s">
        <v>332</v>
      </c>
      <c r="B29" s="139" t="s">
        <v>142</v>
      </c>
      <c r="C29" s="281" t="s">
        <v>1</v>
      </c>
      <c r="F29" s="178">
        <f t="shared" ref="F29:M29" si="10">RPIA</f>
        <v>1.167</v>
      </c>
      <c r="G29" s="164">
        <f t="shared" si="10"/>
        <v>1.19</v>
      </c>
      <c r="H29" s="164">
        <f t="shared" si="10"/>
        <v>1.202</v>
      </c>
      <c r="I29" s="164">
        <f t="shared" si="10"/>
        <v>1.228</v>
      </c>
      <c r="J29" s="164">
        <f t="shared" si="10"/>
        <v>1.274</v>
      </c>
      <c r="K29" s="164">
        <f t="shared" si="10"/>
        <v>1.3129999999999999</v>
      </c>
      <c r="L29" s="164">
        <f t="shared" si="10"/>
        <v>1.347</v>
      </c>
      <c r="M29" s="164">
        <f t="shared" si="10"/>
        <v>1.363</v>
      </c>
      <c r="N29" s="165" t="s">
        <v>142</v>
      </c>
    </row>
    <row r="30" spans="1:15">
      <c r="A30" s="139" t="s">
        <v>211</v>
      </c>
      <c r="B30" s="139" t="s">
        <v>146</v>
      </c>
      <c r="C30" s="281" t="s">
        <v>133</v>
      </c>
      <c r="F30" s="178">
        <f t="shared" ref="F30:M30" si="11">PVF</f>
        <v>1.04552</v>
      </c>
      <c r="G30" s="164">
        <f t="shared" si="11"/>
        <v>1.0443199999999999</v>
      </c>
      <c r="H30" s="164">
        <f t="shared" si="11"/>
        <v>1.0432999999999999</v>
      </c>
      <c r="I30" s="164">
        <f t="shared" si="11"/>
        <v>1.0422800000000001</v>
      </c>
      <c r="J30" s="164">
        <f t="shared" si="11"/>
        <v>1.04132</v>
      </c>
      <c r="K30" s="164">
        <f t="shared" si="11"/>
        <v>1.0394600000000001</v>
      </c>
      <c r="L30" s="164">
        <f t="shared" si="11"/>
        <v>1.03748</v>
      </c>
      <c r="M30" s="164">
        <f t="shared" si="11"/>
        <v>1.03454</v>
      </c>
      <c r="N30" s="165" t="s">
        <v>146</v>
      </c>
    </row>
    <row r="31" spans="1:15">
      <c r="A31" s="139" t="s">
        <v>333</v>
      </c>
      <c r="B31" s="139" t="s">
        <v>132</v>
      </c>
      <c r="C31" s="281" t="s">
        <v>133</v>
      </c>
      <c r="F31" s="178">
        <f t="shared" ref="F31:M31" si="12">RPIF</f>
        <v>1.163</v>
      </c>
      <c r="G31" s="164">
        <f t="shared" si="12"/>
        <v>1.2050000000000001</v>
      </c>
      <c r="H31" s="164">
        <f t="shared" si="12"/>
        <v>1.2270000000000001</v>
      </c>
      <c r="I31" s="164">
        <f t="shared" si="12"/>
        <v>1.2330000000000001</v>
      </c>
      <c r="J31" s="164">
        <f t="shared" si="12"/>
        <v>1.2709999999999999</v>
      </c>
      <c r="K31" s="164">
        <f t="shared" si="12"/>
        <v>1.3140000000000001</v>
      </c>
      <c r="L31" s="164">
        <f t="shared" si="12"/>
        <v>1.3580000000000001</v>
      </c>
      <c r="M31" s="164">
        <f t="shared" si="12"/>
        <v>1.38</v>
      </c>
      <c r="N31" s="165" t="s">
        <v>132</v>
      </c>
    </row>
    <row r="32" spans="1:15">
      <c r="A32" s="139" t="s">
        <v>29</v>
      </c>
      <c r="B32" s="139" t="s">
        <v>300</v>
      </c>
      <c r="C32" s="281" t="s">
        <v>1</v>
      </c>
      <c r="F32" s="174" t="e">
        <f>F21</f>
        <v>#REF!</v>
      </c>
      <c r="H32" s="174">
        <f>MAX(H22*(F23-F24)*F25,-H26*(F27+F28)/F29)*F30*G30*H31</f>
        <v>4.124839702504044</v>
      </c>
      <c r="I32" s="174">
        <f t="shared" ref="I32:M32" si="13">MAX(I22*(G23-G24)*G25,-I26*(G27+G28)/G29)*G30*H30*I31</f>
        <v>4.0314946337338053</v>
      </c>
      <c r="J32" s="174">
        <f t="shared" si="13"/>
        <v>4.0957786068599829</v>
      </c>
      <c r="K32" s="174">
        <f t="shared" si="13"/>
        <v>4.2263094243253025</v>
      </c>
      <c r="L32" s="174">
        <f t="shared" si="13"/>
        <v>4.3022341222072038</v>
      </c>
      <c r="M32" s="174">
        <f t="shared" si="13"/>
        <v>4.3558095282092602</v>
      </c>
      <c r="N32" s="165" t="s">
        <v>300</v>
      </c>
    </row>
    <row r="33" spans="1:9">
      <c r="F33" s="165"/>
      <c r="G33" s="165"/>
      <c r="H33" s="165"/>
      <c r="I33" s="165"/>
    </row>
    <row r="34" spans="1:9">
      <c r="G34" s="165"/>
    </row>
    <row r="35" spans="1:9">
      <c r="A35" s="139" t="s">
        <v>448</v>
      </c>
      <c r="G35" s="165"/>
    </row>
    <row r="36" spans="1:9" ht="14.5">
      <c r="F36" s="185">
        <v>2014</v>
      </c>
      <c r="G36" s="165"/>
    </row>
    <row r="37" spans="1:9" ht="14">
      <c r="A37" s="145" t="s">
        <v>61</v>
      </c>
      <c r="B37" s="145" t="s">
        <v>439</v>
      </c>
      <c r="C37" s="279" t="s">
        <v>1</v>
      </c>
      <c r="D37" s="193"/>
      <c r="F37" s="194">
        <f>'R6 True Up'!F12</f>
        <v>1561.072803</v>
      </c>
      <c r="G37" s="142"/>
      <c r="H37" s="142"/>
    </row>
    <row r="38" spans="1:9" ht="14">
      <c r="A38" s="145" t="s">
        <v>440</v>
      </c>
      <c r="B38" s="145" t="s">
        <v>441</v>
      </c>
      <c r="C38" s="279" t="s">
        <v>1</v>
      </c>
      <c r="D38" s="193"/>
      <c r="F38" s="194" t="e">
        <f>'R6 True Up'!#REF!</f>
        <v>#REF!</v>
      </c>
      <c r="G38" s="142"/>
      <c r="H38" s="142"/>
    </row>
    <row r="39" spans="1:9" ht="14">
      <c r="A39" s="145"/>
      <c r="B39" s="145"/>
      <c r="C39" s="279"/>
      <c r="D39" s="193"/>
      <c r="F39" s="142"/>
      <c r="G39" s="142"/>
      <c r="H39" s="142"/>
    </row>
    <row r="40" spans="1:9" ht="14">
      <c r="A40" s="195" t="s">
        <v>442</v>
      </c>
      <c r="B40" s="145"/>
      <c r="C40" s="279"/>
      <c r="D40" s="193"/>
      <c r="F40" s="142"/>
      <c r="G40" s="142"/>
      <c r="H40" s="142"/>
    </row>
    <row r="41" spans="1:9" ht="14">
      <c r="A41" s="145"/>
      <c r="B41" s="145"/>
      <c r="C41" s="279"/>
      <c r="D41" s="193"/>
      <c r="F41" s="142"/>
      <c r="G41" s="142"/>
      <c r="H41" s="142"/>
    </row>
    <row r="42" spans="1:9" ht="14">
      <c r="A42" s="145" t="s">
        <v>451</v>
      </c>
      <c r="B42" s="145" t="s">
        <v>434</v>
      </c>
      <c r="C42" s="279" t="s">
        <v>122</v>
      </c>
      <c r="D42" s="193"/>
      <c r="F42" s="504">
        <f>'R4 Licence Condition Values'!F32</f>
        <v>0.01</v>
      </c>
      <c r="G42" s="142"/>
      <c r="H42" s="142"/>
    </row>
    <row r="43" spans="1:9" ht="14">
      <c r="A43" s="145" t="s">
        <v>452</v>
      </c>
      <c r="B43" s="145" t="s">
        <v>221</v>
      </c>
      <c r="C43" s="279" t="s">
        <v>122</v>
      </c>
      <c r="D43" s="193"/>
      <c r="F43" s="504">
        <f>'R4 Licence Condition Values'!F33</f>
        <v>-1.4999999999999999E-2</v>
      </c>
      <c r="G43" s="142"/>
      <c r="H43" s="142"/>
    </row>
    <row r="44" spans="1:9" ht="14">
      <c r="A44" s="145" t="s">
        <v>453</v>
      </c>
      <c r="B44" s="145" t="s">
        <v>433</v>
      </c>
      <c r="C44" s="279" t="s">
        <v>506</v>
      </c>
      <c r="D44" s="193"/>
      <c r="F44" s="196">
        <f>'R4 Licence Condition Values'!F30</f>
        <v>263</v>
      </c>
      <c r="G44" s="142"/>
      <c r="H44" s="142"/>
    </row>
    <row r="45" spans="1:9" ht="14">
      <c r="A45" s="145" t="s">
        <v>454</v>
      </c>
      <c r="B45" s="145" t="s">
        <v>436</v>
      </c>
      <c r="C45" s="279" t="s">
        <v>506</v>
      </c>
      <c r="D45" s="193"/>
      <c r="F45" s="196">
        <f>'R4 Licence Condition Values'!F35</f>
        <v>619</v>
      </c>
      <c r="G45" s="142"/>
      <c r="H45" s="142"/>
    </row>
    <row r="46" spans="1:9" ht="14">
      <c r="A46" s="145" t="s">
        <v>482</v>
      </c>
      <c r="B46" s="145" t="s">
        <v>443</v>
      </c>
      <c r="C46" s="279" t="s">
        <v>483</v>
      </c>
      <c r="F46" s="196">
        <f>'R5 Input page'!F82</f>
        <v>0</v>
      </c>
      <c r="G46" s="142"/>
      <c r="H46" s="142"/>
    </row>
    <row r="47" spans="1:9" ht="14">
      <c r="A47" s="145" t="s">
        <v>455</v>
      </c>
      <c r="B47" s="145" t="s">
        <v>432</v>
      </c>
      <c r="C47" s="279" t="s">
        <v>506</v>
      </c>
      <c r="D47" s="193"/>
      <c r="F47" s="196">
        <f>'R4 Licence Condition Values'!F29</f>
        <v>237</v>
      </c>
      <c r="G47" s="142"/>
      <c r="H47" s="142"/>
    </row>
    <row r="48" spans="1:9" ht="14">
      <c r="A48" s="145"/>
      <c r="B48" s="145"/>
      <c r="C48" s="285"/>
      <c r="D48" s="193"/>
      <c r="F48" s="142"/>
      <c r="G48" s="142"/>
      <c r="H48" s="142"/>
    </row>
    <row r="49" spans="1:14" ht="14">
      <c r="A49" s="145"/>
      <c r="B49" s="145"/>
      <c r="C49" s="279"/>
      <c r="D49" s="193"/>
      <c r="F49" s="142"/>
      <c r="G49" s="142"/>
      <c r="H49" s="142"/>
    </row>
    <row r="50" spans="1:14" ht="14">
      <c r="A50" s="145" t="s">
        <v>444</v>
      </c>
      <c r="B50" s="145" t="s">
        <v>445</v>
      </c>
      <c r="C50" s="279" t="s">
        <v>122</v>
      </c>
      <c r="D50" s="193"/>
      <c r="F50" s="505">
        <f>IF(F46&lt;F47,F42*((F47-F46)/F47),IF(F46&gt;F44,MAX(F43,F43*((F46-F44)/(F45-F44))),0))</f>
        <v>0.01</v>
      </c>
      <c r="G50" s="142"/>
      <c r="H50" s="142"/>
    </row>
    <row r="51" spans="1:14" ht="14">
      <c r="A51" s="145"/>
      <c r="B51" s="145"/>
      <c r="C51" s="139"/>
      <c r="D51" s="193"/>
      <c r="E51" s="142"/>
      <c r="G51" s="142"/>
      <c r="H51" s="142"/>
    </row>
    <row r="52" spans="1:14" ht="14">
      <c r="A52" s="145" t="s">
        <v>431</v>
      </c>
      <c r="B52" s="145" t="s">
        <v>300</v>
      </c>
      <c r="C52" s="279" t="s">
        <v>1</v>
      </c>
      <c r="D52" s="193"/>
      <c r="F52" s="216" t="e">
        <f>F38*F50</f>
        <v>#REF!</v>
      </c>
      <c r="G52" s="142"/>
      <c r="H52" s="142"/>
    </row>
    <row r="53" spans="1:14">
      <c r="F53" s="165"/>
      <c r="G53" s="165"/>
      <c r="H53" s="165"/>
      <c r="I53" s="165"/>
    </row>
    <row r="54" spans="1:14">
      <c r="G54" s="165"/>
    </row>
    <row r="55" spans="1:14" ht="14">
      <c r="A55" s="146" t="s">
        <v>30</v>
      </c>
      <c r="G55" s="165"/>
    </row>
    <row r="57" spans="1:14">
      <c r="A57" s="183" t="s">
        <v>336</v>
      </c>
      <c r="M57" s="165"/>
    </row>
    <row r="58" spans="1:14">
      <c r="A58" s="183" t="s">
        <v>505</v>
      </c>
    </row>
    <row r="59" spans="1:14" ht="14.5">
      <c r="F59" s="185">
        <v>2014</v>
      </c>
      <c r="G59" s="138">
        <v>2015</v>
      </c>
      <c r="H59" s="138">
        <v>2016</v>
      </c>
      <c r="I59" s="138">
        <v>2017</v>
      </c>
      <c r="J59" s="138">
        <v>2018</v>
      </c>
      <c r="K59" s="138">
        <v>2019</v>
      </c>
      <c r="L59" s="138">
        <v>2020</v>
      </c>
      <c r="M59" s="138">
        <v>2021</v>
      </c>
    </row>
    <row r="60" spans="1:14">
      <c r="A60" s="139" t="s">
        <v>42</v>
      </c>
      <c r="B60" s="139" t="s">
        <v>231</v>
      </c>
      <c r="C60" s="281" t="s">
        <v>1</v>
      </c>
      <c r="F60" s="178">
        <f>IF(SER&lt;F73*SERLIMIT,SER,F73*SERLIMIT)</f>
        <v>0</v>
      </c>
      <c r="G60" s="178">
        <f>IF(SER&lt;G73*SERLIMIT,SER,G73*SERLIMIT)</f>
        <v>0</v>
      </c>
      <c r="H60" s="178">
        <f t="shared" ref="H60:M60" si="14">IF(SER&lt;H73*SERLIMIT,SER,H73*SERLIMIT)</f>
        <v>0</v>
      </c>
      <c r="I60" s="178">
        <f t="shared" si="14"/>
        <v>0</v>
      </c>
      <c r="J60" s="178">
        <f t="shared" si="14"/>
        <v>0</v>
      </c>
      <c r="K60" s="178">
        <f t="shared" si="14"/>
        <v>0</v>
      </c>
      <c r="L60" s="178">
        <f t="shared" si="14"/>
        <v>0</v>
      </c>
      <c r="M60" s="178">
        <f t="shared" si="14"/>
        <v>0</v>
      </c>
      <c r="N60" s="165" t="s">
        <v>231</v>
      </c>
    </row>
    <row r="61" spans="1:14">
      <c r="A61" s="139" t="s">
        <v>43</v>
      </c>
      <c r="B61" s="139" t="s">
        <v>320</v>
      </c>
      <c r="C61" s="281" t="s">
        <v>1</v>
      </c>
      <c r="F61" s="178">
        <f t="shared" ref="F61:M61" si="15">SSS</f>
        <v>-11.039456772511999</v>
      </c>
      <c r="G61" s="178">
        <f t="shared" si="15"/>
        <v>-12.245120608279999</v>
      </c>
      <c r="H61" s="178">
        <f t="shared" si="15"/>
        <v>-11.801210897783999</v>
      </c>
      <c r="I61" s="178">
        <f t="shared" si="15"/>
        <v>-17.089219710000002</v>
      </c>
      <c r="J61" s="178">
        <f t="shared" si="15"/>
        <v>-16.543869820000001</v>
      </c>
      <c r="K61" s="178">
        <f t="shared" si="15"/>
        <v>-16.78539078</v>
      </c>
      <c r="L61" s="178">
        <f t="shared" si="15"/>
        <v>-16.394156240000001</v>
      </c>
      <c r="M61" s="178">
        <f t="shared" si="15"/>
        <v>-21.687859199999998</v>
      </c>
      <c r="N61" s="165" t="s">
        <v>320</v>
      </c>
    </row>
    <row r="62" spans="1:14">
      <c r="A62" s="139" t="s">
        <v>229</v>
      </c>
      <c r="B62" s="139" t="s">
        <v>339</v>
      </c>
      <c r="C62" s="285" t="s">
        <v>122</v>
      </c>
      <c r="F62" s="178">
        <f t="shared" ref="F62:M62" si="16">It</f>
        <v>0.5</v>
      </c>
      <c r="G62" s="164">
        <f t="shared" si="16"/>
        <v>0.5</v>
      </c>
      <c r="H62" s="164">
        <f t="shared" si="16"/>
        <v>0.5</v>
      </c>
      <c r="I62" s="164">
        <f t="shared" si="16"/>
        <v>0.34</v>
      </c>
      <c r="J62" s="164">
        <f t="shared" si="16"/>
        <v>0.35</v>
      </c>
      <c r="K62" s="164">
        <f t="shared" si="16"/>
        <v>0.67</v>
      </c>
      <c r="L62" s="164">
        <f t="shared" si="16"/>
        <v>0.72</v>
      </c>
      <c r="M62" s="164">
        <f t="shared" si="16"/>
        <v>0.1</v>
      </c>
      <c r="N62" s="165" t="s">
        <v>339</v>
      </c>
    </row>
    <row r="63" spans="1:14">
      <c r="A63" s="139" t="s">
        <v>30</v>
      </c>
      <c r="B63" s="139" t="s">
        <v>334</v>
      </c>
      <c r="C63" s="281" t="s">
        <v>1</v>
      </c>
      <c r="F63" s="627"/>
      <c r="G63" s="628"/>
      <c r="H63" s="174">
        <f>SUM(F60:F61)*(1+F62/100)*(1+G62/100)</f>
        <v>-11.150127326656428</v>
      </c>
      <c r="I63" s="174">
        <f t="shared" ref="I63:M63" si="17">SUM(G60:G61)*(1+G62/100)*(1+H62/100)</f>
        <v>-12.367877942378003</v>
      </c>
      <c r="J63" s="174">
        <f>SUM(H60:H61)*(1+H62/100)*(1+I62/100)</f>
        <v>-11.900541689910646</v>
      </c>
      <c r="K63" s="174">
        <f t="shared" si="17"/>
        <v>-17.207338687713552</v>
      </c>
      <c r="L63" s="174">
        <f t="shared" si="17"/>
        <v>-16.71300524591128</v>
      </c>
      <c r="M63" s="174">
        <f t="shared" si="17"/>
        <v>-17.019517439093228</v>
      </c>
      <c r="N63" s="165" t="s">
        <v>334</v>
      </c>
    </row>
    <row r="64" spans="1:14">
      <c r="F64" s="165"/>
      <c r="G64" s="165"/>
      <c r="H64" s="165"/>
      <c r="I64" s="165"/>
    </row>
    <row r="66" spans="1:14" ht="14">
      <c r="E66" s="197"/>
    </row>
    <row r="67" spans="1:14" ht="15">
      <c r="A67" s="392" t="s">
        <v>337</v>
      </c>
      <c r="F67" s="384" t="s">
        <v>749</v>
      </c>
    </row>
    <row r="68" spans="1:14">
      <c r="A68" s="198"/>
      <c r="M68" s="165"/>
    </row>
    <row r="69" spans="1:14">
      <c r="A69" s="198"/>
    </row>
    <row r="70" spans="1:14" ht="14.5">
      <c r="A70" s="198"/>
      <c r="F70" s="185">
        <v>2014</v>
      </c>
      <c r="G70" s="138">
        <v>2015</v>
      </c>
      <c r="H70" s="138">
        <v>2016</v>
      </c>
      <c r="I70" s="138">
        <v>2017</v>
      </c>
      <c r="J70" s="138">
        <v>2018</v>
      </c>
      <c r="K70" s="138">
        <v>2019</v>
      </c>
      <c r="L70" s="138">
        <v>2020</v>
      </c>
      <c r="M70" s="138">
        <v>2021</v>
      </c>
    </row>
    <row r="71" spans="1:14">
      <c r="A71" s="198" t="s">
        <v>223</v>
      </c>
      <c r="B71" s="139" t="s">
        <v>317</v>
      </c>
      <c r="C71" s="281" t="s">
        <v>1</v>
      </c>
      <c r="F71" s="192">
        <f t="shared" ref="F71:M71" si="18">BRt</f>
        <v>1561.072803</v>
      </c>
      <c r="G71" s="163">
        <f t="shared" si="18"/>
        <v>1733.306945</v>
      </c>
      <c r="H71" s="163">
        <f t="shared" si="18"/>
        <v>1670.1838110000001</v>
      </c>
      <c r="I71" s="163">
        <f t="shared" si="18"/>
        <v>1708.921971</v>
      </c>
      <c r="J71" s="163">
        <f t="shared" si="18"/>
        <v>1654.386982</v>
      </c>
      <c r="K71" s="163">
        <f t="shared" si="18"/>
        <v>1678.539078</v>
      </c>
      <c r="L71" s="163">
        <f t="shared" si="18"/>
        <v>1639.4156240000002</v>
      </c>
      <c r="M71" s="163">
        <f t="shared" si="18"/>
        <v>2168.7859199999998</v>
      </c>
      <c r="N71" s="165" t="s">
        <v>317</v>
      </c>
    </row>
    <row r="72" spans="1:14">
      <c r="A72" s="198" t="s">
        <v>224</v>
      </c>
      <c r="B72" s="139" t="s">
        <v>159</v>
      </c>
      <c r="C72" s="281" t="s">
        <v>1</v>
      </c>
      <c r="F72" s="192">
        <f t="shared" ref="F72:M72" si="19">TIRG</f>
        <v>15.992450216000002</v>
      </c>
      <c r="G72" s="163">
        <f t="shared" si="19"/>
        <v>15.995999039999997</v>
      </c>
      <c r="H72" s="163">
        <f t="shared" si="19"/>
        <v>15.703460112000002</v>
      </c>
      <c r="I72" s="163">
        <f t="shared" si="19"/>
        <v>0</v>
      </c>
      <c r="J72" s="163">
        <f t="shared" si="19"/>
        <v>0</v>
      </c>
      <c r="K72" s="163">
        <f t="shared" si="19"/>
        <v>0</v>
      </c>
      <c r="L72" s="163">
        <f t="shared" si="19"/>
        <v>0</v>
      </c>
      <c r="M72" s="163">
        <f t="shared" si="19"/>
        <v>0</v>
      </c>
      <c r="N72" s="165" t="s">
        <v>159</v>
      </c>
    </row>
    <row r="73" spans="1:14">
      <c r="A73" s="198"/>
      <c r="B73" s="139" t="s">
        <v>101</v>
      </c>
      <c r="C73" s="281" t="s">
        <v>1</v>
      </c>
      <c r="F73" s="215">
        <f>F71+F72</f>
        <v>1577.065253216</v>
      </c>
      <c r="G73" s="215">
        <f t="shared" ref="G73:M73" si="20">G71+G72</f>
        <v>1749.3029440400001</v>
      </c>
      <c r="H73" s="215">
        <f>H71+H72</f>
        <v>1685.887271112</v>
      </c>
      <c r="I73" s="215">
        <f t="shared" si="20"/>
        <v>1708.921971</v>
      </c>
      <c r="J73" s="215">
        <f t="shared" si="20"/>
        <v>1654.386982</v>
      </c>
      <c r="K73" s="215">
        <f t="shared" si="20"/>
        <v>1678.539078</v>
      </c>
      <c r="L73" s="215">
        <f t="shared" si="20"/>
        <v>1639.4156240000002</v>
      </c>
      <c r="M73" s="215">
        <f t="shared" si="20"/>
        <v>2168.7859199999998</v>
      </c>
      <c r="N73" s="165"/>
    </row>
    <row r="74" spans="1:14">
      <c r="A74" s="198" t="s">
        <v>225</v>
      </c>
      <c r="B74" s="139" t="s">
        <v>318</v>
      </c>
      <c r="C74" s="281" t="s">
        <v>133</v>
      </c>
      <c r="D74" s="141"/>
      <c r="E74" s="141"/>
      <c r="F74" s="192">
        <f>F95</f>
        <v>-0.01</v>
      </c>
      <c r="G74" s="192">
        <f t="shared" ref="G74:M74" si="21">G95</f>
        <v>-0.01</v>
      </c>
      <c r="H74" s="192">
        <f t="shared" si="21"/>
        <v>-0.01</v>
      </c>
      <c r="I74" s="192">
        <f t="shared" si="21"/>
        <v>-0.01</v>
      </c>
      <c r="J74" s="192">
        <f t="shared" si="21"/>
        <v>-0.01</v>
      </c>
      <c r="K74" s="192">
        <f t="shared" si="21"/>
        <v>-0.01</v>
      </c>
      <c r="L74" s="192">
        <f t="shared" si="21"/>
        <v>-0.01</v>
      </c>
      <c r="M74" s="192">
        <f t="shared" si="21"/>
        <v>-0.01</v>
      </c>
      <c r="N74" s="165" t="s">
        <v>318</v>
      </c>
    </row>
    <row r="75" spans="1:14">
      <c r="A75" s="198" t="s">
        <v>669</v>
      </c>
      <c r="B75" s="139" t="s">
        <v>253</v>
      </c>
      <c r="C75" s="281" t="s">
        <v>133</v>
      </c>
      <c r="F75" s="192">
        <f t="shared" ref="F75:M75" si="22">CSSPRO</f>
        <v>0.7</v>
      </c>
      <c r="G75" s="192">
        <f t="shared" si="22"/>
        <v>0.7</v>
      </c>
      <c r="H75" s="192">
        <f t="shared" si="22"/>
        <v>0.7</v>
      </c>
      <c r="I75" s="192">
        <f t="shared" si="22"/>
        <v>0.7</v>
      </c>
      <c r="J75" s="192">
        <f t="shared" si="22"/>
        <v>0.7</v>
      </c>
      <c r="K75" s="192">
        <f t="shared" si="22"/>
        <v>0.7</v>
      </c>
      <c r="L75" s="192">
        <f t="shared" si="22"/>
        <v>0.7</v>
      </c>
      <c r="M75" s="192">
        <f t="shared" si="22"/>
        <v>0.7</v>
      </c>
      <c r="N75" s="165" t="s">
        <v>253</v>
      </c>
    </row>
    <row r="76" spans="1:14">
      <c r="A76" s="198"/>
      <c r="B76" s="139" t="s">
        <v>228</v>
      </c>
      <c r="C76" s="281" t="s">
        <v>133</v>
      </c>
      <c r="F76" s="214">
        <f>F74*F75</f>
        <v>-6.9999999999999993E-3</v>
      </c>
      <c r="G76" s="214">
        <f t="shared" ref="G76:M76" si="23">G74*G75</f>
        <v>-6.9999999999999993E-3</v>
      </c>
      <c r="H76" s="214">
        <f t="shared" si="23"/>
        <v>-6.9999999999999993E-3</v>
      </c>
      <c r="I76" s="214">
        <f t="shared" si="23"/>
        <v>-6.9999999999999993E-3</v>
      </c>
      <c r="J76" s="214">
        <f t="shared" si="23"/>
        <v>-6.9999999999999993E-3</v>
      </c>
      <c r="K76" s="214">
        <f t="shared" si="23"/>
        <v>-6.9999999999999993E-3</v>
      </c>
      <c r="L76" s="214">
        <f t="shared" si="23"/>
        <v>-6.9999999999999993E-3</v>
      </c>
      <c r="M76" s="214">
        <f t="shared" si="23"/>
        <v>-6.9999999999999993E-3</v>
      </c>
      <c r="N76" s="165"/>
    </row>
    <row r="77" spans="1:14">
      <c r="A77" s="198" t="s">
        <v>225</v>
      </c>
      <c r="B77" s="139" t="s">
        <v>319</v>
      </c>
      <c r="C77" s="281" t="s">
        <v>133</v>
      </c>
      <c r="D77" s="141"/>
      <c r="E77" s="141"/>
      <c r="F77" s="192">
        <f>F108</f>
        <v>-0.01</v>
      </c>
      <c r="G77" s="192">
        <f t="shared" ref="G77:M77" si="24">G108</f>
        <v>-0.01</v>
      </c>
      <c r="H77" s="192">
        <f t="shared" si="24"/>
        <v>-0.01</v>
      </c>
      <c r="I77" s="192">
        <f t="shared" si="24"/>
        <v>-0.01</v>
      </c>
      <c r="J77" s="192">
        <f t="shared" si="24"/>
        <v>-0.01</v>
      </c>
      <c r="K77" s="192">
        <f t="shared" si="24"/>
        <v>-0.01</v>
      </c>
      <c r="L77" s="192">
        <f t="shared" si="24"/>
        <v>-0.01</v>
      </c>
      <c r="M77" s="192">
        <f t="shared" si="24"/>
        <v>-0.01</v>
      </c>
      <c r="N77" s="165" t="s">
        <v>319</v>
      </c>
    </row>
    <row r="78" spans="1:14">
      <c r="A78" s="198" t="s">
        <v>669</v>
      </c>
      <c r="B78" s="139" t="s">
        <v>668</v>
      </c>
      <c r="C78" s="281" t="s">
        <v>133</v>
      </c>
      <c r="F78" s="192">
        <f t="shared" ref="F78:M78" si="25">SSSPRO</f>
        <v>0</v>
      </c>
      <c r="G78" s="192">
        <f t="shared" si="25"/>
        <v>0</v>
      </c>
      <c r="H78" s="192">
        <f t="shared" si="25"/>
        <v>0</v>
      </c>
      <c r="I78" s="192">
        <f t="shared" si="25"/>
        <v>0.30000000000000004</v>
      </c>
      <c r="J78" s="192">
        <f t="shared" si="25"/>
        <v>0.30000000000000004</v>
      </c>
      <c r="K78" s="192">
        <f t="shared" si="25"/>
        <v>0.30000000000000004</v>
      </c>
      <c r="L78" s="192">
        <f t="shared" si="25"/>
        <v>0.30000000000000004</v>
      </c>
      <c r="M78" s="192">
        <f t="shared" si="25"/>
        <v>0.30000000000000004</v>
      </c>
      <c r="N78" s="165" t="s">
        <v>668</v>
      </c>
    </row>
    <row r="79" spans="1:14">
      <c r="A79" s="198"/>
      <c r="B79" s="139" t="s">
        <v>228</v>
      </c>
      <c r="C79" s="281" t="s">
        <v>133</v>
      </c>
      <c r="F79" s="214">
        <f>F77*F78</f>
        <v>0</v>
      </c>
      <c r="G79" s="214">
        <f t="shared" ref="G79:M79" si="26">G77*G78</f>
        <v>0</v>
      </c>
      <c r="H79" s="214">
        <f t="shared" si="26"/>
        <v>0</v>
      </c>
      <c r="I79" s="214">
        <f>I77*I78</f>
        <v>-3.0000000000000005E-3</v>
      </c>
      <c r="J79" s="214">
        <f t="shared" si="26"/>
        <v>-3.0000000000000005E-3</v>
      </c>
      <c r="K79" s="214">
        <f t="shared" si="26"/>
        <v>-3.0000000000000005E-3</v>
      </c>
      <c r="L79" s="214">
        <f t="shared" si="26"/>
        <v>-3.0000000000000005E-3</v>
      </c>
      <c r="M79" s="214">
        <f t="shared" si="26"/>
        <v>-3.0000000000000005E-3</v>
      </c>
    </row>
    <row r="80" spans="1:14">
      <c r="A80" s="198" t="s">
        <v>43</v>
      </c>
      <c r="B80" s="139" t="s">
        <v>320</v>
      </c>
      <c r="C80" s="281" t="s">
        <v>1</v>
      </c>
      <c r="F80" s="214">
        <f>F73*(F76+F79)</f>
        <v>-11.039456772511999</v>
      </c>
      <c r="G80" s="214">
        <f t="shared" ref="G80:M80" si="27">G73*(G76+G79)</f>
        <v>-12.245120608279999</v>
      </c>
      <c r="H80" s="214">
        <f>H73*(H76+H79)</f>
        <v>-11.801210897783999</v>
      </c>
      <c r="I80" s="214">
        <f t="shared" si="27"/>
        <v>-17.089219710000002</v>
      </c>
      <c r="J80" s="214">
        <f t="shared" si="27"/>
        <v>-16.543869820000001</v>
      </c>
      <c r="K80" s="214">
        <f>K73*(K76+K79)</f>
        <v>-16.78539078</v>
      </c>
      <c r="L80" s="214">
        <f t="shared" si="27"/>
        <v>-16.394156240000001</v>
      </c>
      <c r="M80" s="214">
        <f t="shared" si="27"/>
        <v>-21.687859199999998</v>
      </c>
      <c r="N80" s="165" t="s">
        <v>320</v>
      </c>
    </row>
    <row r="81" spans="1:14">
      <c r="C81" s="281"/>
      <c r="F81" s="165"/>
      <c r="G81" s="165"/>
      <c r="H81" s="165"/>
      <c r="I81" s="165"/>
      <c r="N81" s="165"/>
    </row>
    <row r="82" spans="1:14">
      <c r="C82" s="281"/>
      <c r="N82" s="165"/>
    </row>
    <row r="83" spans="1:14">
      <c r="A83" s="183" t="s">
        <v>226</v>
      </c>
      <c r="N83" s="165"/>
    </row>
    <row r="84" spans="1:14" s="203" customFormat="1" ht="17.5">
      <c r="A84" s="183" t="s">
        <v>456</v>
      </c>
      <c r="B84" s="198" t="s">
        <v>412</v>
      </c>
      <c r="C84" s="199"/>
      <c r="D84" s="199"/>
      <c r="E84" s="199"/>
      <c r="F84" s="198"/>
      <c r="G84" s="200" t="s">
        <v>462</v>
      </c>
      <c r="H84" s="201"/>
      <c r="I84" s="201"/>
      <c r="J84" s="201"/>
      <c r="K84" s="201"/>
      <c r="L84" s="201"/>
      <c r="M84" s="201"/>
      <c r="N84" s="202"/>
    </row>
    <row r="85" spans="1:14" s="203" customFormat="1">
      <c r="A85" s="183" t="s">
        <v>507</v>
      </c>
      <c r="B85" s="198"/>
      <c r="F85" s="201"/>
      <c r="G85" s="201"/>
      <c r="H85" s="201"/>
      <c r="I85" s="201"/>
      <c r="J85" s="201"/>
      <c r="K85" s="201"/>
      <c r="L85" s="165"/>
      <c r="M85" s="201"/>
      <c r="N85" s="202"/>
    </row>
    <row r="86" spans="1:14" s="203" customFormat="1">
      <c r="A86" s="183"/>
      <c r="B86" s="198"/>
      <c r="F86" s="201"/>
      <c r="G86" s="201"/>
      <c r="H86" s="201"/>
      <c r="I86" s="201"/>
      <c r="J86" s="201"/>
      <c r="K86" s="201"/>
      <c r="L86" s="201"/>
      <c r="M86" s="201"/>
      <c r="N86" s="202"/>
    </row>
    <row r="87" spans="1:14" s="203" customFormat="1">
      <c r="A87" s="183"/>
      <c r="B87" s="198"/>
      <c r="F87" s="201"/>
      <c r="G87" s="201"/>
      <c r="H87" s="201"/>
      <c r="I87" s="201"/>
      <c r="J87" s="201"/>
      <c r="K87" s="201"/>
      <c r="L87" s="201"/>
      <c r="M87" s="201"/>
      <c r="N87" s="202"/>
    </row>
    <row r="88" spans="1:14" s="203" customFormat="1" ht="14.5">
      <c r="A88" s="183"/>
      <c r="B88" s="198"/>
      <c r="F88" s="185">
        <v>2014</v>
      </c>
      <c r="G88" s="138">
        <v>2015</v>
      </c>
      <c r="H88" s="138">
        <v>2016</v>
      </c>
      <c r="I88" s="138">
        <v>2017</v>
      </c>
      <c r="J88" s="138">
        <v>2018</v>
      </c>
      <c r="K88" s="138">
        <v>2019</v>
      </c>
      <c r="L88" s="138">
        <v>2020</v>
      </c>
      <c r="M88" s="138">
        <v>2021</v>
      </c>
      <c r="N88" s="202"/>
    </row>
    <row r="89" spans="1:14" s="153" customFormat="1" ht="12.75" customHeight="1">
      <c r="A89" s="148" t="s">
        <v>756</v>
      </c>
      <c r="B89" s="148" t="s">
        <v>402</v>
      </c>
      <c r="C89" s="137" t="s">
        <v>475</v>
      </c>
      <c r="D89" s="156"/>
      <c r="E89" s="156"/>
      <c r="F89" s="204">
        <f t="shared" ref="F89:M89" si="28">CSST</f>
        <v>6.9</v>
      </c>
      <c r="G89" s="204">
        <f t="shared" si="28"/>
        <v>6.9</v>
      </c>
      <c r="H89" s="204">
        <f t="shared" si="28"/>
        <v>6.9</v>
      </c>
      <c r="I89" s="204">
        <f t="shared" si="28"/>
        <v>6.9</v>
      </c>
      <c r="J89" s="204">
        <f t="shared" si="28"/>
        <v>6.9</v>
      </c>
      <c r="K89" s="204">
        <f t="shared" si="28"/>
        <v>6.9</v>
      </c>
      <c r="L89" s="204">
        <f t="shared" si="28"/>
        <v>6.9</v>
      </c>
      <c r="M89" s="204">
        <f t="shared" si="28"/>
        <v>6.9</v>
      </c>
      <c r="N89" s="205" t="s">
        <v>402</v>
      </c>
    </row>
    <row r="90" spans="1:14" s="153" customFormat="1" ht="12.75" customHeight="1">
      <c r="A90" s="148" t="s">
        <v>398</v>
      </c>
      <c r="B90" s="148" t="s">
        <v>403</v>
      </c>
      <c r="C90" s="137" t="s">
        <v>475</v>
      </c>
      <c r="D90" s="156"/>
      <c r="E90" s="156"/>
      <c r="F90" s="204">
        <f t="shared" ref="F90:M90" si="29">CSSCAP</f>
        <v>8.5</v>
      </c>
      <c r="G90" s="204">
        <f t="shared" si="29"/>
        <v>8.5</v>
      </c>
      <c r="H90" s="204">
        <f t="shared" si="29"/>
        <v>8.5</v>
      </c>
      <c r="I90" s="204">
        <f t="shared" si="29"/>
        <v>8.5</v>
      </c>
      <c r="J90" s="204">
        <f t="shared" si="29"/>
        <v>8.5</v>
      </c>
      <c r="K90" s="204">
        <f t="shared" si="29"/>
        <v>8.5</v>
      </c>
      <c r="L90" s="204">
        <f t="shared" si="29"/>
        <v>8.5</v>
      </c>
      <c r="M90" s="204">
        <f t="shared" si="29"/>
        <v>8.5</v>
      </c>
      <c r="N90" s="205" t="s">
        <v>403</v>
      </c>
    </row>
    <row r="91" spans="1:14" s="153" customFormat="1" ht="12.75" customHeight="1">
      <c r="A91" s="148" t="s">
        <v>400</v>
      </c>
      <c r="B91" s="148" t="s">
        <v>405</v>
      </c>
      <c r="C91" s="137" t="s">
        <v>122</v>
      </c>
      <c r="D91" s="156"/>
      <c r="E91" s="156"/>
      <c r="F91" s="206">
        <f t="shared" ref="F91:M91" si="30">CSSUPA</f>
        <v>0.01</v>
      </c>
      <c r="G91" s="206">
        <f t="shared" si="30"/>
        <v>0.01</v>
      </c>
      <c r="H91" s="206">
        <f t="shared" si="30"/>
        <v>0.01</v>
      </c>
      <c r="I91" s="206">
        <f t="shared" si="30"/>
        <v>0.01</v>
      </c>
      <c r="J91" s="206">
        <f t="shared" si="30"/>
        <v>0.01</v>
      </c>
      <c r="K91" s="206">
        <f t="shared" si="30"/>
        <v>0.01</v>
      </c>
      <c r="L91" s="206">
        <f t="shared" si="30"/>
        <v>0.01</v>
      </c>
      <c r="M91" s="206">
        <f t="shared" si="30"/>
        <v>0.01</v>
      </c>
      <c r="N91" s="205" t="s">
        <v>405</v>
      </c>
    </row>
    <row r="92" spans="1:14" s="153" customFormat="1" ht="12.75" customHeight="1">
      <c r="A92" s="148" t="s">
        <v>399</v>
      </c>
      <c r="B92" s="148" t="s">
        <v>404</v>
      </c>
      <c r="C92" s="137" t="s">
        <v>475</v>
      </c>
      <c r="D92" s="156"/>
      <c r="E92" s="156"/>
      <c r="F92" s="204">
        <f t="shared" ref="F92:M92" si="31">CSSCOL</f>
        <v>5.3</v>
      </c>
      <c r="G92" s="204">
        <f t="shared" si="31"/>
        <v>5.3</v>
      </c>
      <c r="H92" s="204">
        <f t="shared" si="31"/>
        <v>5.3</v>
      </c>
      <c r="I92" s="204">
        <f t="shared" si="31"/>
        <v>5.3</v>
      </c>
      <c r="J92" s="204">
        <f t="shared" si="31"/>
        <v>5.3</v>
      </c>
      <c r="K92" s="204">
        <f t="shared" si="31"/>
        <v>5.3</v>
      </c>
      <c r="L92" s="204">
        <f t="shared" si="31"/>
        <v>5.3</v>
      </c>
      <c r="M92" s="204">
        <f t="shared" si="31"/>
        <v>5.3</v>
      </c>
      <c r="N92" s="205" t="s">
        <v>404</v>
      </c>
    </row>
    <row r="93" spans="1:14" s="153" customFormat="1" ht="12.75" customHeight="1">
      <c r="A93" s="148" t="s">
        <v>401</v>
      </c>
      <c r="B93" s="148" t="s">
        <v>406</v>
      </c>
      <c r="C93" s="137" t="s">
        <v>122</v>
      </c>
      <c r="D93" s="156"/>
      <c r="E93" s="156"/>
      <c r="F93" s="206">
        <f t="shared" ref="F93:M93" si="32">CSSDPA</f>
        <v>-0.01</v>
      </c>
      <c r="G93" s="206">
        <f t="shared" si="32"/>
        <v>-0.01</v>
      </c>
      <c r="H93" s="206">
        <f t="shared" si="32"/>
        <v>-0.01</v>
      </c>
      <c r="I93" s="206">
        <f t="shared" si="32"/>
        <v>-0.01</v>
      </c>
      <c r="J93" s="206">
        <f t="shared" si="32"/>
        <v>-0.01</v>
      </c>
      <c r="K93" s="206">
        <f t="shared" si="32"/>
        <v>-0.01</v>
      </c>
      <c r="L93" s="206">
        <f t="shared" si="32"/>
        <v>-0.01</v>
      </c>
      <c r="M93" s="206">
        <f t="shared" si="32"/>
        <v>-0.01</v>
      </c>
      <c r="N93" s="205" t="s">
        <v>406</v>
      </c>
    </row>
    <row r="94" spans="1:14" s="203" customFormat="1">
      <c r="A94" s="139" t="s">
        <v>413</v>
      </c>
      <c r="B94" s="148" t="s">
        <v>227</v>
      </c>
      <c r="C94" s="137" t="s">
        <v>475</v>
      </c>
      <c r="F94" s="178">
        <f>CSSP</f>
        <v>0</v>
      </c>
      <c r="G94" s="178">
        <f t="shared" ref="G94:M94" si="33">CSSP</f>
        <v>0</v>
      </c>
      <c r="H94" s="178">
        <f t="shared" si="33"/>
        <v>0</v>
      </c>
      <c r="I94" s="178">
        <f t="shared" si="33"/>
        <v>0</v>
      </c>
      <c r="J94" s="178">
        <f t="shared" si="33"/>
        <v>0</v>
      </c>
      <c r="K94" s="178">
        <f t="shared" si="33"/>
        <v>0</v>
      </c>
      <c r="L94" s="178">
        <f t="shared" si="33"/>
        <v>0</v>
      </c>
      <c r="M94" s="178">
        <f t="shared" si="33"/>
        <v>0</v>
      </c>
      <c r="N94" s="205" t="s">
        <v>227</v>
      </c>
    </row>
    <row r="95" spans="1:14">
      <c r="A95" s="137" t="s">
        <v>225</v>
      </c>
      <c r="B95" s="148" t="s">
        <v>318</v>
      </c>
      <c r="C95" s="137" t="s">
        <v>133</v>
      </c>
      <c r="F95" s="286">
        <f>IF(F94&gt;F89,MIN(F91,F91*(F94-F89)/(F90-F89)),IF(F94&lt;F89,MAX(F93,F93*(F89-F94)/(F89-F92)),0))</f>
        <v>-0.01</v>
      </c>
      <c r="G95" s="286">
        <f t="shared" ref="G95:M95" si="34">IF(G94&gt;G89,MIN(G91,G91*(G94-G89)/(G90-G89)),IF(G94&lt;G89,MAX(G93,G93*(G89-G94)/(G89-G92)),0))</f>
        <v>-0.01</v>
      </c>
      <c r="H95" s="286">
        <f>IF(H94&gt;H89,MIN(H91,H91*(H94-H89)/(H90-H89)),IF(H94&lt;H89,MAX(H93,H93*(H89-H94)/(H89-H92)),0))</f>
        <v>-0.01</v>
      </c>
      <c r="I95" s="286">
        <f t="shared" si="34"/>
        <v>-0.01</v>
      </c>
      <c r="J95" s="286">
        <f t="shared" si="34"/>
        <v>-0.01</v>
      </c>
      <c r="K95" s="286">
        <f t="shared" si="34"/>
        <v>-0.01</v>
      </c>
      <c r="L95" s="286">
        <f t="shared" si="34"/>
        <v>-0.01</v>
      </c>
      <c r="M95" s="286">
        <f t="shared" si="34"/>
        <v>-0.01</v>
      </c>
      <c r="N95" s="205" t="s">
        <v>318</v>
      </c>
    </row>
    <row r="96" spans="1:14">
      <c r="F96" s="137"/>
      <c r="G96" s="165"/>
      <c r="H96" s="165"/>
      <c r="I96" s="165"/>
      <c r="J96" s="165"/>
      <c r="K96" s="139"/>
      <c r="L96" s="139"/>
      <c r="M96" s="139"/>
    </row>
    <row r="98" spans="1:14" ht="17.5">
      <c r="A98" s="392" t="s">
        <v>457</v>
      </c>
      <c r="B98" s="139" t="s">
        <v>458</v>
      </c>
      <c r="H98" s="207" t="s">
        <v>259</v>
      </c>
    </row>
    <row r="99" spans="1:14">
      <c r="A99" s="392" t="s">
        <v>507</v>
      </c>
    </row>
    <row r="100" spans="1:14">
      <c r="A100" s="198"/>
    </row>
    <row r="101" spans="1:14" ht="14.5">
      <c r="A101" s="198"/>
      <c r="F101" s="185">
        <v>2014</v>
      </c>
      <c r="G101" s="138">
        <v>2015</v>
      </c>
      <c r="H101" s="138">
        <v>2016</v>
      </c>
      <c r="I101" s="138">
        <v>2017</v>
      </c>
      <c r="J101" s="138">
        <v>2018</v>
      </c>
      <c r="K101" s="138">
        <v>2019</v>
      </c>
      <c r="L101" s="138">
        <v>2020</v>
      </c>
      <c r="M101" s="138">
        <v>2021</v>
      </c>
      <c r="N101" s="165"/>
    </row>
    <row r="102" spans="1:14">
      <c r="A102" s="198" t="s">
        <v>757</v>
      </c>
      <c r="B102" s="148" t="s">
        <v>254</v>
      </c>
      <c r="C102" s="137" t="s">
        <v>475</v>
      </c>
      <c r="F102" s="178">
        <f t="shared" ref="F102:M102" si="35">SSST</f>
        <v>7.4</v>
      </c>
      <c r="G102" s="164">
        <f t="shared" si="35"/>
        <v>7.4</v>
      </c>
      <c r="H102" s="164">
        <f t="shared" si="35"/>
        <v>7.4</v>
      </c>
      <c r="I102" s="164">
        <f t="shared" si="35"/>
        <v>7.4</v>
      </c>
      <c r="J102" s="164">
        <f t="shared" si="35"/>
        <v>7.4</v>
      </c>
      <c r="K102" s="164">
        <f t="shared" si="35"/>
        <v>7.4</v>
      </c>
      <c r="L102" s="164">
        <f t="shared" si="35"/>
        <v>7.4</v>
      </c>
      <c r="M102" s="164">
        <f t="shared" si="35"/>
        <v>7.4</v>
      </c>
      <c r="N102" s="406" t="s">
        <v>254</v>
      </c>
    </row>
    <row r="103" spans="1:14">
      <c r="A103" s="198" t="s">
        <v>261</v>
      </c>
      <c r="B103" s="148" t="s">
        <v>255</v>
      </c>
      <c r="C103" s="137" t="s">
        <v>475</v>
      </c>
      <c r="F103" s="178">
        <f>'R4 Licence Condition Values'!F55</f>
        <v>9</v>
      </c>
      <c r="G103" s="164">
        <f t="shared" ref="G103:M103" si="36">SSSCAP</f>
        <v>9</v>
      </c>
      <c r="H103" s="164">
        <f t="shared" si="36"/>
        <v>9</v>
      </c>
      <c r="I103" s="164">
        <f t="shared" si="36"/>
        <v>9</v>
      </c>
      <c r="J103" s="164">
        <f t="shared" si="36"/>
        <v>9</v>
      </c>
      <c r="K103" s="164">
        <f t="shared" si="36"/>
        <v>9</v>
      </c>
      <c r="L103" s="164">
        <f t="shared" si="36"/>
        <v>9</v>
      </c>
      <c r="M103" s="164">
        <f t="shared" si="36"/>
        <v>9</v>
      </c>
      <c r="N103" s="406" t="s">
        <v>255</v>
      </c>
    </row>
    <row r="104" spans="1:14">
      <c r="A104" s="198" t="s">
        <v>263</v>
      </c>
      <c r="B104" s="139" t="s">
        <v>256</v>
      </c>
      <c r="C104" s="137" t="s">
        <v>122</v>
      </c>
      <c r="F104" s="208">
        <f>'R4 Licence Condition Values'!F57</f>
        <v>0.01</v>
      </c>
      <c r="G104" s="209">
        <f t="shared" ref="G104:M104" si="37">SSSUPA</f>
        <v>0.01</v>
      </c>
      <c r="H104" s="209">
        <f t="shared" si="37"/>
        <v>0.01</v>
      </c>
      <c r="I104" s="209">
        <f t="shared" si="37"/>
        <v>0.01</v>
      </c>
      <c r="J104" s="209">
        <f t="shared" si="37"/>
        <v>0.01</v>
      </c>
      <c r="K104" s="209">
        <f t="shared" si="37"/>
        <v>0.01</v>
      </c>
      <c r="L104" s="209">
        <f t="shared" si="37"/>
        <v>0.01</v>
      </c>
      <c r="M104" s="209">
        <f t="shared" si="37"/>
        <v>0.01</v>
      </c>
      <c r="N104" s="406" t="s">
        <v>256</v>
      </c>
    </row>
    <row r="105" spans="1:14">
      <c r="A105" s="198" t="s">
        <v>262</v>
      </c>
      <c r="B105" s="148" t="s">
        <v>257</v>
      </c>
      <c r="C105" s="137" t="s">
        <v>475</v>
      </c>
      <c r="F105" s="178">
        <f>'R4 Licence Condition Values'!F56</f>
        <v>5.8</v>
      </c>
      <c r="G105" s="164">
        <f t="shared" ref="G105:M105" si="38">SSSCOL</f>
        <v>5.8</v>
      </c>
      <c r="H105" s="164">
        <f t="shared" si="38"/>
        <v>5.8</v>
      </c>
      <c r="I105" s="164">
        <f t="shared" si="38"/>
        <v>5.8</v>
      </c>
      <c r="J105" s="164">
        <f t="shared" si="38"/>
        <v>5.8</v>
      </c>
      <c r="K105" s="164">
        <f t="shared" si="38"/>
        <v>5.8</v>
      </c>
      <c r="L105" s="164">
        <f t="shared" si="38"/>
        <v>5.8</v>
      </c>
      <c r="M105" s="164">
        <f t="shared" si="38"/>
        <v>5.8</v>
      </c>
      <c r="N105" s="406" t="s">
        <v>257</v>
      </c>
    </row>
    <row r="106" spans="1:14">
      <c r="A106" s="198" t="s">
        <v>264</v>
      </c>
      <c r="B106" s="148" t="s">
        <v>258</v>
      </c>
      <c r="C106" s="137" t="s">
        <v>122</v>
      </c>
      <c r="F106" s="208">
        <f>'R4 Licence Condition Values'!F58</f>
        <v>-0.01</v>
      </c>
      <c r="G106" s="209">
        <f t="shared" ref="G106:M106" si="39">SSSDPA</f>
        <v>-0.01</v>
      </c>
      <c r="H106" s="209">
        <f t="shared" si="39"/>
        <v>-0.01</v>
      </c>
      <c r="I106" s="209">
        <f t="shared" si="39"/>
        <v>-0.01</v>
      </c>
      <c r="J106" s="209">
        <f t="shared" si="39"/>
        <v>-0.01</v>
      </c>
      <c r="K106" s="209">
        <f t="shared" si="39"/>
        <v>-0.01</v>
      </c>
      <c r="L106" s="209">
        <f t="shared" si="39"/>
        <v>-0.01</v>
      </c>
      <c r="M106" s="209">
        <f t="shared" si="39"/>
        <v>-0.01</v>
      </c>
      <c r="N106" s="406" t="s">
        <v>258</v>
      </c>
    </row>
    <row r="107" spans="1:14">
      <c r="A107" s="198" t="s">
        <v>266</v>
      </c>
      <c r="B107" s="148" t="s">
        <v>265</v>
      </c>
      <c r="C107" s="137" t="s">
        <v>475</v>
      </c>
      <c r="F107" s="178">
        <f t="shared" ref="F107:M107" si="40">SSSP</f>
        <v>0</v>
      </c>
      <c r="G107" s="164">
        <f t="shared" si="40"/>
        <v>0</v>
      </c>
      <c r="H107" s="164">
        <f t="shared" si="40"/>
        <v>0</v>
      </c>
      <c r="I107" s="164">
        <f t="shared" si="40"/>
        <v>0</v>
      </c>
      <c r="J107" s="164">
        <f t="shared" si="40"/>
        <v>0</v>
      </c>
      <c r="K107" s="164">
        <f t="shared" si="40"/>
        <v>0</v>
      </c>
      <c r="L107" s="164">
        <f t="shared" si="40"/>
        <v>0</v>
      </c>
      <c r="M107" s="164">
        <f t="shared" si="40"/>
        <v>0</v>
      </c>
      <c r="N107" s="406" t="s">
        <v>265</v>
      </c>
    </row>
    <row r="108" spans="1:14" s="141" customFormat="1">
      <c r="A108" s="402" t="s">
        <v>225</v>
      </c>
      <c r="B108" s="148" t="s">
        <v>319</v>
      </c>
      <c r="C108" s="137" t="s">
        <v>133</v>
      </c>
      <c r="F108" s="286">
        <f t="shared" ref="F108:H108" si="41">IF(F107&gt;F102,MIN(F104,F104*(F107-F102)/(F103-F102)),IF(F107&lt;F102,MAX(F106,F106*(F102-F107)/(F102-F105)),0))</f>
        <v>-0.01</v>
      </c>
      <c r="G108" s="286">
        <f t="shared" si="41"/>
        <v>-0.01</v>
      </c>
      <c r="H108" s="286">
        <f t="shared" si="41"/>
        <v>-0.01</v>
      </c>
      <c r="I108" s="286">
        <f t="shared" ref="I108:M108" si="42">IF(I107&gt;I102,MIN(I104,I104*(I107-I102)/(I103-I102)),IF(I107&lt;I102,MAX(I106,I106*(I102-I107)/(I102-I105)),0))</f>
        <v>-0.01</v>
      </c>
      <c r="J108" s="286">
        <f>IF(J107&gt;J102,MIN(J104,J104*(J107-J102)/(J103-J102)),IF(J107&lt;J102,MAX(J106,J106*(J102-J107)/(J102-J105)),0))</f>
        <v>-0.01</v>
      </c>
      <c r="K108" s="286">
        <f t="shared" si="42"/>
        <v>-0.01</v>
      </c>
      <c r="L108" s="286">
        <f t="shared" si="42"/>
        <v>-0.01</v>
      </c>
      <c r="M108" s="286">
        <f t="shared" si="42"/>
        <v>-0.01</v>
      </c>
      <c r="N108" s="165" t="s">
        <v>319</v>
      </c>
    </row>
    <row r="109" spans="1:14">
      <c r="A109" s="198"/>
      <c r="F109" s="137"/>
      <c r="G109" s="165"/>
      <c r="H109" s="165"/>
      <c r="I109" s="165"/>
      <c r="J109" s="165"/>
    </row>
    <row r="110" spans="1:14">
      <c r="A110" s="198"/>
      <c r="F110" s="137"/>
    </row>
    <row r="112" spans="1:14" ht="14">
      <c r="A112" s="146" t="s">
        <v>232</v>
      </c>
    </row>
    <row r="113" spans="1:14">
      <c r="A113" s="183"/>
    </row>
    <row r="114" spans="1:14" ht="17.5">
      <c r="A114" s="183" t="s">
        <v>44</v>
      </c>
      <c r="F114" s="210" t="s">
        <v>461</v>
      </c>
      <c r="N114" s="165"/>
    </row>
    <row r="115" spans="1:14" ht="14.5">
      <c r="A115" s="183" t="s">
        <v>508</v>
      </c>
      <c r="F115" s="185">
        <v>2014</v>
      </c>
      <c r="G115" s="138">
        <v>2015</v>
      </c>
      <c r="H115" s="138">
        <v>2016</v>
      </c>
      <c r="I115" s="138">
        <v>2017</v>
      </c>
      <c r="J115" s="138">
        <v>2018</v>
      </c>
      <c r="K115" s="138">
        <v>2019</v>
      </c>
      <c r="L115" s="138">
        <v>2020</v>
      </c>
      <c r="M115" s="138">
        <v>2021</v>
      </c>
    </row>
    <row r="116" spans="1:14">
      <c r="A116" s="139" t="s">
        <v>46</v>
      </c>
      <c r="B116" s="139" t="s">
        <v>316</v>
      </c>
      <c r="C116" s="137" t="s">
        <v>509</v>
      </c>
      <c r="F116" s="178">
        <f t="shared" ref="F116:M116" si="43">F153</f>
        <v>0</v>
      </c>
      <c r="G116" s="178">
        <f t="shared" si="43"/>
        <v>0</v>
      </c>
      <c r="H116" s="178">
        <f t="shared" si="43"/>
        <v>0</v>
      </c>
      <c r="I116" s="309">
        <f t="shared" si="43"/>
        <v>0</v>
      </c>
      <c r="J116" s="309">
        <f t="shared" si="43"/>
        <v>0</v>
      </c>
      <c r="K116" s="309">
        <f t="shared" si="43"/>
        <v>0</v>
      </c>
      <c r="L116" s="309">
        <f t="shared" si="43"/>
        <v>0</v>
      </c>
      <c r="M116" s="309">
        <f t="shared" si="43"/>
        <v>0</v>
      </c>
      <c r="N116" s="165" t="s">
        <v>316</v>
      </c>
    </row>
    <row r="117" spans="1:14">
      <c r="A117" s="139" t="s">
        <v>47</v>
      </c>
      <c r="B117" s="139" t="s">
        <v>247</v>
      </c>
      <c r="C117" s="137" t="s">
        <v>509</v>
      </c>
      <c r="F117" s="374">
        <f t="shared" ref="F117:M117" si="44">ALE</f>
        <v>0</v>
      </c>
      <c r="G117" s="374">
        <f t="shared" si="44"/>
        <v>0</v>
      </c>
      <c r="H117" s="374">
        <f t="shared" si="44"/>
        <v>0</v>
      </c>
      <c r="I117" s="178">
        <f t="shared" si="44"/>
        <v>0</v>
      </c>
      <c r="J117" s="178">
        <f t="shared" si="44"/>
        <v>0</v>
      </c>
      <c r="K117" s="178">
        <f t="shared" si="44"/>
        <v>0</v>
      </c>
      <c r="L117" s="178">
        <f t="shared" si="44"/>
        <v>0</v>
      </c>
      <c r="M117" s="178">
        <f t="shared" si="44"/>
        <v>0</v>
      </c>
      <c r="N117" s="165" t="s">
        <v>247</v>
      </c>
    </row>
    <row r="118" spans="1:14">
      <c r="A118" s="139" t="s">
        <v>48</v>
      </c>
      <c r="B118" s="139" t="s">
        <v>45</v>
      </c>
      <c r="C118" s="137" t="s">
        <v>133</v>
      </c>
      <c r="F118" s="186">
        <f t="shared" ref="F118:M118" si="45">CF</f>
        <v>23.9</v>
      </c>
      <c r="G118" s="186">
        <f t="shared" si="45"/>
        <v>23.9</v>
      </c>
      <c r="H118" s="186">
        <f t="shared" si="45"/>
        <v>23.9</v>
      </c>
      <c r="I118" s="186">
        <f t="shared" si="45"/>
        <v>23.9</v>
      </c>
      <c r="J118" s="186">
        <f t="shared" si="45"/>
        <v>23.9</v>
      </c>
      <c r="K118" s="186">
        <f t="shared" si="45"/>
        <v>23.9</v>
      </c>
      <c r="L118" s="186">
        <f t="shared" si="45"/>
        <v>23.9</v>
      </c>
      <c r="M118" s="186">
        <f t="shared" si="45"/>
        <v>23.9</v>
      </c>
      <c r="N118" s="202" t="s">
        <v>45</v>
      </c>
    </row>
    <row r="119" spans="1:14">
      <c r="A119" s="139" t="s">
        <v>49</v>
      </c>
      <c r="B119" s="139" t="s">
        <v>248</v>
      </c>
      <c r="C119" s="137" t="s">
        <v>531</v>
      </c>
      <c r="F119" s="439">
        <f t="shared" ref="F119:M119" si="46">NTPC/1000000</f>
        <v>5.0000000000000002E-5</v>
      </c>
      <c r="G119" s="439">
        <f t="shared" si="46"/>
        <v>5.1E-5</v>
      </c>
      <c r="H119" s="439">
        <f t="shared" si="46"/>
        <v>5.1999999999999997E-5</v>
      </c>
      <c r="I119" s="439">
        <f t="shared" si="46"/>
        <v>5.3000000000000001E-5</v>
      </c>
      <c r="J119" s="439">
        <f t="shared" si="46"/>
        <v>5.3999999999999998E-5</v>
      </c>
      <c r="K119" s="439">
        <f t="shared" si="46"/>
        <v>5.5000000000000002E-5</v>
      </c>
      <c r="L119" s="439">
        <f t="shared" si="46"/>
        <v>5.5999999999999999E-5</v>
      </c>
      <c r="M119" s="439">
        <f t="shared" si="46"/>
        <v>5.7000000000000003E-5</v>
      </c>
      <c r="N119" s="165" t="s">
        <v>248</v>
      </c>
    </row>
    <row r="120" spans="1:14">
      <c r="A120" s="139" t="s">
        <v>240</v>
      </c>
      <c r="B120" s="139" t="s">
        <v>233</v>
      </c>
      <c r="C120" s="137" t="s">
        <v>122</v>
      </c>
      <c r="F120" s="178">
        <f t="shared" ref="F120:M120" si="47">PTIS</f>
        <v>0.60896103896103893</v>
      </c>
      <c r="G120" s="178">
        <f t="shared" si="47"/>
        <v>0.59354430379746825</v>
      </c>
      <c r="H120" s="178">
        <f t="shared" si="47"/>
        <v>0.5861249999999999</v>
      </c>
      <c r="I120" s="178">
        <f t="shared" si="47"/>
        <v>0.5861249999999999</v>
      </c>
      <c r="J120" s="178">
        <f t="shared" si="47"/>
        <v>0.57888888888888879</v>
      </c>
      <c r="K120" s="178">
        <f t="shared" si="47"/>
        <v>0.57888888888888879</v>
      </c>
      <c r="L120" s="178">
        <f t="shared" si="47"/>
        <v>0.57888888888888879</v>
      </c>
      <c r="M120" s="178">
        <f t="shared" si="47"/>
        <v>0.57888888888888879</v>
      </c>
      <c r="N120" s="165" t="s">
        <v>233</v>
      </c>
    </row>
    <row r="121" spans="1:14">
      <c r="A121" s="139" t="s">
        <v>211</v>
      </c>
      <c r="B121" s="139" t="s">
        <v>146</v>
      </c>
      <c r="C121" s="137" t="s">
        <v>133</v>
      </c>
      <c r="F121" s="405">
        <f t="shared" ref="F121:M121" si="48">PVF</f>
        <v>1.04552</v>
      </c>
      <c r="G121" s="405">
        <f t="shared" si="48"/>
        <v>1.0443199999999999</v>
      </c>
      <c r="H121" s="405">
        <f t="shared" si="48"/>
        <v>1.0432999999999999</v>
      </c>
      <c r="I121" s="405">
        <f t="shared" si="48"/>
        <v>1.0422800000000001</v>
      </c>
      <c r="J121" s="405">
        <f t="shared" si="48"/>
        <v>1.04132</v>
      </c>
      <c r="K121" s="405">
        <f t="shared" si="48"/>
        <v>1.0394600000000001</v>
      </c>
      <c r="L121" s="405">
        <f t="shared" si="48"/>
        <v>1.03748</v>
      </c>
      <c r="M121" s="164">
        <f t="shared" si="48"/>
        <v>1.03454</v>
      </c>
      <c r="N121" s="165" t="s">
        <v>146</v>
      </c>
    </row>
    <row r="122" spans="1:14">
      <c r="A122" s="139" t="s">
        <v>234</v>
      </c>
      <c r="B122" s="139" t="s">
        <v>132</v>
      </c>
      <c r="C122" s="137" t="s">
        <v>500</v>
      </c>
      <c r="F122" s="178">
        <f t="shared" ref="F122:M122" si="49">RPIF</f>
        <v>1.163</v>
      </c>
      <c r="G122" s="164">
        <f t="shared" si="49"/>
        <v>1.2050000000000001</v>
      </c>
      <c r="H122" s="365">
        <f>RPIF</f>
        <v>1.2270000000000001</v>
      </c>
      <c r="I122" s="433">
        <f t="shared" si="49"/>
        <v>1.2330000000000001</v>
      </c>
      <c r="J122" s="164">
        <f t="shared" si="49"/>
        <v>1.2709999999999999</v>
      </c>
      <c r="K122" s="164">
        <f t="shared" si="49"/>
        <v>1.3140000000000001</v>
      </c>
      <c r="L122" s="164">
        <f t="shared" si="49"/>
        <v>1.3580000000000001</v>
      </c>
      <c r="M122" s="164">
        <f t="shared" si="49"/>
        <v>1.38</v>
      </c>
      <c r="N122" s="165" t="s">
        <v>132</v>
      </c>
    </row>
    <row r="123" spans="1:14" ht="15.5">
      <c r="A123" s="139" t="s">
        <v>459</v>
      </c>
      <c r="B123" s="139" t="s">
        <v>250</v>
      </c>
      <c r="C123" s="141"/>
      <c r="D123" s="141"/>
      <c r="E123" s="141"/>
      <c r="F123" s="629"/>
      <c r="G123" s="630"/>
      <c r="H123" s="214">
        <f>(F116-F117)*F118*F119*F120*F121*G121*H122</f>
        <v>0</v>
      </c>
      <c r="I123" s="214">
        <f>(G116-G117)*G118*G119*G120*G121*H121*I122</f>
        <v>0</v>
      </c>
      <c r="J123" s="214">
        <f>(H116-H117)*H118*H119*H120*H121*I121*J122</f>
        <v>0</v>
      </c>
      <c r="K123" s="214">
        <f t="shared" ref="K123:M123" si="50">(I116-I117)*I118*I119*I120*I121*J121*K122</f>
        <v>0</v>
      </c>
      <c r="L123" s="214">
        <f t="shared" si="50"/>
        <v>0</v>
      </c>
      <c r="M123" s="214">
        <f t="shared" si="50"/>
        <v>0</v>
      </c>
      <c r="N123" s="165" t="s">
        <v>250</v>
      </c>
    </row>
    <row r="124" spans="1:14">
      <c r="F124" s="165"/>
      <c r="G124" s="165"/>
      <c r="H124" s="165"/>
      <c r="I124" s="406"/>
      <c r="J124" s="406"/>
      <c r="K124" s="406"/>
      <c r="L124" s="406"/>
      <c r="M124" s="406"/>
      <c r="N124" s="165"/>
    </row>
    <row r="125" spans="1:14" ht="17.25" customHeight="1">
      <c r="N125" s="165"/>
    </row>
    <row r="126" spans="1:14">
      <c r="A126" s="183" t="s">
        <v>235</v>
      </c>
      <c r="F126" s="211"/>
      <c r="I126" s="165"/>
    </row>
    <row r="127" spans="1:14">
      <c r="A127" s="183" t="s">
        <v>510</v>
      </c>
      <c r="F127" s="137"/>
    </row>
    <row r="128" spans="1:14" ht="14.5">
      <c r="F128" s="185">
        <v>2014</v>
      </c>
      <c r="G128" s="138">
        <v>2015</v>
      </c>
      <c r="H128" s="138">
        <v>2016</v>
      </c>
      <c r="I128" s="138">
        <v>2017</v>
      </c>
      <c r="J128" s="138">
        <v>2018</v>
      </c>
      <c r="K128" s="138">
        <v>2019</v>
      </c>
      <c r="L128" s="138">
        <v>2020</v>
      </c>
      <c r="M128" s="138">
        <v>2021</v>
      </c>
    </row>
    <row r="129" spans="1:14">
      <c r="A129" s="139" t="s">
        <v>237</v>
      </c>
      <c r="B129" s="139" t="s">
        <v>236</v>
      </c>
      <c r="C129" s="285" t="s">
        <v>122</v>
      </c>
      <c r="F129" s="208">
        <f t="shared" ref="F129:M129" si="51">TIS</f>
        <v>0.46889999999999998</v>
      </c>
      <c r="G129" s="209">
        <f t="shared" si="51"/>
        <v>0.46889999999999998</v>
      </c>
      <c r="H129" s="209">
        <f t="shared" si="51"/>
        <v>0.46889999999999998</v>
      </c>
      <c r="I129" s="209">
        <f t="shared" si="51"/>
        <v>0.46889999999999998</v>
      </c>
      <c r="J129" s="209">
        <f t="shared" si="51"/>
        <v>0.46889999999999998</v>
      </c>
      <c r="K129" s="209">
        <f t="shared" si="51"/>
        <v>0.46889999999999998</v>
      </c>
      <c r="L129" s="209">
        <f t="shared" si="51"/>
        <v>0.46889999999999998</v>
      </c>
      <c r="M129" s="209">
        <f t="shared" si="51"/>
        <v>0.46889999999999998</v>
      </c>
      <c r="N129" s="165" t="s">
        <v>236</v>
      </c>
    </row>
    <row r="130" spans="1:14">
      <c r="A130" s="139" t="s">
        <v>239</v>
      </c>
      <c r="B130" s="139" t="s">
        <v>238</v>
      </c>
      <c r="C130" s="285" t="s">
        <v>122</v>
      </c>
      <c r="F130" s="178">
        <f t="shared" ref="F130:M130" si="52">TR</f>
        <v>0.23</v>
      </c>
      <c r="G130" s="164">
        <f t="shared" si="52"/>
        <v>0.21</v>
      </c>
      <c r="H130" s="164">
        <f t="shared" si="52"/>
        <v>0.2</v>
      </c>
      <c r="I130" s="164">
        <f t="shared" si="52"/>
        <v>0.2</v>
      </c>
      <c r="J130" s="164">
        <f t="shared" si="52"/>
        <v>0.19</v>
      </c>
      <c r="K130" s="164">
        <f t="shared" si="52"/>
        <v>0.19</v>
      </c>
      <c r="L130" s="164">
        <f t="shared" si="52"/>
        <v>0.19</v>
      </c>
      <c r="M130" s="164">
        <f t="shared" si="52"/>
        <v>0.19</v>
      </c>
      <c r="N130" s="165" t="s">
        <v>238</v>
      </c>
    </row>
    <row r="131" spans="1:14">
      <c r="A131" s="139" t="s">
        <v>331</v>
      </c>
      <c r="B131" s="139" t="s">
        <v>233</v>
      </c>
      <c r="C131" s="285" t="s">
        <v>122</v>
      </c>
      <c r="F131" s="214">
        <f t="shared" ref="F131:M131" si="53">F129/(1-F130)</f>
        <v>0.60896103896103893</v>
      </c>
      <c r="G131" s="214">
        <f t="shared" si="53"/>
        <v>0.59354430379746825</v>
      </c>
      <c r="H131" s="214">
        <f>H129/(1-H130)</f>
        <v>0.5861249999999999</v>
      </c>
      <c r="I131" s="214">
        <f t="shared" si="53"/>
        <v>0.5861249999999999</v>
      </c>
      <c r="J131" s="214">
        <f t="shared" si="53"/>
        <v>0.57888888888888879</v>
      </c>
      <c r="K131" s="214">
        <f t="shared" si="53"/>
        <v>0.57888888888888879</v>
      </c>
      <c r="L131" s="214">
        <f t="shared" si="53"/>
        <v>0.57888888888888879</v>
      </c>
      <c r="M131" s="214">
        <f t="shared" si="53"/>
        <v>0.57888888888888879</v>
      </c>
      <c r="N131" s="165" t="s">
        <v>233</v>
      </c>
    </row>
    <row r="132" spans="1:14">
      <c r="F132" s="165"/>
      <c r="G132" s="165"/>
      <c r="H132" s="165"/>
      <c r="I132" s="165"/>
    </row>
    <row r="136" spans="1:14" ht="17.5">
      <c r="A136" s="183" t="s">
        <v>460</v>
      </c>
      <c r="F136" s="212" t="s">
        <v>267</v>
      </c>
      <c r="K136" s="165"/>
    </row>
    <row r="137" spans="1:14" ht="14.5">
      <c r="A137" s="183" t="s">
        <v>511</v>
      </c>
      <c r="F137" s="185">
        <v>2014</v>
      </c>
      <c r="G137" s="138">
        <v>2015</v>
      </c>
      <c r="H137" s="138">
        <v>2016</v>
      </c>
      <c r="I137" s="138">
        <v>2017</v>
      </c>
      <c r="J137" s="138">
        <v>2018</v>
      </c>
      <c r="K137" s="138">
        <v>2019</v>
      </c>
      <c r="L137" s="138">
        <v>2020</v>
      </c>
      <c r="M137" s="138">
        <v>2021</v>
      </c>
    </row>
    <row r="138" spans="1:14">
      <c r="A138" s="139" t="s">
        <v>269</v>
      </c>
      <c r="B138" s="139" t="s">
        <v>268</v>
      </c>
      <c r="C138" s="281" t="s">
        <v>1</v>
      </c>
      <c r="F138" s="178">
        <f t="shared" ref="F138:M138" si="54">EDRO</f>
        <v>0</v>
      </c>
      <c r="G138" s="164">
        <f t="shared" si="54"/>
        <v>0</v>
      </c>
      <c r="H138" s="164">
        <f t="shared" si="54"/>
        <v>0</v>
      </c>
      <c r="I138" s="164">
        <f t="shared" si="54"/>
        <v>0</v>
      </c>
      <c r="J138" s="164">
        <f t="shared" si="54"/>
        <v>0</v>
      </c>
      <c r="K138" s="164">
        <f t="shared" si="54"/>
        <v>0</v>
      </c>
      <c r="L138" s="164">
        <f t="shared" si="54"/>
        <v>0</v>
      </c>
      <c r="M138" s="164">
        <f t="shared" si="54"/>
        <v>0</v>
      </c>
      <c r="N138" s="165" t="s">
        <v>268</v>
      </c>
    </row>
    <row r="139" spans="1:14">
      <c r="A139" s="139" t="s">
        <v>229</v>
      </c>
      <c r="B139" s="139" t="s">
        <v>339</v>
      </c>
      <c r="C139" s="281" t="s">
        <v>122</v>
      </c>
      <c r="F139" s="178">
        <f t="shared" ref="F139:M139" si="55">It</f>
        <v>0.5</v>
      </c>
      <c r="G139" s="164">
        <f t="shared" si="55"/>
        <v>0.5</v>
      </c>
      <c r="H139" s="164">
        <f t="shared" si="55"/>
        <v>0.5</v>
      </c>
      <c r="I139" s="164">
        <f t="shared" si="55"/>
        <v>0.34</v>
      </c>
      <c r="J139" s="164">
        <f t="shared" si="55"/>
        <v>0.35</v>
      </c>
      <c r="K139" s="164">
        <f t="shared" si="55"/>
        <v>0.67</v>
      </c>
      <c r="L139" s="164">
        <f t="shared" si="55"/>
        <v>0.72</v>
      </c>
      <c r="M139" s="164">
        <f t="shared" si="55"/>
        <v>0.1</v>
      </c>
      <c r="N139" s="165" t="s">
        <v>339</v>
      </c>
    </row>
    <row r="140" spans="1:14">
      <c r="A140" s="139" t="s">
        <v>31</v>
      </c>
      <c r="B140" s="139" t="s">
        <v>335</v>
      </c>
      <c r="C140" s="281" t="s">
        <v>1</v>
      </c>
      <c r="H140" s="174">
        <f>F138*(1+F139/100)*(1+G139/100)</f>
        <v>0</v>
      </c>
      <c r="I140" s="174">
        <f t="shared" ref="I140:M140" si="56">G138*(1+G139/100)*(1+H139/100)</f>
        <v>0</v>
      </c>
      <c r="J140" s="174">
        <f t="shared" si="56"/>
        <v>0</v>
      </c>
      <c r="K140" s="174">
        <f t="shared" si="56"/>
        <v>0</v>
      </c>
      <c r="L140" s="174">
        <f t="shared" si="56"/>
        <v>0</v>
      </c>
      <c r="M140" s="174">
        <f t="shared" si="56"/>
        <v>0</v>
      </c>
      <c r="N140" s="165" t="s">
        <v>335</v>
      </c>
    </row>
    <row r="141" spans="1:14">
      <c r="F141" s="165"/>
      <c r="G141" s="165"/>
      <c r="H141" s="165"/>
      <c r="I141" s="165"/>
    </row>
    <row r="143" spans="1:14" ht="14.5">
      <c r="A143" s="183" t="s">
        <v>409</v>
      </c>
      <c r="F143" s="137"/>
      <c r="I143" s="213"/>
      <c r="J143" s="213"/>
      <c r="K143" s="213"/>
      <c r="L143" s="213"/>
      <c r="M143" s="213"/>
    </row>
    <row r="144" spans="1:14">
      <c r="A144" s="183" t="s">
        <v>512</v>
      </c>
      <c r="C144" s="285"/>
      <c r="D144" s="139"/>
      <c r="E144" s="139" t="s">
        <v>410</v>
      </c>
      <c r="G144" s="139" t="s">
        <v>513</v>
      </c>
    </row>
    <row r="145" spans="1:15">
      <c r="A145" s="137"/>
      <c r="C145" s="285"/>
      <c r="D145" s="139"/>
      <c r="E145" s="139" t="s">
        <v>463</v>
      </c>
      <c r="G145" s="141"/>
      <c r="H145" s="165"/>
    </row>
    <row r="146" spans="1:15" ht="14.5">
      <c r="C146" s="285"/>
      <c r="D146" s="139"/>
      <c r="E146" s="139"/>
      <c r="F146" s="185">
        <v>2014</v>
      </c>
      <c r="G146" s="138">
        <v>2015</v>
      </c>
      <c r="H146" s="138">
        <v>2016</v>
      </c>
      <c r="I146" s="138">
        <v>2017</v>
      </c>
      <c r="J146" s="138">
        <v>2018</v>
      </c>
      <c r="K146" s="138">
        <v>2019</v>
      </c>
      <c r="L146" s="138">
        <v>2020</v>
      </c>
      <c r="M146" s="138">
        <v>2021</v>
      </c>
    </row>
    <row r="147" spans="1:15">
      <c r="A147" s="139" t="s">
        <v>664</v>
      </c>
      <c r="B147" s="271"/>
      <c r="C147" s="285" t="s">
        <v>487</v>
      </c>
      <c r="D147" s="139"/>
      <c r="E147" s="139"/>
      <c r="F147" s="359"/>
      <c r="G147" s="359">
        <f>F150</f>
        <v>0</v>
      </c>
      <c r="H147" s="359">
        <f t="shared" ref="H147:M147" si="57">G150</f>
        <v>0</v>
      </c>
      <c r="I147" s="359">
        <f t="shared" si="57"/>
        <v>0</v>
      </c>
      <c r="J147" s="359">
        <f t="shared" si="57"/>
        <v>0</v>
      </c>
      <c r="K147" s="359">
        <f t="shared" si="57"/>
        <v>0</v>
      </c>
      <c r="L147" s="359">
        <f t="shared" si="57"/>
        <v>0</v>
      </c>
      <c r="M147" s="359">
        <f t="shared" si="57"/>
        <v>0</v>
      </c>
      <c r="N147" s="165"/>
    </row>
    <row r="148" spans="1:15">
      <c r="A148" s="139" t="s">
        <v>665</v>
      </c>
      <c r="B148" s="358" t="s">
        <v>661</v>
      </c>
      <c r="C148" s="285" t="s">
        <v>487</v>
      </c>
      <c r="D148" s="139"/>
      <c r="E148" s="139"/>
      <c r="F148" s="360">
        <f t="shared" ref="F148" si="58">FYADD</f>
        <v>0</v>
      </c>
      <c r="G148" s="360">
        <f t="shared" ref="G148:M148" si="59">FYADD</f>
        <v>0</v>
      </c>
      <c r="H148" s="360">
        <f t="shared" si="59"/>
        <v>0</v>
      </c>
      <c r="I148" s="360">
        <f t="shared" si="59"/>
        <v>0</v>
      </c>
      <c r="J148" s="360">
        <f t="shared" si="59"/>
        <v>0</v>
      </c>
      <c r="K148" s="360">
        <f t="shared" si="59"/>
        <v>0</v>
      </c>
      <c r="L148" s="360">
        <f t="shared" si="59"/>
        <v>0</v>
      </c>
      <c r="M148" s="360">
        <f t="shared" si="59"/>
        <v>0</v>
      </c>
      <c r="N148" s="165" t="s">
        <v>661</v>
      </c>
    </row>
    <row r="149" spans="1:15">
      <c r="A149" s="139" t="s">
        <v>666</v>
      </c>
      <c r="B149" s="358" t="s">
        <v>663</v>
      </c>
      <c r="C149" s="285" t="s">
        <v>487</v>
      </c>
      <c r="D149" s="139"/>
      <c r="E149" s="139"/>
      <c r="F149" s="360">
        <f t="shared" ref="F149" si="60">FYDSP</f>
        <v>0</v>
      </c>
      <c r="G149" s="360">
        <f t="shared" ref="G149:M149" si="61">FYDSP</f>
        <v>0</v>
      </c>
      <c r="H149" s="360">
        <f t="shared" si="61"/>
        <v>0</v>
      </c>
      <c r="I149" s="360">
        <f t="shared" si="61"/>
        <v>0</v>
      </c>
      <c r="J149" s="360">
        <f t="shared" si="61"/>
        <v>0</v>
      </c>
      <c r="K149" s="360">
        <f t="shared" si="61"/>
        <v>0</v>
      </c>
      <c r="L149" s="360">
        <f t="shared" si="61"/>
        <v>0</v>
      </c>
      <c r="M149" s="360">
        <f t="shared" si="61"/>
        <v>0</v>
      </c>
      <c r="N149" s="165" t="s">
        <v>663</v>
      </c>
    </row>
    <row r="150" spans="1:15">
      <c r="A150" s="148" t="s">
        <v>242</v>
      </c>
      <c r="B150" s="358" t="s">
        <v>50</v>
      </c>
      <c r="C150" s="285" t="s">
        <v>487</v>
      </c>
      <c r="D150" s="139"/>
      <c r="E150" s="139"/>
      <c r="F150" s="360">
        <f>BASE</f>
        <v>0</v>
      </c>
      <c r="G150" s="377">
        <f>G147+G148-G149</f>
        <v>0</v>
      </c>
      <c r="H150" s="377">
        <f t="shared" ref="H150:M150" si="62">H147+H148-H149</f>
        <v>0</v>
      </c>
      <c r="I150" s="377">
        <f t="shared" si="62"/>
        <v>0</v>
      </c>
      <c r="J150" s="377">
        <f t="shared" si="62"/>
        <v>0</v>
      </c>
      <c r="K150" s="377">
        <f t="shared" si="62"/>
        <v>0</v>
      </c>
      <c r="L150" s="359">
        <f t="shared" si="62"/>
        <v>0</v>
      </c>
      <c r="M150" s="359">
        <f t="shared" si="62"/>
        <v>0</v>
      </c>
      <c r="N150" s="165" t="s">
        <v>50</v>
      </c>
    </row>
    <row r="151" spans="1:15">
      <c r="A151" s="148" t="s">
        <v>243</v>
      </c>
      <c r="B151" s="271" t="s">
        <v>244</v>
      </c>
      <c r="C151" s="285" t="s">
        <v>487</v>
      </c>
      <c r="D151" s="139"/>
      <c r="E151" s="139"/>
      <c r="F151" s="375">
        <f t="shared" ref="F151" si="63">ADD</f>
        <v>0</v>
      </c>
      <c r="G151" s="376">
        <f t="shared" ref="G151:M151" si="64">ADD</f>
        <v>0</v>
      </c>
      <c r="H151" s="376">
        <f t="shared" si="64"/>
        <v>0</v>
      </c>
      <c r="I151" s="376">
        <f t="shared" si="64"/>
        <v>0</v>
      </c>
      <c r="J151" s="376">
        <f t="shared" si="64"/>
        <v>0</v>
      </c>
      <c r="K151" s="376">
        <f t="shared" si="64"/>
        <v>0</v>
      </c>
      <c r="L151" s="376">
        <f t="shared" si="64"/>
        <v>0</v>
      </c>
      <c r="M151" s="376">
        <f t="shared" si="64"/>
        <v>0</v>
      </c>
      <c r="N151" s="165" t="s">
        <v>244</v>
      </c>
    </row>
    <row r="152" spans="1:15">
      <c r="A152" s="148" t="s">
        <v>246</v>
      </c>
      <c r="B152" s="271" t="s">
        <v>245</v>
      </c>
      <c r="C152" s="285" t="s">
        <v>487</v>
      </c>
      <c r="D152" s="139"/>
      <c r="E152" s="139"/>
      <c r="F152" s="375">
        <f t="shared" ref="F152" si="65">DSP</f>
        <v>0</v>
      </c>
      <c r="G152" s="376">
        <f t="shared" ref="G152:M152" si="66">DSP</f>
        <v>0</v>
      </c>
      <c r="H152" s="376">
        <f t="shared" si="66"/>
        <v>0</v>
      </c>
      <c r="I152" s="376">
        <f t="shared" si="66"/>
        <v>0</v>
      </c>
      <c r="J152" s="376">
        <f t="shared" si="66"/>
        <v>0</v>
      </c>
      <c r="K152" s="376">
        <f t="shared" si="66"/>
        <v>0</v>
      </c>
      <c r="L152" s="376">
        <f t="shared" si="66"/>
        <v>0</v>
      </c>
      <c r="M152" s="376">
        <f t="shared" si="66"/>
        <v>0</v>
      </c>
      <c r="N152" s="165" t="s">
        <v>245</v>
      </c>
    </row>
    <row r="153" spans="1:15">
      <c r="A153" s="148" t="s">
        <v>46</v>
      </c>
      <c r="B153" s="271" t="s">
        <v>667</v>
      </c>
      <c r="C153" s="285" t="s">
        <v>487</v>
      </c>
      <c r="D153" s="139"/>
      <c r="E153" s="139"/>
      <c r="F153" s="377">
        <f>F150+F151-F152</f>
        <v>0</v>
      </c>
      <c r="G153" s="377">
        <f>G150+G151-G152</f>
        <v>0</v>
      </c>
      <c r="H153" s="377">
        <f>H150+H151-H152</f>
        <v>0</v>
      </c>
      <c r="I153" s="359">
        <f>I150+I151-I152</f>
        <v>0</v>
      </c>
      <c r="J153" s="359">
        <f t="shared" ref="J153:M153" si="67">J150+J151-J152</f>
        <v>0</v>
      </c>
      <c r="K153" s="359">
        <f t="shared" si="67"/>
        <v>0</v>
      </c>
      <c r="L153" s="359">
        <f t="shared" si="67"/>
        <v>0</v>
      </c>
      <c r="M153" s="359">
        <f t="shared" si="67"/>
        <v>0</v>
      </c>
      <c r="N153" s="165"/>
      <c r="O153" s="165"/>
    </row>
    <row r="154" spans="1:15">
      <c r="C154" s="285"/>
      <c r="D154" s="139"/>
      <c r="E154" s="139"/>
      <c r="G154" s="165"/>
    </row>
    <row r="155" spans="1:15">
      <c r="C155" s="285"/>
      <c r="D155" s="139"/>
      <c r="E155" s="139"/>
    </row>
    <row r="156" spans="1:15">
      <c r="A156" s="282"/>
      <c r="C156" s="285"/>
      <c r="D156" s="139"/>
      <c r="E156" s="139"/>
    </row>
    <row r="157" spans="1:15">
      <c r="C157" s="285"/>
      <c r="D157" s="139"/>
      <c r="E157" s="139"/>
    </row>
    <row r="158" spans="1:15">
      <c r="C158" s="285"/>
      <c r="D158" s="139"/>
      <c r="E158" s="139"/>
    </row>
    <row r="159" spans="1:15">
      <c r="C159" s="285"/>
      <c r="D159" s="139"/>
      <c r="E159" s="139"/>
    </row>
    <row r="160" spans="1:15">
      <c r="C160" s="285"/>
      <c r="D160" s="139"/>
      <c r="E160" s="139"/>
    </row>
    <row r="161" spans="3:5">
      <c r="C161" s="285"/>
      <c r="D161" s="139"/>
      <c r="E161" s="139"/>
    </row>
    <row r="162" spans="3:5">
      <c r="C162" s="285"/>
      <c r="D162" s="139"/>
      <c r="E162" s="139"/>
    </row>
    <row r="163" spans="3:5">
      <c r="C163" s="285"/>
      <c r="D163" s="139"/>
      <c r="E163" s="139"/>
    </row>
    <row r="164" spans="3:5">
      <c r="C164" s="285"/>
      <c r="D164" s="139"/>
      <c r="E164" s="139"/>
    </row>
    <row r="900125" spans="1:1">
      <c r="A900125" s="139" t="s">
        <v>7</v>
      </c>
    </row>
    <row r="900126" spans="1:1">
      <c r="A900126" s="139" t="s">
        <v>2</v>
      </c>
    </row>
    <row r="900127" spans="1:1">
      <c r="A900127" s="139" t="s">
        <v>6</v>
      </c>
    </row>
    <row r="900128" spans="1:1">
      <c r="A900128" s="139" t="s">
        <v>3</v>
      </c>
    </row>
    <row r="900129" spans="1:1">
      <c r="A900129" s="139" t="s">
        <v>4</v>
      </c>
    </row>
    <row r="900130" spans="1:1">
      <c r="A900130" s="139" t="s">
        <v>5</v>
      </c>
    </row>
  </sheetData>
  <mergeCells count="4">
    <mergeCell ref="G17:M17"/>
    <mergeCell ref="E17:F17"/>
    <mergeCell ref="F63:G63"/>
    <mergeCell ref="F123:G123"/>
  </mergeCells>
  <pageMargins left="0.19685039370078741" right="0.19685039370078741" top="0.39370078740157483" bottom="0.53" header="0.19685039370078741" footer="0.23622047244094491"/>
  <pageSetup paperSize="8" scale="53" orientation="portrait" r:id="rId1"/>
  <headerFooter>
    <oddFooter>&amp;C&amp;D&amp;R&amp;F</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S999981"/>
  <sheetViews>
    <sheetView showGridLines="0" zoomScale="85" zoomScaleNormal="85" workbookViewId="0">
      <selection activeCell="L8" sqref="L8:L9"/>
    </sheetView>
  </sheetViews>
  <sheetFormatPr defaultColWidth="9" defaultRowHeight="13.5"/>
  <cols>
    <col min="1" max="1" width="31.61328125" style="137" customWidth="1"/>
    <col min="2" max="2" width="10.4609375" style="137" customWidth="1"/>
    <col min="3" max="3" width="11.765625" style="137" customWidth="1"/>
    <col min="4" max="4" width="3.61328125" style="137" customWidth="1"/>
    <col min="5" max="5" width="12.3828125" style="137" customWidth="1"/>
    <col min="6" max="6" width="9.84375" style="137" bestFit="1" customWidth="1"/>
    <col min="7" max="16384" width="9" style="137"/>
  </cols>
  <sheetData>
    <row r="1" spans="1:19" s="148" customFormat="1" ht="15">
      <c r="A1" s="157" t="s">
        <v>921</v>
      </c>
    </row>
    <row r="2" spans="1:19" s="148" customFormat="1" ht="15">
      <c r="A2" s="157" t="str">
        <f>CompName</f>
        <v>National Grid Electricity System Operator Ltd</v>
      </c>
    </row>
    <row r="3" spans="1:19" s="148" customFormat="1">
      <c r="A3" s="159" t="str">
        <f>RegYr</f>
        <v>Regulatory Year ending 31 March 2021</v>
      </c>
    </row>
    <row r="4" spans="1:19">
      <c r="A4" s="176"/>
      <c r="B4" s="176"/>
      <c r="C4" s="176"/>
      <c r="D4" s="176"/>
      <c r="E4" s="176"/>
      <c r="F4" s="176"/>
      <c r="G4" s="176"/>
      <c r="H4" s="176"/>
      <c r="I4" s="176"/>
      <c r="J4" s="176"/>
      <c r="K4" s="176"/>
      <c r="L4" s="176"/>
      <c r="M4" s="176"/>
      <c r="N4" s="176"/>
      <c r="O4" s="176"/>
      <c r="P4" s="176"/>
      <c r="Q4" s="176"/>
      <c r="R4" s="176"/>
      <c r="S4" s="176"/>
    </row>
    <row r="5" spans="1:19" ht="15">
      <c r="A5" s="217" t="s">
        <v>32</v>
      </c>
      <c r="B5" s="162"/>
      <c r="C5" s="162"/>
      <c r="D5" s="162"/>
      <c r="E5" s="162"/>
      <c r="F5" s="162"/>
      <c r="G5" s="162"/>
      <c r="H5" s="162"/>
      <c r="I5" s="162"/>
    </row>
    <row r="6" spans="1:19" ht="14">
      <c r="B6" s="142"/>
      <c r="C6" s="142"/>
      <c r="D6" s="142"/>
      <c r="E6" s="142"/>
      <c r="F6" s="142"/>
      <c r="G6" s="142"/>
      <c r="H6" s="142"/>
      <c r="I6" s="142"/>
    </row>
    <row r="7" spans="1:19" ht="16.5" customHeight="1">
      <c r="A7" s="136" t="s">
        <v>514</v>
      </c>
      <c r="B7" s="142"/>
      <c r="C7" s="142"/>
      <c r="D7" s="142"/>
      <c r="E7" s="181"/>
      <c r="F7" s="138">
        <v>2014</v>
      </c>
      <c r="G7" s="138">
        <v>2015</v>
      </c>
      <c r="H7" s="138">
        <v>2016</v>
      </c>
      <c r="I7" s="138">
        <v>2017</v>
      </c>
      <c r="J7" s="138">
        <v>2018</v>
      </c>
      <c r="K7" s="138">
        <v>2019</v>
      </c>
      <c r="L7" s="138">
        <v>2020</v>
      </c>
      <c r="M7" s="138">
        <v>2021</v>
      </c>
    </row>
    <row r="8" spans="1:19" ht="14">
      <c r="A8" s="137" t="s">
        <v>36</v>
      </c>
      <c r="B8" s="137" t="s">
        <v>274</v>
      </c>
      <c r="C8" s="120" t="s">
        <v>985</v>
      </c>
      <c r="D8" s="142"/>
      <c r="E8" s="142"/>
      <c r="F8" s="534"/>
      <c r="G8" s="534"/>
      <c r="H8" s="534"/>
      <c r="I8" s="534"/>
      <c r="J8" s="534"/>
      <c r="K8" s="534"/>
      <c r="L8" s="164">
        <f t="shared" ref="L8:M8" si="0">NIA</f>
        <v>0</v>
      </c>
      <c r="M8" s="164">
        <f t="shared" si="0"/>
        <v>0</v>
      </c>
      <c r="N8" s="165" t="s">
        <v>274</v>
      </c>
    </row>
    <row r="9" spans="1:19" ht="14">
      <c r="A9" s="137" t="s">
        <v>35</v>
      </c>
      <c r="B9" s="137" t="s">
        <v>275</v>
      </c>
      <c r="C9" s="120" t="s">
        <v>985</v>
      </c>
      <c r="D9" s="142"/>
      <c r="E9" s="142"/>
      <c r="F9" s="534"/>
      <c r="G9" s="534"/>
      <c r="H9" s="534"/>
      <c r="I9" s="534"/>
      <c r="J9" s="534"/>
      <c r="K9" s="534"/>
      <c r="L9" s="164">
        <f t="shared" ref="L9:M9" si="1">NICF</f>
        <v>0</v>
      </c>
      <c r="M9" s="164">
        <f t="shared" si="1"/>
        <v>0</v>
      </c>
      <c r="N9" s="165" t="s">
        <v>275</v>
      </c>
    </row>
    <row r="10" spans="1:19">
      <c r="F10" s="165"/>
    </row>
    <row r="12" spans="1:19" ht="17.5">
      <c r="A12" s="136" t="s">
        <v>51</v>
      </c>
      <c r="E12" s="160" t="s">
        <v>271</v>
      </c>
      <c r="H12" s="165"/>
    </row>
    <row r="13" spans="1:19" ht="14.5">
      <c r="A13" s="287" t="s">
        <v>515</v>
      </c>
      <c r="F13" s="138">
        <v>2014</v>
      </c>
      <c r="G13" s="138">
        <v>2015</v>
      </c>
      <c r="H13" s="138">
        <v>2016</v>
      </c>
      <c r="I13" s="138">
        <v>2017</v>
      </c>
      <c r="J13" s="138">
        <v>2018</v>
      </c>
      <c r="K13" s="138">
        <v>2019</v>
      </c>
      <c r="L13" s="138">
        <v>2020</v>
      </c>
      <c r="M13" s="138">
        <v>2021</v>
      </c>
    </row>
    <row r="14" spans="1:19">
      <c r="A14" s="137" t="s">
        <v>52</v>
      </c>
      <c r="B14" s="137" t="s">
        <v>344</v>
      </c>
      <c r="C14" s="120" t="s">
        <v>985</v>
      </c>
      <c r="F14" s="534"/>
      <c r="G14" s="534"/>
      <c r="H14" s="534"/>
      <c r="I14" s="534"/>
      <c r="J14" s="534"/>
      <c r="K14" s="534"/>
      <c r="L14" s="164">
        <f t="shared" ref="L14:M14" si="2">ANIA</f>
        <v>0</v>
      </c>
      <c r="M14" s="164">
        <f t="shared" si="2"/>
        <v>0</v>
      </c>
      <c r="N14" s="165" t="s">
        <v>344</v>
      </c>
    </row>
    <row r="15" spans="1:19">
      <c r="A15" s="137" t="s">
        <v>53</v>
      </c>
      <c r="B15" s="137" t="s">
        <v>276</v>
      </c>
      <c r="C15" s="120" t="s">
        <v>985</v>
      </c>
      <c r="F15" s="534"/>
      <c r="G15" s="534"/>
      <c r="H15" s="534"/>
      <c r="I15" s="534"/>
      <c r="J15" s="534"/>
      <c r="K15" s="534"/>
      <c r="L15" s="164">
        <f t="shared" ref="L15:M15" si="3">NIAR</f>
        <v>0</v>
      </c>
      <c r="M15" s="164">
        <f t="shared" si="3"/>
        <v>0</v>
      </c>
      <c r="N15" s="165" t="s">
        <v>276</v>
      </c>
    </row>
    <row r="16" spans="1:19">
      <c r="A16" s="137" t="s">
        <v>36</v>
      </c>
      <c r="B16" s="137" t="s">
        <v>274</v>
      </c>
      <c r="C16" s="120" t="s">
        <v>985</v>
      </c>
      <c r="F16" s="174"/>
      <c r="G16" s="174"/>
      <c r="H16" s="174"/>
      <c r="I16" s="174"/>
      <c r="J16" s="174"/>
      <c r="K16" s="174"/>
      <c r="L16" s="174">
        <f t="shared" ref="L16:M16" si="4">SUM(L14-L15)</f>
        <v>0</v>
      </c>
      <c r="M16" s="174">
        <f t="shared" si="4"/>
        <v>0</v>
      </c>
      <c r="N16" s="165" t="s">
        <v>274</v>
      </c>
    </row>
    <row r="17" spans="1:14">
      <c r="F17" s="165"/>
      <c r="I17" s="165"/>
    </row>
    <row r="19" spans="1:14" ht="17.5">
      <c r="A19" s="136" t="s">
        <v>54</v>
      </c>
      <c r="E19" s="160" t="s">
        <v>270</v>
      </c>
      <c r="K19" s="165"/>
    </row>
    <row r="20" spans="1:14" ht="14.5">
      <c r="A20" s="287" t="s">
        <v>516</v>
      </c>
      <c r="F20" s="138">
        <v>2014</v>
      </c>
      <c r="G20" s="138">
        <v>2015</v>
      </c>
      <c r="H20" s="138">
        <v>2016</v>
      </c>
      <c r="I20" s="138">
        <v>2017</v>
      </c>
      <c r="J20" s="138">
        <v>2018</v>
      </c>
      <c r="K20" s="138">
        <v>2019</v>
      </c>
      <c r="L20" s="138">
        <v>2020</v>
      </c>
      <c r="M20" s="138">
        <v>2021</v>
      </c>
    </row>
    <row r="21" spans="1:14">
      <c r="A21" s="137" t="s">
        <v>58</v>
      </c>
      <c r="B21" s="137" t="s">
        <v>55</v>
      </c>
      <c r="C21" s="120" t="s">
        <v>133</v>
      </c>
      <c r="F21" s="534">
        <f t="shared" ref="F21:M21" si="5">PTRA</f>
        <v>0</v>
      </c>
      <c r="G21" s="534">
        <f t="shared" si="5"/>
        <v>0</v>
      </c>
      <c r="H21" s="534">
        <f t="shared" si="5"/>
        <v>0</v>
      </c>
      <c r="I21" s="534">
        <f t="shared" si="5"/>
        <v>0</v>
      </c>
      <c r="J21" s="534">
        <f t="shared" si="5"/>
        <v>0</v>
      </c>
      <c r="K21" s="534">
        <f t="shared" si="5"/>
        <v>0</v>
      </c>
      <c r="L21" s="164">
        <f t="shared" si="5"/>
        <v>0.9</v>
      </c>
      <c r="M21" s="164">
        <f t="shared" si="5"/>
        <v>0.9</v>
      </c>
      <c r="N21" s="165" t="s">
        <v>55</v>
      </c>
    </row>
    <row r="22" spans="1:14">
      <c r="A22" s="137" t="s">
        <v>59</v>
      </c>
      <c r="B22" s="137" t="s">
        <v>273</v>
      </c>
      <c r="C22" s="120" t="s">
        <v>985</v>
      </c>
      <c r="F22" s="534">
        <f t="shared" ref="F22:M22" si="6">ENIA</f>
        <v>0</v>
      </c>
      <c r="G22" s="534">
        <f t="shared" si="6"/>
        <v>0</v>
      </c>
      <c r="H22" s="534">
        <f>ENIA</f>
        <v>0</v>
      </c>
      <c r="I22" s="534">
        <f t="shared" si="6"/>
        <v>0</v>
      </c>
      <c r="J22" s="534">
        <f t="shared" si="6"/>
        <v>0</v>
      </c>
      <c r="K22" s="534">
        <f t="shared" si="6"/>
        <v>0</v>
      </c>
      <c r="L22" s="164">
        <f t="shared" si="6"/>
        <v>0</v>
      </c>
      <c r="M22" s="164">
        <f t="shared" si="6"/>
        <v>0</v>
      </c>
      <c r="N22" s="130" t="s">
        <v>273</v>
      </c>
    </row>
    <row r="23" spans="1:14" s="139" customFormat="1">
      <c r="A23" s="139" t="s">
        <v>272</v>
      </c>
      <c r="B23" s="139" t="s">
        <v>56</v>
      </c>
      <c r="C23" s="120" t="s">
        <v>985</v>
      </c>
      <c r="F23" s="536">
        <f t="shared" ref="F23:J23" si="7">BPC</f>
        <v>0</v>
      </c>
      <c r="G23" s="536">
        <f t="shared" si="7"/>
        <v>0</v>
      </c>
      <c r="H23" s="536">
        <f t="shared" si="7"/>
        <v>0</v>
      </c>
      <c r="I23" s="536">
        <f t="shared" si="7"/>
        <v>0</v>
      </c>
      <c r="J23" s="536">
        <f t="shared" si="7"/>
        <v>0</v>
      </c>
      <c r="K23" s="402"/>
      <c r="L23" s="402"/>
      <c r="M23" s="402"/>
      <c r="N23" s="130" t="s">
        <v>56</v>
      </c>
    </row>
    <row r="24" spans="1:14">
      <c r="A24" s="137" t="s">
        <v>60</v>
      </c>
      <c r="B24" s="137" t="s">
        <v>57</v>
      </c>
      <c r="C24" s="281" t="s">
        <v>122</v>
      </c>
      <c r="F24" s="544">
        <f t="shared" ref="F24:M24" si="8">NIAV</f>
        <v>0</v>
      </c>
      <c r="G24" s="544">
        <f t="shared" si="8"/>
        <v>0</v>
      </c>
      <c r="H24" s="544">
        <f t="shared" si="8"/>
        <v>0</v>
      </c>
      <c r="I24" s="544">
        <f t="shared" si="8"/>
        <v>0</v>
      </c>
      <c r="J24" s="544">
        <f t="shared" si="8"/>
        <v>0</v>
      </c>
      <c r="K24" s="544">
        <f t="shared" si="8"/>
        <v>0</v>
      </c>
      <c r="L24" s="209">
        <f t="shared" si="8"/>
        <v>2E-3</v>
      </c>
      <c r="M24" s="209">
        <f t="shared" si="8"/>
        <v>2E-3</v>
      </c>
      <c r="N24" s="165" t="s">
        <v>57</v>
      </c>
    </row>
    <row r="25" spans="1:14">
      <c r="A25" s="137" t="s">
        <v>901</v>
      </c>
      <c r="B25" s="137" t="s">
        <v>902</v>
      </c>
      <c r="C25" s="120" t="s">
        <v>985</v>
      </c>
      <c r="F25" s="532">
        <f>'R5 Input page'!F44</f>
        <v>0</v>
      </c>
      <c r="G25" s="532">
        <f>'R5 Input page'!G44</f>
        <v>0</v>
      </c>
      <c r="H25" s="532">
        <f>'R5 Input page'!H44</f>
        <v>0</v>
      </c>
      <c r="I25" s="532">
        <f>'R5 Input page'!I44</f>
        <v>0</v>
      </c>
      <c r="J25" s="532">
        <f>'R5 Input page'!J44</f>
        <v>0</v>
      </c>
      <c r="K25" s="532">
        <f>'R5 Input page'!K44</f>
        <v>0</v>
      </c>
      <c r="L25" s="163">
        <f>'R5 Input page'!L44</f>
        <v>0</v>
      </c>
      <c r="M25" s="163">
        <f>'R5 Input page'!M44</f>
        <v>0</v>
      </c>
      <c r="N25" s="165" t="s">
        <v>902</v>
      </c>
    </row>
    <row r="26" spans="1:14">
      <c r="A26" s="137" t="s">
        <v>52</v>
      </c>
      <c r="B26" s="137" t="s">
        <v>344</v>
      </c>
      <c r="C26" s="120" t="s">
        <v>985</v>
      </c>
      <c r="F26" s="174">
        <f>F21*MIN( F22+F23,F24*F25)</f>
        <v>0</v>
      </c>
      <c r="G26" s="174">
        <f t="shared" ref="G26" si="9">G21*MIN( G22+G23,G24*G25)</f>
        <v>0</v>
      </c>
      <c r="H26" s="174">
        <f>H21*MIN( H22+H23,H24*H25)</f>
        <v>0</v>
      </c>
      <c r="I26" s="174">
        <f>I21*MIN( I22+I23,I24*I25)</f>
        <v>0</v>
      </c>
      <c r="J26" s="174">
        <f>J21*MIN( J22+J23,J24*J25)</f>
        <v>0</v>
      </c>
      <c r="K26" s="174">
        <f>K21*MIN( K22,K24*K25)</f>
        <v>0</v>
      </c>
      <c r="L26" s="174">
        <f t="shared" ref="L26:M26" si="10">L21*MIN( L22,L24*L25)</f>
        <v>0</v>
      </c>
      <c r="M26" s="174">
        <f t="shared" si="10"/>
        <v>0</v>
      </c>
      <c r="N26" s="165" t="s">
        <v>344</v>
      </c>
    </row>
    <row r="27" spans="1:14">
      <c r="F27" s="165"/>
      <c r="I27" s="165"/>
    </row>
    <row r="29" spans="1:14">
      <c r="A29" s="165" t="s">
        <v>315</v>
      </c>
      <c r="I29" s="165"/>
    </row>
    <row r="30" spans="1:14">
      <c r="A30" s="136" t="s">
        <v>312</v>
      </c>
    </row>
    <row r="31" spans="1:14" ht="14.5">
      <c r="A31" s="136" t="s">
        <v>517</v>
      </c>
      <c r="F31" s="138">
        <v>2014</v>
      </c>
      <c r="G31" s="138">
        <v>2015</v>
      </c>
      <c r="H31" s="138">
        <v>2016</v>
      </c>
      <c r="I31" s="138">
        <v>2017</v>
      </c>
      <c r="J31" s="138">
        <v>2018</v>
      </c>
      <c r="K31" s="138">
        <v>2019</v>
      </c>
      <c r="L31" s="138">
        <v>2020</v>
      </c>
      <c r="M31" s="138">
        <v>2021</v>
      </c>
    </row>
    <row r="32" spans="1:14">
      <c r="A32" s="137" t="s">
        <v>59</v>
      </c>
      <c r="B32" s="137" t="s">
        <v>273</v>
      </c>
      <c r="C32" s="120" t="s">
        <v>985</v>
      </c>
      <c r="F32" s="534"/>
      <c r="G32" s="534"/>
      <c r="H32" s="534"/>
      <c r="I32" s="534"/>
      <c r="J32" s="534"/>
      <c r="K32" s="534"/>
      <c r="L32" s="164">
        <f t="shared" ref="L32:M32" si="11">ENIA</f>
        <v>0</v>
      </c>
      <c r="M32" s="164">
        <f t="shared" si="11"/>
        <v>0</v>
      </c>
      <c r="N32" s="130" t="s">
        <v>273</v>
      </c>
    </row>
    <row r="33" spans="1:14">
      <c r="A33" s="137" t="s">
        <v>311</v>
      </c>
      <c r="B33" s="402" t="s">
        <v>313</v>
      </c>
      <c r="C33" s="120" t="s">
        <v>985</v>
      </c>
      <c r="F33" s="535"/>
      <c r="G33" s="535"/>
      <c r="H33" s="535"/>
      <c r="I33" s="535"/>
      <c r="J33" s="535"/>
      <c r="K33" s="535"/>
      <c r="L33" s="218">
        <f t="shared" ref="L33:M33" si="12">NIAIE</f>
        <v>0</v>
      </c>
      <c r="M33" s="218">
        <f t="shared" si="12"/>
        <v>0</v>
      </c>
      <c r="N33" s="130" t="s">
        <v>313</v>
      </c>
    </row>
    <row r="34" spans="1:14">
      <c r="A34" s="137" t="s">
        <v>133</v>
      </c>
      <c r="B34" s="137" t="s">
        <v>314</v>
      </c>
      <c r="C34" s="281" t="s">
        <v>133</v>
      </c>
      <c r="F34" s="288">
        <v>0.25</v>
      </c>
      <c r="G34" s="288">
        <v>0.25</v>
      </c>
      <c r="H34" s="288">
        <v>0.25</v>
      </c>
      <c r="I34" s="288">
        <v>0.25</v>
      </c>
      <c r="J34" s="288">
        <v>0.25</v>
      </c>
      <c r="K34" s="288">
        <v>0.25</v>
      </c>
      <c r="L34" s="288">
        <v>0.25</v>
      </c>
      <c r="M34" s="288">
        <v>0.25</v>
      </c>
      <c r="N34" s="130" t="s">
        <v>314</v>
      </c>
    </row>
    <row r="35" spans="1:14">
      <c r="A35" s="137" t="s">
        <v>414</v>
      </c>
      <c r="B35" s="302"/>
      <c r="C35" s="506"/>
      <c r="F35" s="174" t="str">
        <f>IF(F33&lt;=(F32*F34),"OK","NON COMPLIANT")</f>
        <v>OK</v>
      </c>
      <c r="G35" s="174" t="str">
        <f>IF(G33&lt;=(G32*G34),"OK","NON COMPLIANT")</f>
        <v>OK</v>
      </c>
      <c r="H35" s="174" t="str">
        <f t="shared" ref="H35:M35" si="13">IF(H33&lt;=(H32*H34),"OK","NON COMPLIANT")</f>
        <v>OK</v>
      </c>
      <c r="I35" s="174" t="str">
        <f t="shared" si="13"/>
        <v>OK</v>
      </c>
      <c r="J35" s="174" t="str">
        <f t="shared" si="13"/>
        <v>OK</v>
      </c>
      <c r="K35" s="174" t="str">
        <f t="shared" si="13"/>
        <v>OK</v>
      </c>
      <c r="L35" s="174" t="str">
        <f t="shared" si="13"/>
        <v>OK</v>
      </c>
      <c r="M35" s="174" t="str">
        <f t="shared" si="13"/>
        <v>OK</v>
      </c>
      <c r="N35" s="130"/>
    </row>
    <row r="36" spans="1:14">
      <c r="F36" s="165"/>
      <c r="I36" s="165"/>
      <c r="N36" s="130"/>
    </row>
    <row r="37" spans="1:14">
      <c r="H37" s="165"/>
      <c r="N37" s="165"/>
    </row>
    <row r="999976" spans="1:1">
      <c r="A999976" s="137" t="s">
        <v>7</v>
      </c>
    </row>
    <row r="999977" spans="1:1">
      <c r="A999977" s="137" t="s">
        <v>2</v>
      </c>
    </row>
    <row r="999978" spans="1:1">
      <c r="A999978" s="137" t="s">
        <v>6</v>
      </c>
    </row>
    <row r="999979" spans="1:1">
      <c r="A999979" s="137" t="s">
        <v>3</v>
      </c>
    </row>
    <row r="999980" spans="1:1">
      <c r="A999980" s="137" t="s">
        <v>4</v>
      </c>
    </row>
    <row r="999981" spans="1:1">
      <c r="A999981" s="137" t="s">
        <v>5</v>
      </c>
    </row>
  </sheetData>
  <pageMargins left="0.31496062992125984" right="0.23622047244094491" top="0.43307086614173229" bottom="0.55118110236220474" header="0.19685039370078741" footer="0.19685039370078741"/>
  <pageSetup paperSize="9" scale="85" orientation="landscape" r:id="rId1"/>
  <headerFooter>
    <oddFooter>&amp;C&amp;D&amp;R&amp;F</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00B050"/>
    <pageSetUpPr fitToPage="1"/>
  </sheetPr>
  <dimension ref="A1:T999966"/>
  <sheetViews>
    <sheetView showGridLines="0" zoomScale="85" zoomScaleNormal="85" workbookViewId="0">
      <pane xSplit="3" ySplit="8" topLeftCell="D9" activePane="bottomRight" state="frozen"/>
      <selection pane="topRight"/>
      <selection pane="bottomLeft"/>
      <selection pane="bottomRight" activeCell="O35" sqref="O35"/>
    </sheetView>
  </sheetViews>
  <sheetFormatPr defaultColWidth="9" defaultRowHeight="13.5"/>
  <cols>
    <col min="1" max="1" width="28.84375" style="137" customWidth="1"/>
    <col min="2" max="2" width="8.3828125" style="137" customWidth="1"/>
    <col min="3" max="3" width="10.61328125" style="137" customWidth="1"/>
    <col min="4" max="4" width="11.4609375" style="137" customWidth="1"/>
    <col min="5" max="5" width="8.765625" style="137" customWidth="1"/>
    <col min="6" max="7" width="9.4609375" style="137" customWidth="1"/>
    <col min="8" max="8" width="12" style="137" bestFit="1" customWidth="1"/>
    <col min="9" max="9" width="11.84375" style="137" customWidth="1"/>
    <col min="10" max="10" width="12.61328125" style="137" customWidth="1"/>
    <col min="11" max="13" width="12" style="137" bestFit="1" customWidth="1"/>
    <col min="14" max="14" width="9.23046875" style="137" bestFit="1" customWidth="1"/>
    <col min="15" max="16384" width="9" style="137"/>
  </cols>
  <sheetData>
    <row r="1" spans="1:20" s="148" customFormat="1" ht="15">
      <c r="A1" s="157" t="s">
        <v>922</v>
      </c>
      <c r="D1" s="158"/>
    </row>
    <row r="2" spans="1:20" s="148" customFormat="1" ht="15">
      <c r="A2" s="157" t="str">
        <f>CompName</f>
        <v>National Grid Electricity System Operator Ltd</v>
      </c>
      <c r="D2" s="158"/>
    </row>
    <row r="3" spans="1:20" s="148" customFormat="1">
      <c r="A3" s="159" t="str">
        <f>RegYr</f>
        <v>Regulatory Year ending 31 March 2021</v>
      </c>
      <c r="D3" s="158"/>
    </row>
    <row r="4" spans="1:20">
      <c r="A4" s="176"/>
      <c r="B4" s="176"/>
      <c r="C4" s="176"/>
      <c r="D4" s="176"/>
      <c r="E4" s="176"/>
      <c r="F4" s="176"/>
      <c r="G4" s="176"/>
      <c r="H4" s="176"/>
      <c r="I4" s="176"/>
      <c r="J4" s="176"/>
      <c r="K4" s="176"/>
      <c r="L4" s="176"/>
      <c r="M4" s="176"/>
      <c r="N4" s="176"/>
      <c r="O4" s="176"/>
      <c r="P4" s="176"/>
      <c r="Q4" s="176"/>
      <c r="R4" s="176"/>
      <c r="S4" s="176"/>
      <c r="T4" s="176"/>
    </row>
    <row r="5" spans="1:20" ht="20.25" customHeight="1">
      <c r="A5" s="219" t="s">
        <v>370</v>
      </c>
    </row>
    <row r="6" spans="1:20" ht="14">
      <c r="B6" s="142"/>
      <c r="J6" s="165"/>
    </row>
    <row r="7" spans="1:20" ht="14">
      <c r="B7" s="142"/>
      <c r="C7" s="142"/>
      <c r="E7" s="142"/>
      <c r="F7" s="142"/>
      <c r="G7" s="142"/>
      <c r="H7" s="142"/>
      <c r="I7" s="142"/>
      <c r="J7" s="142"/>
    </row>
    <row r="8" spans="1:20" ht="14.5">
      <c r="B8" s="142"/>
      <c r="C8" s="142"/>
      <c r="E8" s="138">
        <v>2013</v>
      </c>
      <c r="F8" s="138">
        <v>2014</v>
      </c>
      <c r="G8" s="138">
        <v>2015</v>
      </c>
      <c r="H8" s="138">
        <v>2016</v>
      </c>
      <c r="I8" s="138">
        <v>2017</v>
      </c>
      <c r="J8" s="138">
        <v>2018</v>
      </c>
      <c r="K8" s="138">
        <v>2019</v>
      </c>
      <c r="L8" s="138">
        <v>2020</v>
      </c>
      <c r="M8" s="138">
        <v>2021</v>
      </c>
      <c r="N8" s="138">
        <v>2022</v>
      </c>
      <c r="O8" s="138">
        <v>2023</v>
      </c>
    </row>
    <row r="9" spans="1:20">
      <c r="A9" s="139" t="s">
        <v>33</v>
      </c>
      <c r="B9" s="139" t="s">
        <v>305</v>
      </c>
      <c r="C9" s="120" t="s">
        <v>985</v>
      </c>
      <c r="F9" s="532"/>
      <c r="G9" s="532"/>
      <c r="H9" s="532"/>
      <c r="I9" s="532"/>
      <c r="J9" s="532"/>
      <c r="K9" s="532"/>
      <c r="L9" s="163">
        <f t="shared" ref="L9" si="0">TNR</f>
        <v>0</v>
      </c>
      <c r="M9" s="163">
        <f>TNR</f>
        <v>0</v>
      </c>
      <c r="N9" s="402"/>
      <c r="O9" s="402"/>
      <c r="P9" s="165" t="s">
        <v>305</v>
      </c>
    </row>
    <row r="10" spans="1:20">
      <c r="A10" s="139" t="s">
        <v>839</v>
      </c>
      <c r="B10" s="139" t="s">
        <v>11</v>
      </c>
      <c r="C10" s="120" t="s">
        <v>985</v>
      </c>
      <c r="F10" s="532"/>
      <c r="G10" s="532"/>
      <c r="H10" s="532"/>
      <c r="I10" s="532"/>
      <c r="J10" s="532"/>
      <c r="K10" s="532"/>
      <c r="L10" s="163">
        <f t="shared" ref="L10:M10" si="1">TO</f>
        <v>9.7504400000000011</v>
      </c>
      <c r="M10" s="163">
        <f t="shared" si="1"/>
        <v>8.7491999999999983</v>
      </c>
      <c r="N10" s="402"/>
      <c r="O10" s="402"/>
      <c r="P10" s="165" t="s">
        <v>11</v>
      </c>
    </row>
    <row r="11" spans="1:20">
      <c r="A11" s="145" t="s">
        <v>33</v>
      </c>
      <c r="B11" s="139" t="s">
        <v>305</v>
      </c>
      <c r="C11" s="120" t="s">
        <v>985</v>
      </c>
      <c r="E11" s="533"/>
      <c r="N11" s="402"/>
      <c r="O11" s="402"/>
    </row>
    <row r="12" spans="1:20">
      <c r="A12" s="145" t="s">
        <v>839</v>
      </c>
      <c r="B12" s="139" t="s">
        <v>11</v>
      </c>
      <c r="C12" s="120" t="s">
        <v>985</v>
      </c>
      <c r="E12" s="532"/>
      <c r="N12" s="402"/>
      <c r="O12" s="402"/>
    </row>
    <row r="13" spans="1:20">
      <c r="A13" s="145" t="s">
        <v>37</v>
      </c>
      <c r="B13" s="139"/>
      <c r="E13" s="289">
        <f t="shared" ref="E13:K13" si="2">E9-E10</f>
        <v>0</v>
      </c>
      <c r="F13" s="289">
        <f t="shared" si="2"/>
        <v>0</v>
      </c>
      <c r="G13" s="289">
        <f t="shared" si="2"/>
        <v>0</v>
      </c>
      <c r="H13" s="289">
        <f t="shared" si="2"/>
        <v>0</v>
      </c>
      <c r="I13" s="289">
        <f t="shared" si="2"/>
        <v>0</v>
      </c>
      <c r="J13" s="289">
        <f t="shared" si="2"/>
        <v>0</v>
      </c>
      <c r="K13" s="289">
        <f t="shared" si="2"/>
        <v>0</v>
      </c>
      <c r="L13" s="289">
        <f>L9-L10</f>
        <v>-9.7504400000000011</v>
      </c>
      <c r="M13" s="289">
        <f t="shared" ref="M13" si="3">M9-M10</f>
        <v>-8.7491999999999983</v>
      </c>
      <c r="N13" s="289">
        <f>N9-N10</f>
        <v>0</v>
      </c>
      <c r="O13" s="289">
        <f t="shared" ref="O13" si="4">O9-O10</f>
        <v>0</v>
      </c>
    </row>
    <row r="14" spans="1:20">
      <c r="A14" s="145" t="s">
        <v>85</v>
      </c>
      <c r="B14" s="139" t="s">
        <v>339</v>
      </c>
      <c r="C14" s="290" t="s">
        <v>122</v>
      </c>
      <c r="E14" s="164">
        <f t="shared" ref="E14:M14" si="5">It</f>
        <v>0.5</v>
      </c>
      <c r="F14" s="164">
        <f t="shared" si="5"/>
        <v>0.5</v>
      </c>
      <c r="G14" s="164">
        <f t="shared" si="5"/>
        <v>0.5</v>
      </c>
      <c r="H14" s="164">
        <f t="shared" si="5"/>
        <v>0.5</v>
      </c>
      <c r="I14" s="164">
        <f t="shared" si="5"/>
        <v>0.34</v>
      </c>
      <c r="J14" s="164">
        <f t="shared" si="5"/>
        <v>0.35</v>
      </c>
      <c r="K14" s="164">
        <f t="shared" si="5"/>
        <v>0.67</v>
      </c>
      <c r="L14" s="164">
        <f t="shared" si="5"/>
        <v>0.72</v>
      </c>
      <c r="M14" s="164">
        <f t="shared" si="5"/>
        <v>0.1</v>
      </c>
      <c r="N14" s="405">
        <f>It</f>
        <v>0.1</v>
      </c>
      <c r="O14" s="402"/>
      <c r="P14" s="165" t="s">
        <v>339</v>
      </c>
    </row>
    <row r="15" spans="1:20">
      <c r="A15" s="145" t="s">
        <v>34</v>
      </c>
      <c r="B15" s="139" t="s">
        <v>345</v>
      </c>
      <c r="C15" s="137" t="s">
        <v>1</v>
      </c>
      <c r="H15" s="291">
        <f>IF(F9&gt;(1.055*F10),4,IF(F9&lt;(0.945*F10),0,2))</f>
        <v>2</v>
      </c>
      <c r="I15" s="291">
        <f t="shared" ref="I15:L15" si="6">IF(G9&gt;(1.055*G10),4,IF(G9&lt;(0.945*G10),0,2))</f>
        <v>2</v>
      </c>
      <c r="J15" s="291">
        <f t="shared" si="6"/>
        <v>2</v>
      </c>
      <c r="K15" s="291">
        <f t="shared" si="6"/>
        <v>2</v>
      </c>
      <c r="L15" s="291">
        <f t="shared" si="6"/>
        <v>2</v>
      </c>
      <c r="M15" s="291">
        <f>IF(K9&gt;(1.055*K10),4,IF(K9&lt;(0.945*K10),0,2))</f>
        <v>2</v>
      </c>
      <c r="N15" s="291">
        <f>IF(L9&gt;(1.055*L10),4,IF(L9&lt;(0.945*L10),0,2))</f>
        <v>0</v>
      </c>
      <c r="O15" s="291">
        <f>IF(M9&gt;(1.055*M10),4,IF(M9&lt;(0.945*M10),0,2))</f>
        <v>0</v>
      </c>
      <c r="P15" s="165" t="s">
        <v>345</v>
      </c>
    </row>
    <row r="16" spans="1:20">
      <c r="A16" s="145" t="s">
        <v>34</v>
      </c>
      <c r="B16" s="139" t="s">
        <v>518</v>
      </c>
      <c r="C16" s="137" t="s">
        <v>1</v>
      </c>
      <c r="E16" s="292"/>
      <c r="F16" s="71">
        <f>IF(E11&gt;(1.0275*E12),4,0)</f>
        <v>0</v>
      </c>
      <c r="G16" s="165"/>
      <c r="H16" s="165"/>
      <c r="I16" s="165"/>
      <c r="J16" s="165"/>
      <c r="K16" s="165"/>
      <c r="L16" s="165"/>
      <c r="M16" s="165"/>
      <c r="N16" s="406"/>
      <c r="O16" s="406"/>
      <c r="P16" s="165"/>
    </row>
    <row r="17" spans="1:16">
      <c r="A17" s="139" t="s">
        <v>10</v>
      </c>
      <c r="B17" s="139" t="s">
        <v>346</v>
      </c>
      <c r="C17" s="137" t="s">
        <v>133</v>
      </c>
      <c r="F17" s="289">
        <f>E13*(1+((E14+F16)/100))</f>
        <v>0</v>
      </c>
      <c r="G17" s="293"/>
      <c r="H17" s="294"/>
      <c r="I17" s="294"/>
      <c r="J17" s="294"/>
      <c r="K17" s="294"/>
      <c r="L17" s="294">
        <f t="shared" ref="L17:M17" si="7">J13*((1+((J14+L15)/100))*(1+((K14+2)/100)))</f>
        <v>0</v>
      </c>
      <c r="M17" s="294">
        <f t="shared" si="7"/>
        <v>0</v>
      </c>
      <c r="N17" s="294">
        <f t="shared" ref="N17" si="8">L13*((1+((L14+N15)/100))*(1+((M14+2)/100)))</f>
        <v>-10.026876674528001</v>
      </c>
      <c r="O17" s="294">
        <f t="shared" ref="O17" si="9">M13*((1+((M14+O15)/100))*(1+((N14+2)/100)))</f>
        <v>-8.9418661331999978</v>
      </c>
      <c r="P17" s="165" t="s">
        <v>346</v>
      </c>
    </row>
    <row r="18" spans="1:16">
      <c r="B18" s="139"/>
      <c r="H18" s="165"/>
      <c r="I18" s="165"/>
      <c r="J18" s="165"/>
      <c r="K18" s="165"/>
    </row>
    <row r="20" spans="1:16">
      <c r="A20" s="136" t="s">
        <v>925</v>
      </c>
      <c r="N20" s="165"/>
    </row>
    <row r="22" spans="1:16" ht="27">
      <c r="E22" s="220"/>
      <c r="N22" s="165"/>
    </row>
    <row r="23" spans="1:16">
      <c r="A23" s="136"/>
    </row>
    <row r="999961" spans="1:1">
      <c r="A999961" s="137" t="s">
        <v>7</v>
      </c>
    </row>
    <row r="999962" spans="1:1">
      <c r="A999962" s="137" t="s">
        <v>2</v>
      </c>
    </row>
    <row r="999963" spans="1:1">
      <c r="A999963" s="137" t="s">
        <v>6</v>
      </c>
    </row>
    <row r="999964" spans="1:1">
      <c r="A999964" s="137" t="s">
        <v>3</v>
      </c>
    </row>
    <row r="999965" spans="1:1">
      <c r="A999965" s="137" t="s">
        <v>4</v>
      </c>
    </row>
    <row r="999966" spans="1:1">
      <c r="A999966" s="137" t="s">
        <v>5</v>
      </c>
    </row>
  </sheetData>
  <pageMargins left="0.15748031496062992" right="0.15748031496062992" top="0.35433070866141736" bottom="0.55118110236220474" header="0.19685039370078741" footer="0.23622047244094491"/>
  <pageSetup paperSize="9" scale="81" orientation="landscape" r:id="rId1"/>
  <headerFooter>
    <oddFooter>&amp;C&amp;D&amp;R&amp;F</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Q78"/>
  <sheetViews>
    <sheetView showGridLines="0" topLeftCell="A43" zoomScale="85" zoomScaleNormal="85" workbookViewId="0"/>
  </sheetViews>
  <sheetFormatPr defaultColWidth="9" defaultRowHeight="13.5"/>
  <cols>
    <col min="1" max="1" width="31.4609375" style="137" customWidth="1"/>
    <col min="2" max="2" width="10" style="137" customWidth="1"/>
    <col min="3" max="3" width="11" style="137" customWidth="1"/>
    <col min="4" max="4" width="12.15234375" style="137" customWidth="1"/>
    <col min="5" max="5" width="8.15234375" style="137" customWidth="1"/>
    <col min="6" max="6" width="8" style="137" customWidth="1"/>
    <col min="7" max="9" width="8.15234375" style="137" customWidth="1"/>
    <col min="10" max="10" width="8.4609375" style="137" customWidth="1"/>
    <col min="11" max="11" width="8.3828125" style="137" customWidth="1"/>
    <col min="12" max="12" width="8.61328125" style="137" customWidth="1"/>
    <col min="13" max="16384" width="9" style="137"/>
  </cols>
  <sheetData>
    <row r="1" spans="1:14" ht="15">
      <c r="A1" s="157" t="s">
        <v>280</v>
      </c>
    </row>
    <row r="2" spans="1:14" ht="15">
      <c r="A2" s="157" t="str">
        <f>CompName</f>
        <v>National Grid Electricity System Operator Ltd</v>
      </c>
    </row>
    <row r="3" spans="1:14">
      <c r="A3" s="159" t="str">
        <f>RegYr</f>
        <v>Regulatory Year ending 31 March 2021</v>
      </c>
    </row>
    <row r="5" spans="1:14" ht="15">
      <c r="A5" s="217" t="s">
        <v>159</v>
      </c>
      <c r="D5" s="221"/>
    </row>
    <row r="6" spans="1:14" ht="14">
      <c r="A6" s="143" t="s">
        <v>166</v>
      </c>
      <c r="M6" s="165"/>
    </row>
    <row r="7" spans="1:14">
      <c r="A7" s="295" t="s">
        <v>519</v>
      </c>
    </row>
    <row r="8" spans="1:14" ht="14.5">
      <c r="A8" s="143"/>
      <c r="E8" s="138">
        <v>2013</v>
      </c>
      <c r="F8" s="138">
        <v>2014</v>
      </c>
      <c r="G8" s="138">
        <v>2015</v>
      </c>
      <c r="H8" s="138">
        <v>2016</v>
      </c>
      <c r="I8" s="138">
        <v>2017</v>
      </c>
      <c r="J8" s="138">
        <v>2018</v>
      </c>
      <c r="K8" s="138">
        <v>2019</v>
      </c>
      <c r="L8" s="138">
        <v>2020</v>
      </c>
      <c r="M8" s="138">
        <v>2021</v>
      </c>
    </row>
    <row r="9" spans="1:14">
      <c r="A9" s="137" t="s">
        <v>759</v>
      </c>
      <c r="B9" s="139" t="s">
        <v>167</v>
      </c>
      <c r="C9" s="281" t="s">
        <v>1</v>
      </c>
      <c r="E9" s="164">
        <f t="shared" ref="E9:M9" si="0">IPTIRG</f>
        <v>0</v>
      </c>
      <c r="F9" s="164">
        <f t="shared" si="0"/>
        <v>0</v>
      </c>
      <c r="G9" s="164">
        <f t="shared" si="0"/>
        <v>0</v>
      </c>
      <c r="H9" s="164">
        <f t="shared" si="0"/>
        <v>0</v>
      </c>
      <c r="I9" s="164">
        <f t="shared" si="0"/>
        <v>0</v>
      </c>
      <c r="J9" s="164">
        <f t="shared" si="0"/>
        <v>0</v>
      </c>
      <c r="K9" s="164">
        <f t="shared" si="0"/>
        <v>0</v>
      </c>
      <c r="L9" s="164">
        <f t="shared" si="0"/>
        <v>0</v>
      </c>
      <c r="M9" s="164">
        <f t="shared" si="0"/>
        <v>0</v>
      </c>
      <c r="N9" s="165" t="s">
        <v>167</v>
      </c>
    </row>
    <row r="10" spans="1:14">
      <c r="A10" s="137" t="s">
        <v>760</v>
      </c>
      <c r="B10" s="139" t="s">
        <v>169</v>
      </c>
      <c r="C10" s="281" t="s">
        <v>1</v>
      </c>
      <c r="E10" s="164">
        <f t="shared" ref="E10:M10" si="1">FTIRG</f>
        <v>0</v>
      </c>
      <c r="F10" s="164">
        <f t="shared" si="1"/>
        <v>0</v>
      </c>
      <c r="G10" s="164">
        <f t="shared" si="1"/>
        <v>0</v>
      </c>
      <c r="H10" s="164">
        <f t="shared" si="1"/>
        <v>0</v>
      </c>
      <c r="I10" s="164">
        <f t="shared" si="1"/>
        <v>0</v>
      </c>
      <c r="J10" s="164">
        <f t="shared" si="1"/>
        <v>0</v>
      </c>
      <c r="K10" s="164">
        <f t="shared" si="1"/>
        <v>0</v>
      </c>
      <c r="L10" s="164">
        <f t="shared" si="1"/>
        <v>0</v>
      </c>
      <c r="M10" s="164">
        <f t="shared" si="1"/>
        <v>0</v>
      </c>
      <c r="N10" s="165" t="s">
        <v>169</v>
      </c>
    </row>
    <row r="11" spans="1:14">
      <c r="A11" s="137" t="s">
        <v>761</v>
      </c>
      <c r="B11" s="139" t="s">
        <v>170</v>
      </c>
      <c r="C11" s="281" t="s">
        <v>1</v>
      </c>
      <c r="E11" s="164">
        <f t="shared" ref="E11:M11" si="2">ETIRG</f>
        <v>16.139635161599998</v>
      </c>
      <c r="F11" s="164">
        <f t="shared" si="2"/>
        <v>15.992450216000002</v>
      </c>
      <c r="G11" s="164">
        <f t="shared" si="2"/>
        <v>15.995999039999997</v>
      </c>
      <c r="H11" s="164">
        <f t="shared" si="2"/>
        <v>15.703460112000002</v>
      </c>
      <c r="I11" s="164">
        <f t="shared" si="2"/>
        <v>0</v>
      </c>
      <c r="J11" s="164">
        <f t="shared" si="2"/>
        <v>0</v>
      </c>
      <c r="K11" s="164">
        <f t="shared" si="2"/>
        <v>0</v>
      </c>
      <c r="L11" s="164">
        <f t="shared" si="2"/>
        <v>0</v>
      </c>
      <c r="M11" s="164">
        <f t="shared" si="2"/>
        <v>0</v>
      </c>
      <c r="N11" s="165" t="s">
        <v>170</v>
      </c>
    </row>
    <row r="12" spans="1:14">
      <c r="A12" s="137" t="s">
        <v>308</v>
      </c>
      <c r="B12" s="139"/>
      <c r="C12" s="281" t="s">
        <v>1</v>
      </c>
      <c r="E12" s="71">
        <f>SUM(E9:E11)</f>
        <v>16.139635161599998</v>
      </c>
      <c r="F12" s="71">
        <f t="shared" ref="F12:M12" si="3">SUM(F9:F11)</f>
        <v>15.992450216000002</v>
      </c>
      <c r="G12" s="71">
        <f t="shared" si="3"/>
        <v>15.995999039999997</v>
      </c>
      <c r="H12" s="71">
        <f t="shared" si="3"/>
        <v>15.703460112000002</v>
      </c>
      <c r="I12" s="71">
        <f t="shared" si="3"/>
        <v>0</v>
      </c>
      <c r="J12" s="71">
        <f t="shared" si="3"/>
        <v>0</v>
      </c>
      <c r="K12" s="71">
        <f t="shared" si="3"/>
        <v>0</v>
      </c>
      <c r="L12" s="71">
        <f t="shared" si="3"/>
        <v>0</v>
      </c>
      <c r="M12" s="71">
        <f t="shared" si="3"/>
        <v>0</v>
      </c>
      <c r="N12" s="165" t="s">
        <v>309</v>
      </c>
    </row>
    <row r="13" spans="1:14">
      <c r="A13" s="137" t="s">
        <v>290</v>
      </c>
      <c r="B13" s="139" t="s">
        <v>168</v>
      </c>
      <c r="C13" s="281" t="s">
        <v>1</v>
      </c>
      <c r="E13" s="164">
        <f t="shared" ref="E13:M13" si="4">TIRGINCADJ</f>
        <v>0</v>
      </c>
      <c r="F13" s="164">
        <f t="shared" si="4"/>
        <v>0</v>
      </c>
      <c r="G13" s="164">
        <f t="shared" si="4"/>
        <v>0</v>
      </c>
      <c r="H13" s="164">
        <f t="shared" si="4"/>
        <v>0</v>
      </c>
      <c r="I13" s="164">
        <f t="shared" si="4"/>
        <v>0</v>
      </c>
      <c r="J13" s="164">
        <f t="shared" si="4"/>
        <v>0</v>
      </c>
      <c r="K13" s="164">
        <f t="shared" si="4"/>
        <v>0</v>
      </c>
      <c r="L13" s="164">
        <f t="shared" si="4"/>
        <v>0</v>
      </c>
      <c r="M13" s="164">
        <f t="shared" si="4"/>
        <v>0</v>
      </c>
      <c r="N13" s="165" t="s">
        <v>168</v>
      </c>
    </row>
    <row r="14" spans="1:14">
      <c r="A14" s="137" t="s">
        <v>762</v>
      </c>
      <c r="B14" s="139" t="s">
        <v>171</v>
      </c>
      <c r="C14" s="281" t="s">
        <v>1</v>
      </c>
      <c r="E14" s="164">
        <f t="shared" ref="E14:M14" si="5">ATIRG</f>
        <v>0</v>
      </c>
      <c r="F14" s="164">
        <f t="shared" si="5"/>
        <v>0</v>
      </c>
      <c r="G14" s="164">
        <f t="shared" si="5"/>
        <v>0</v>
      </c>
      <c r="H14" s="164">
        <f t="shared" si="5"/>
        <v>0</v>
      </c>
      <c r="I14" s="164">
        <f t="shared" si="5"/>
        <v>0</v>
      </c>
      <c r="J14" s="164">
        <f t="shared" si="5"/>
        <v>0</v>
      </c>
      <c r="K14" s="164">
        <f t="shared" si="5"/>
        <v>0</v>
      </c>
      <c r="L14" s="164">
        <f t="shared" si="5"/>
        <v>0</v>
      </c>
      <c r="M14" s="164">
        <f t="shared" si="5"/>
        <v>0</v>
      </c>
      <c r="N14" s="165" t="s">
        <v>171</v>
      </c>
    </row>
    <row r="15" spans="1:14">
      <c r="A15" s="137" t="s">
        <v>764</v>
      </c>
      <c r="B15" s="139" t="s">
        <v>347</v>
      </c>
      <c r="C15" s="281" t="s">
        <v>1</v>
      </c>
      <c r="E15" s="71">
        <f t="shared" ref="E15:M15" si="6">SUM(E12:E14)</f>
        <v>16.139635161599998</v>
      </c>
      <c r="F15" s="71">
        <f t="shared" si="6"/>
        <v>15.992450216000002</v>
      </c>
      <c r="G15" s="71">
        <f t="shared" si="6"/>
        <v>15.995999039999997</v>
      </c>
      <c r="H15" s="71">
        <f t="shared" si="6"/>
        <v>15.703460112000002</v>
      </c>
      <c r="I15" s="71">
        <f t="shared" si="6"/>
        <v>0</v>
      </c>
      <c r="J15" s="71">
        <f t="shared" si="6"/>
        <v>0</v>
      </c>
      <c r="K15" s="71">
        <f t="shared" si="6"/>
        <v>0</v>
      </c>
      <c r="L15" s="71">
        <f t="shared" si="6"/>
        <v>0</v>
      </c>
      <c r="M15" s="71">
        <f t="shared" si="6"/>
        <v>0</v>
      </c>
      <c r="N15" s="165" t="s">
        <v>230</v>
      </c>
    </row>
    <row r="16" spans="1:14" ht="14">
      <c r="A16" s="142"/>
      <c r="B16" s="139"/>
      <c r="E16" s="165"/>
      <c r="F16" s="165"/>
      <c r="G16" s="165"/>
      <c r="H16" s="165"/>
      <c r="I16" s="165"/>
      <c r="J16" s="165"/>
    </row>
    <row r="17" spans="1:17" ht="14">
      <c r="A17" s="143" t="s">
        <v>172</v>
      </c>
      <c r="B17" s="139"/>
    </row>
    <row r="18" spans="1:17">
      <c r="A18" s="295" t="s">
        <v>520</v>
      </c>
      <c r="B18" s="139"/>
      <c r="J18" s="165"/>
    </row>
    <row r="19" spans="1:17" ht="14">
      <c r="A19" s="142"/>
      <c r="B19" s="139"/>
    </row>
    <row r="20" spans="1:17" ht="14.5">
      <c r="A20" s="142"/>
      <c r="B20" s="139"/>
      <c r="E20" s="138">
        <v>2013</v>
      </c>
      <c r="F20" s="138">
        <v>2014</v>
      </c>
      <c r="G20" s="138">
        <v>2015</v>
      </c>
      <c r="H20" s="138">
        <v>2016</v>
      </c>
      <c r="I20" s="138">
        <v>2017</v>
      </c>
      <c r="J20" s="138">
        <v>2018</v>
      </c>
      <c r="K20" s="138">
        <v>2019</v>
      </c>
      <c r="L20" s="138">
        <v>2020</v>
      </c>
      <c r="M20" s="138">
        <v>2021</v>
      </c>
    </row>
    <row r="21" spans="1:17" s="139" customFormat="1" ht="14">
      <c r="A21" s="142" t="s">
        <v>426</v>
      </c>
      <c r="B21" s="139" t="s">
        <v>173</v>
      </c>
      <c r="C21" s="281" t="s">
        <v>1</v>
      </c>
      <c r="E21" s="187">
        <f t="shared" ref="E21:M21" si="7">CFTIRG</f>
        <v>0</v>
      </c>
      <c r="F21" s="187">
        <f t="shared" si="7"/>
        <v>0</v>
      </c>
      <c r="G21" s="187">
        <f t="shared" si="7"/>
        <v>0</v>
      </c>
      <c r="H21" s="187">
        <f t="shared" si="7"/>
        <v>0</v>
      </c>
      <c r="I21" s="187">
        <f t="shared" si="7"/>
        <v>0</v>
      </c>
      <c r="J21" s="187">
        <f t="shared" si="7"/>
        <v>0</v>
      </c>
      <c r="K21" s="187">
        <f t="shared" si="7"/>
        <v>0</v>
      </c>
      <c r="L21" s="187">
        <f t="shared" si="7"/>
        <v>0</v>
      </c>
      <c r="M21" s="187">
        <f t="shared" si="7"/>
        <v>0</v>
      </c>
      <c r="N21" s="165" t="s">
        <v>173</v>
      </c>
    </row>
    <row r="22" spans="1:17">
      <c r="A22" s="302" t="s">
        <v>72</v>
      </c>
      <c r="B22" s="139" t="s">
        <v>132</v>
      </c>
      <c r="C22" s="281" t="s">
        <v>500</v>
      </c>
      <c r="E22" s="222">
        <f t="shared" ref="E22:M22" si="8">RPIF</f>
        <v>1.1344000000000001</v>
      </c>
      <c r="F22" s="222">
        <f t="shared" si="8"/>
        <v>1.163</v>
      </c>
      <c r="G22" s="222">
        <f t="shared" si="8"/>
        <v>1.2050000000000001</v>
      </c>
      <c r="H22" s="222">
        <f t="shared" si="8"/>
        <v>1.2270000000000001</v>
      </c>
      <c r="I22" s="222">
        <f t="shared" si="8"/>
        <v>1.2330000000000001</v>
      </c>
      <c r="J22" s="222">
        <f t="shared" si="8"/>
        <v>1.2709999999999999</v>
      </c>
      <c r="K22" s="222">
        <f t="shared" si="8"/>
        <v>1.3140000000000001</v>
      </c>
      <c r="L22" s="222">
        <f t="shared" si="8"/>
        <v>1.3580000000000001</v>
      </c>
      <c r="M22" s="222">
        <f t="shared" si="8"/>
        <v>1.38</v>
      </c>
      <c r="N22" s="165" t="s">
        <v>132</v>
      </c>
    </row>
    <row r="23" spans="1:17" ht="14">
      <c r="A23" s="142" t="s">
        <v>759</v>
      </c>
      <c r="B23" s="139" t="s">
        <v>167</v>
      </c>
      <c r="C23" s="281" t="s">
        <v>1</v>
      </c>
      <c r="E23" s="71">
        <f>E21*E22</f>
        <v>0</v>
      </c>
      <c r="F23" s="71">
        <f t="shared" ref="F23:M23" si="9">F21*F22</f>
        <v>0</v>
      </c>
      <c r="G23" s="71">
        <f t="shared" si="9"/>
        <v>0</v>
      </c>
      <c r="H23" s="71">
        <f t="shared" si="9"/>
        <v>0</v>
      </c>
      <c r="I23" s="71">
        <f t="shared" si="9"/>
        <v>0</v>
      </c>
      <c r="J23" s="71">
        <f t="shared" si="9"/>
        <v>0</v>
      </c>
      <c r="K23" s="71">
        <f t="shared" si="9"/>
        <v>0</v>
      </c>
      <c r="L23" s="71">
        <f t="shared" si="9"/>
        <v>0</v>
      </c>
      <c r="M23" s="71">
        <f t="shared" si="9"/>
        <v>0</v>
      </c>
      <c r="N23" s="165" t="s">
        <v>167</v>
      </c>
    </row>
    <row r="24" spans="1:17" ht="14">
      <c r="A24" s="142"/>
      <c r="E24" s="165"/>
      <c r="F24" s="165"/>
      <c r="G24" s="165"/>
      <c r="H24" s="165"/>
      <c r="I24" s="165"/>
    </row>
    <row r="25" spans="1:17" ht="14">
      <c r="A25" s="142"/>
    </row>
    <row r="26" spans="1:17" ht="14">
      <c r="A26" s="142"/>
    </row>
    <row r="27" spans="1:17" ht="14">
      <c r="A27" s="143" t="s">
        <v>174</v>
      </c>
      <c r="N27" s="165"/>
    </row>
    <row r="28" spans="1:17" ht="16.5" customHeight="1">
      <c r="A28" s="295" t="s">
        <v>521</v>
      </c>
    </row>
    <row r="29" spans="1:17" ht="16.5" customHeight="1">
      <c r="A29" s="295"/>
      <c r="E29" s="138">
        <v>2013</v>
      </c>
      <c r="F29" s="138">
        <v>2014</v>
      </c>
      <c r="G29" s="138">
        <v>2015</v>
      </c>
      <c r="H29" s="138">
        <v>2016</v>
      </c>
      <c r="I29" s="138">
        <v>2017</v>
      </c>
      <c r="J29" s="138">
        <v>2018</v>
      </c>
      <c r="K29" s="138">
        <v>2019</v>
      </c>
      <c r="L29" s="138">
        <v>2020</v>
      </c>
      <c r="M29" s="138">
        <v>2021</v>
      </c>
    </row>
    <row r="30" spans="1:17">
      <c r="A30" s="137" t="s">
        <v>278</v>
      </c>
      <c r="B30" s="139" t="s">
        <v>164</v>
      </c>
      <c r="C30" s="296" t="s">
        <v>122</v>
      </c>
      <c r="E30" s="209">
        <f t="shared" ref="E30:M30" si="10">CCTIRG</f>
        <v>8.7999999999999995E-2</v>
      </c>
      <c r="F30" s="209">
        <f t="shared" si="10"/>
        <v>8.7999999999999995E-2</v>
      </c>
      <c r="G30" s="209">
        <f t="shared" si="10"/>
        <v>8.7999999999999995E-2</v>
      </c>
      <c r="H30" s="209">
        <f t="shared" si="10"/>
        <v>8.7999999999999995E-2</v>
      </c>
      <c r="I30" s="209">
        <f t="shared" si="10"/>
        <v>8.7999999999999995E-2</v>
      </c>
      <c r="J30" s="209">
        <f t="shared" si="10"/>
        <v>8.7999999999999995E-2</v>
      </c>
      <c r="K30" s="209">
        <f t="shared" si="10"/>
        <v>8.7999999999999995E-2</v>
      </c>
      <c r="L30" s="209">
        <f t="shared" si="10"/>
        <v>8.7999999999999995E-2</v>
      </c>
      <c r="M30" s="209">
        <f t="shared" si="10"/>
        <v>8.7999999999999995E-2</v>
      </c>
      <c r="N30" s="165" t="s">
        <v>164</v>
      </c>
    </row>
    <row r="31" spans="1:17" s="139" customFormat="1">
      <c r="A31" s="148" t="s">
        <v>285</v>
      </c>
      <c r="B31" s="139" t="s">
        <v>160</v>
      </c>
      <c r="C31" s="285" t="s">
        <v>1</v>
      </c>
      <c r="E31" s="178">
        <f t="shared" ref="E31:M31" si="11">FTIRGC</f>
        <v>0</v>
      </c>
      <c r="F31" s="178">
        <f t="shared" si="11"/>
        <v>0</v>
      </c>
      <c r="G31" s="178">
        <f t="shared" si="11"/>
        <v>0</v>
      </c>
      <c r="H31" s="178">
        <f t="shared" si="11"/>
        <v>0</v>
      </c>
      <c r="I31" s="178">
        <f t="shared" si="11"/>
        <v>0</v>
      </c>
      <c r="J31" s="178">
        <f t="shared" si="11"/>
        <v>0</v>
      </c>
      <c r="K31" s="178">
        <f t="shared" si="11"/>
        <v>0</v>
      </c>
      <c r="L31" s="178">
        <f t="shared" si="11"/>
        <v>0</v>
      </c>
      <c r="M31" s="178">
        <f t="shared" si="11"/>
        <v>0</v>
      </c>
      <c r="N31" s="165" t="s">
        <v>160</v>
      </c>
    </row>
    <row r="32" spans="1:17">
      <c r="A32" s="137" t="s">
        <v>279</v>
      </c>
      <c r="B32" s="139" t="s">
        <v>175</v>
      </c>
      <c r="C32" s="285" t="s">
        <v>1</v>
      </c>
      <c r="E32" s="164">
        <f t="shared" ref="E32:M32" si="12">AFFTIRG</f>
        <v>0</v>
      </c>
      <c r="F32" s="164">
        <f t="shared" si="12"/>
        <v>0</v>
      </c>
      <c r="G32" s="164">
        <f t="shared" si="12"/>
        <v>0</v>
      </c>
      <c r="H32" s="164">
        <f t="shared" si="12"/>
        <v>0</v>
      </c>
      <c r="I32" s="164">
        <f t="shared" si="12"/>
        <v>0</v>
      </c>
      <c r="J32" s="164">
        <f t="shared" si="12"/>
        <v>0</v>
      </c>
      <c r="K32" s="164">
        <f t="shared" si="12"/>
        <v>0</v>
      </c>
      <c r="L32" s="164">
        <f t="shared" si="12"/>
        <v>0</v>
      </c>
      <c r="M32" s="164">
        <f t="shared" si="12"/>
        <v>0</v>
      </c>
      <c r="N32" s="165" t="s">
        <v>175</v>
      </c>
      <c r="Q32" s="224"/>
    </row>
    <row r="33" spans="1:14">
      <c r="A33" s="302" t="s">
        <v>72</v>
      </c>
      <c r="B33" s="139" t="s">
        <v>132</v>
      </c>
      <c r="C33" s="281" t="s">
        <v>500</v>
      </c>
      <c r="E33" s="164">
        <f t="shared" ref="E33:M33" si="13">RPIF</f>
        <v>1.1344000000000001</v>
      </c>
      <c r="F33" s="164">
        <f t="shared" si="13"/>
        <v>1.163</v>
      </c>
      <c r="G33" s="164">
        <f t="shared" si="13"/>
        <v>1.2050000000000001</v>
      </c>
      <c r="H33" s="164">
        <f t="shared" si="13"/>
        <v>1.2270000000000001</v>
      </c>
      <c r="I33" s="164">
        <f t="shared" si="13"/>
        <v>1.2330000000000001</v>
      </c>
      <c r="J33" s="164">
        <f t="shared" si="13"/>
        <v>1.2709999999999999</v>
      </c>
      <c r="K33" s="164">
        <f t="shared" si="13"/>
        <v>1.3140000000000001</v>
      </c>
      <c r="L33" s="164">
        <f t="shared" si="13"/>
        <v>1.3580000000000001</v>
      </c>
      <c r="M33" s="164">
        <f t="shared" si="13"/>
        <v>1.38</v>
      </c>
      <c r="N33" s="165" t="s">
        <v>132</v>
      </c>
    </row>
    <row r="34" spans="1:14">
      <c r="B34" s="139" t="s">
        <v>187</v>
      </c>
      <c r="E34" s="71">
        <f>(E31+E32)*E30*E33</f>
        <v>0</v>
      </c>
      <c r="F34" s="71">
        <f t="shared" ref="F34:M34" si="14">(F31+F32)*F30*F33</f>
        <v>0</v>
      </c>
      <c r="G34" s="71">
        <f t="shared" si="14"/>
        <v>0</v>
      </c>
      <c r="H34" s="71">
        <f t="shared" si="14"/>
        <v>0</v>
      </c>
      <c r="I34" s="71">
        <f t="shared" si="14"/>
        <v>0</v>
      </c>
      <c r="J34" s="71">
        <f t="shared" si="14"/>
        <v>0</v>
      </c>
      <c r="K34" s="71">
        <f t="shared" si="14"/>
        <v>0</v>
      </c>
      <c r="L34" s="71">
        <f t="shared" si="14"/>
        <v>0</v>
      </c>
      <c r="M34" s="71">
        <f t="shared" si="14"/>
        <v>0</v>
      </c>
    </row>
    <row r="35" spans="1:14" ht="14">
      <c r="B35" s="142"/>
    </row>
    <row r="36" spans="1:14">
      <c r="A36" s="147" t="s">
        <v>286</v>
      </c>
      <c r="B36" s="139" t="s">
        <v>176</v>
      </c>
      <c r="C36" s="285" t="s">
        <v>1</v>
      </c>
      <c r="E36" s="164">
        <f t="shared" ref="E36:M36" si="15">ftirgdepn</f>
        <v>0</v>
      </c>
      <c r="F36" s="164">
        <f t="shared" si="15"/>
        <v>0</v>
      </c>
      <c r="G36" s="164">
        <f t="shared" si="15"/>
        <v>0</v>
      </c>
      <c r="H36" s="164">
        <f t="shared" si="15"/>
        <v>0</v>
      </c>
      <c r="I36" s="164">
        <f t="shared" si="15"/>
        <v>0</v>
      </c>
      <c r="J36" s="164">
        <f t="shared" si="15"/>
        <v>0</v>
      </c>
      <c r="K36" s="164">
        <f t="shared" si="15"/>
        <v>0</v>
      </c>
      <c r="L36" s="164">
        <f t="shared" si="15"/>
        <v>0</v>
      </c>
      <c r="M36" s="164">
        <f t="shared" si="15"/>
        <v>0</v>
      </c>
      <c r="N36" s="165" t="s">
        <v>176</v>
      </c>
    </row>
    <row r="37" spans="1:14">
      <c r="A37" s="137" t="s">
        <v>281</v>
      </c>
      <c r="B37" s="139" t="s">
        <v>177</v>
      </c>
      <c r="C37" s="285" t="s">
        <v>1</v>
      </c>
      <c r="E37" s="164">
        <f t="shared" ref="E37:M37" si="16">AFFTIRGDEPN</f>
        <v>0</v>
      </c>
      <c r="F37" s="164">
        <f t="shared" si="16"/>
        <v>0</v>
      </c>
      <c r="G37" s="164">
        <f t="shared" si="16"/>
        <v>0</v>
      </c>
      <c r="H37" s="164">
        <f t="shared" si="16"/>
        <v>0</v>
      </c>
      <c r="I37" s="164">
        <f t="shared" si="16"/>
        <v>0</v>
      </c>
      <c r="J37" s="164">
        <f t="shared" si="16"/>
        <v>0</v>
      </c>
      <c r="K37" s="164">
        <f t="shared" si="16"/>
        <v>0</v>
      </c>
      <c r="L37" s="164">
        <f t="shared" si="16"/>
        <v>0</v>
      </c>
      <c r="M37" s="164">
        <f t="shared" si="16"/>
        <v>0</v>
      </c>
      <c r="N37" s="165" t="s">
        <v>177</v>
      </c>
    </row>
    <row r="38" spans="1:14">
      <c r="A38" s="302" t="s">
        <v>72</v>
      </c>
      <c r="B38" s="139" t="s">
        <v>132</v>
      </c>
      <c r="C38" s="281" t="s">
        <v>500</v>
      </c>
      <c r="E38" s="223">
        <f t="shared" ref="E38:M38" si="17">RPIF</f>
        <v>1.1344000000000001</v>
      </c>
      <c r="F38" s="223">
        <f t="shared" si="17"/>
        <v>1.163</v>
      </c>
      <c r="G38" s="223">
        <f t="shared" si="17"/>
        <v>1.2050000000000001</v>
      </c>
      <c r="H38" s="223">
        <f t="shared" si="17"/>
        <v>1.2270000000000001</v>
      </c>
      <c r="I38" s="223">
        <f t="shared" si="17"/>
        <v>1.2330000000000001</v>
      </c>
      <c r="J38" s="223">
        <f t="shared" si="17"/>
        <v>1.2709999999999999</v>
      </c>
      <c r="K38" s="223">
        <f t="shared" si="17"/>
        <v>1.3140000000000001</v>
      </c>
      <c r="L38" s="223">
        <f t="shared" si="17"/>
        <v>1.3580000000000001</v>
      </c>
      <c r="M38" s="223">
        <f t="shared" si="17"/>
        <v>1.38</v>
      </c>
      <c r="N38" s="165" t="s">
        <v>132</v>
      </c>
    </row>
    <row r="39" spans="1:14">
      <c r="B39" s="139" t="s">
        <v>188</v>
      </c>
      <c r="E39" s="71">
        <f>(E36+E37)*E38</f>
        <v>0</v>
      </c>
      <c r="F39" s="71">
        <f t="shared" ref="F39:M39" si="18">(F36+F37)*F38</f>
        <v>0</v>
      </c>
      <c r="G39" s="71">
        <f t="shared" si="18"/>
        <v>0</v>
      </c>
      <c r="H39" s="71">
        <f t="shared" si="18"/>
        <v>0</v>
      </c>
      <c r="I39" s="71">
        <f t="shared" si="18"/>
        <v>0</v>
      </c>
      <c r="J39" s="71">
        <f t="shared" si="18"/>
        <v>0</v>
      </c>
      <c r="K39" s="71">
        <f t="shared" si="18"/>
        <v>0</v>
      </c>
      <c r="L39" s="71">
        <f t="shared" si="18"/>
        <v>0</v>
      </c>
      <c r="M39" s="71">
        <f t="shared" si="18"/>
        <v>0</v>
      </c>
    </row>
    <row r="40" spans="1:14">
      <c r="B40" s="139"/>
    </row>
    <row r="41" spans="1:14">
      <c r="A41" s="402" t="s">
        <v>760</v>
      </c>
      <c r="B41" s="139" t="s">
        <v>169</v>
      </c>
      <c r="C41" s="285" t="s">
        <v>1</v>
      </c>
      <c r="E41" s="71">
        <f>E34+E39</f>
        <v>0</v>
      </c>
      <c r="F41" s="71">
        <f t="shared" ref="F41:M41" si="19">F34+F39</f>
        <v>0</v>
      </c>
      <c r="G41" s="71">
        <f t="shared" si="19"/>
        <v>0</v>
      </c>
      <c r="H41" s="71">
        <f t="shared" si="19"/>
        <v>0</v>
      </c>
      <c r="I41" s="71">
        <f t="shared" si="19"/>
        <v>0</v>
      </c>
      <c r="J41" s="71">
        <f t="shared" si="19"/>
        <v>0</v>
      </c>
      <c r="K41" s="71">
        <f t="shared" si="19"/>
        <v>0</v>
      </c>
      <c r="L41" s="71">
        <f t="shared" si="19"/>
        <v>0</v>
      </c>
      <c r="M41" s="71">
        <f t="shared" si="19"/>
        <v>0</v>
      </c>
      <c r="N41" s="406" t="s">
        <v>169</v>
      </c>
    </row>
    <row r="42" spans="1:14" ht="14">
      <c r="A42" s="142"/>
      <c r="B42" s="139"/>
      <c r="E42" s="165"/>
      <c r="F42" s="165"/>
      <c r="G42" s="165"/>
      <c r="H42" s="165"/>
    </row>
    <row r="43" spans="1:14" ht="14">
      <c r="A43" s="142"/>
      <c r="B43" s="139"/>
    </row>
    <row r="44" spans="1:14" ht="14">
      <c r="A44" s="143" t="s">
        <v>178</v>
      </c>
      <c r="B44" s="139"/>
    </row>
    <row r="45" spans="1:14">
      <c r="A45" s="295" t="s">
        <v>522</v>
      </c>
      <c r="B45" s="139"/>
    </row>
    <row r="46" spans="1:14" ht="14">
      <c r="A46" s="142"/>
      <c r="B46" s="139"/>
      <c r="K46" s="165"/>
    </row>
    <row r="47" spans="1:14" ht="14">
      <c r="A47" s="142"/>
      <c r="B47" s="139"/>
    </row>
    <row r="48" spans="1:14" ht="14">
      <c r="A48" s="142"/>
      <c r="B48" s="139"/>
      <c r="K48" s="165"/>
    </row>
    <row r="49" spans="1:14" ht="14">
      <c r="A49" s="142"/>
      <c r="B49" s="139"/>
    </row>
    <row r="50" spans="1:14" ht="14">
      <c r="A50" s="142"/>
      <c r="B50" s="139"/>
    </row>
    <row r="51" spans="1:14" ht="14.5">
      <c r="A51" s="142"/>
      <c r="B51" s="139"/>
      <c r="E51" s="138">
        <v>2013</v>
      </c>
      <c r="F51" s="138">
        <v>2014</v>
      </c>
      <c r="G51" s="138">
        <v>2015</v>
      </c>
      <c r="H51" s="138">
        <v>2016</v>
      </c>
      <c r="I51" s="138">
        <v>2017</v>
      </c>
      <c r="J51" s="138">
        <v>2018</v>
      </c>
      <c r="K51" s="138">
        <v>2019</v>
      </c>
      <c r="L51" s="138">
        <v>2020</v>
      </c>
      <c r="M51" s="138">
        <v>2021</v>
      </c>
    </row>
    <row r="52" spans="1:14">
      <c r="A52" s="137" t="s">
        <v>278</v>
      </c>
      <c r="B52" s="139" t="s">
        <v>164</v>
      </c>
      <c r="C52" s="285" t="s">
        <v>122</v>
      </c>
      <c r="E52" s="209">
        <f t="shared" ref="E52:M52" si="20">CCTIRG</f>
        <v>8.7999999999999995E-2</v>
      </c>
      <c r="F52" s="209">
        <f t="shared" si="20"/>
        <v>8.7999999999999995E-2</v>
      </c>
      <c r="G52" s="209">
        <f t="shared" si="20"/>
        <v>8.7999999999999995E-2</v>
      </c>
      <c r="H52" s="209">
        <f t="shared" si="20"/>
        <v>8.7999999999999995E-2</v>
      </c>
      <c r="I52" s="209">
        <f t="shared" si="20"/>
        <v>8.7999999999999995E-2</v>
      </c>
      <c r="J52" s="209">
        <f t="shared" si="20"/>
        <v>8.7999999999999995E-2</v>
      </c>
      <c r="K52" s="209">
        <f t="shared" si="20"/>
        <v>8.7999999999999995E-2</v>
      </c>
      <c r="L52" s="209">
        <f t="shared" si="20"/>
        <v>8.7999999999999995E-2</v>
      </c>
      <c r="M52" s="209">
        <f t="shared" si="20"/>
        <v>8.7999999999999995E-2</v>
      </c>
      <c r="N52" s="406" t="s">
        <v>164</v>
      </c>
    </row>
    <row r="53" spans="1:14">
      <c r="A53" s="147" t="s">
        <v>289</v>
      </c>
      <c r="B53" s="139" t="s">
        <v>165</v>
      </c>
      <c r="C53" s="285" t="s">
        <v>1</v>
      </c>
      <c r="E53" s="164">
        <f>ETIRGC</f>
        <v>100.15300000000001</v>
      </c>
      <c r="F53" s="164">
        <f t="shared" ref="F53:M53" si="21">ETIRGC</f>
        <v>94.739000000000004</v>
      </c>
      <c r="G53" s="164">
        <f t="shared" si="21"/>
        <v>89.325999999999993</v>
      </c>
      <c r="H53" s="164">
        <f t="shared" si="21"/>
        <v>83.912000000000006</v>
      </c>
      <c r="I53" s="164">
        <f t="shared" si="21"/>
        <v>0</v>
      </c>
      <c r="J53" s="164">
        <f t="shared" si="21"/>
        <v>0</v>
      </c>
      <c r="K53" s="164">
        <f t="shared" si="21"/>
        <v>0</v>
      </c>
      <c r="L53" s="164">
        <f t="shared" si="21"/>
        <v>0</v>
      </c>
      <c r="M53" s="164">
        <f t="shared" si="21"/>
        <v>0</v>
      </c>
      <c r="N53" s="406" t="s">
        <v>165</v>
      </c>
    </row>
    <row r="54" spans="1:14">
      <c r="B54" s="139"/>
    </row>
    <row r="55" spans="1:14">
      <c r="A55" s="137" t="s">
        <v>282</v>
      </c>
      <c r="B55" s="139" t="s">
        <v>179</v>
      </c>
      <c r="C55" s="285" t="s">
        <v>1</v>
      </c>
      <c r="E55" s="164">
        <f t="shared" ref="E55:M55" si="22">SAFTIRG</f>
        <v>0</v>
      </c>
      <c r="F55" s="164">
        <f t="shared" si="22"/>
        <v>0</v>
      </c>
      <c r="G55" s="164">
        <f t="shared" si="22"/>
        <v>0</v>
      </c>
      <c r="H55" s="164">
        <f t="shared" si="22"/>
        <v>0</v>
      </c>
      <c r="I55" s="164">
        <f t="shared" si="22"/>
        <v>0</v>
      </c>
      <c r="J55" s="164">
        <f t="shared" si="22"/>
        <v>0</v>
      </c>
      <c r="K55" s="164">
        <f t="shared" si="22"/>
        <v>0</v>
      </c>
      <c r="L55" s="164">
        <f t="shared" si="22"/>
        <v>0</v>
      </c>
      <c r="M55" s="164">
        <f t="shared" si="22"/>
        <v>0</v>
      </c>
      <c r="N55" s="406" t="s">
        <v>179</v>
      </c>
    </row>
    <row r="56" spans="1:14">
      <c r="A56" s="147" t="s">
        <v>287</v>
      </c>
      <c r="B56" s="139" t="s">
        <v>162</v>
      </c>
      <c r="C56" s="285" t="s">
        <v>1</v>
      </c>
      <c r="E56" s="164">
        <f>ETIRGORAV</f>
        <v>105.983</v>
      </c>
      <c r="F56" s="164">
        <f t="shared" ref="F56:M56" si="23">ETIRGORAV</f>
        <v>105.983</v>
      </c>
      <c r="G56" s="164">
        <f t="shared" si="23"/>
        <v>105.983</v>
      </c>
      <c r="H56" s="164">
        <f t="shared" si="23"/>
        <v>105.983</v>
      </c>
      <c r="I56" s="164">
        <f t="shared" si="23"/>
        <v>105.983</v>
      </c>
      <c r="J56" s="164">
        <f t="shared" si="23"/>
        <v>105.983</v>
      </c>
      <c r="K56" s="164">
        <f t="shared" si="23"/>
        <v>105.983</v>
      </c>
      <c r="L56" s="164">
        <f t="shared" si="23"/>
        <v>105.983</v>
      </c>
      <c r="M56" s="164">
        <f t="shared" si="23"/>
        <v>105.983</v>
      </c>
      <c r="N56" s="406" t="s">
        <v>162</v>
      </c>
    </row>
    <row r="57" spans="1:14">
      <c r="A57" s="139" t="s">
        <v>180</v>
      </c>
      <c r="B57" s="139" t="s">
        <v>181</v>
      </c>
      <c r="C57" s="281" t="s">
        <v>500</v>
      </c>
      <c r="E57" s="71">
        <f>IF(E55&gt;0,E55/E56,1)</f>
        <v>1</v>
      </c>
      <c r="F57" s="71">
        <f t="shared" ref="F57:M57" si="24">IF(F55&gt;0,F55/F56,1)</f>
        <v>1</v>
      </c>
      <c r="G57" s="71">
        <f t="shared" si="24"/>
        <v>1</v>
      </c>
      <c r="H57" s="71">
        <f>IF(H55&gt;0,H55/H56,1)</f>
        <v>1</v>
      </c>
      <c r="I57" s="71">
        <f t="shared" si="24"/>
        <v>1</v>
      </c>
      <c r="J57" s="71">
        <f t="shared" si="24"/>
        <v>1</v>
      </c>
      <c r="K57" s="71">
        <f t="shared" si="24"/>
        <v>1</v>
      </c>
      <c r="L57" s="71">
        <f t="shared" si="24"/>
        <v>1</v>
      </c>
      <c r="M57" s="71">
        <f t="shared" si="24"/>
        <v>1</v>
      </c>
    </row>
    <row r="58" spans="1:14">
      <c r="B58" s="139"/>
    </row>
    <row r="59" spans="1:14">
      <c r="A59" s="302" t="s">
        <v>72</v>
      </c>
      <c r="B59" s="139" t="s">
        <v>132</v>
      </c>
      <c r="C59" s="281" t="s">
        <v>500</v>
      </c>
      <c r="E59" s="223">
        <f t="shared" ref="E59:M59" si="25">RPIF</f>
        <v>1.1344000000000001</v>
      </c>
      <c r="F59" s="223">
        <f t="shared" si="25"/>
        <v>1.163</v>
      </c>
      <c r="G59" s="223">
        <f t="shared" si="25"/>
        <v>1.2050000000000001</v>
      </c>
      <c r="H59" s="223">
        <f t="shared" si="25"/>
        <v>1.2270000000000001</v>
      </c>
      <c r="I59" s="223">
        <f t="shared" si="25"/>
        <v>1.2330000000000001</v>
      </c>
      <c r="J59" s="223">
        <f t="shared" si="25"/>
        <v>1.2709999999999999</v>
      </c>
      <c r="K59" s="223">
        <f t="shared" si="25"/>
        <v>1.3140000000000001</v>
      </c>
      <c r="L59" s="223">
        <f t="shared" si="25"/>
        <v>1.3580000000000001</v>
      </c>
      <c r="M59" s="223">
        <f t="shared" si="25"/>
        <v>1.38</v>
      </c>
      <c r="N59" s="406" t="s">
        <v>132</v>
      </c>
    </row>
    <row r="60" spans="1:14">
      <c r="B60" s="139"/>
    </row>
    <row r="61" spans="1:14">
      <c r="A61" s="139" t="s">
        <v>328</v>
      </c>
      <c r="C61" s="285" t="s">
        <v>1</v>
      </c>
      <c r="E61" s="71">
        <f>E52*(E57*E53)*E59</f>
        <v>9.9979935615999995</v>
      </c>
      <c r="F61" s="71">
        <f>F52*(F57*F53)*F59</f>
        <v>9.6959682160000007</v>
      </c>
      <c r="G61" s="71">
        <f t="shared" ref="G61:M61" si="26">G52*(G57*G53)*G59</f>
        <v>9.4721290399999987</v>
      </c>
      <c r="H61" s="71">
        <f t="shared" si="26"/>
        <v>9.0604821120000008</v>
      </c>
      <c r="I61" s="71">
        <f t="shared" si="26"/>
        <v>0</v>
      </c>
      <c r="J61" s="71">
        <f t="shared" si="26"/>
        <v>0</v>
      </c>
      <c r="K61" s="71">
        <f t="shared" si="26"/>
        <v>0</v>
      </c>
      <c r="L61" s="71">
        <f t="shared" si="26"/>
        <v>0</v>
      </c>
      <c r="M61" s="71">
        <f t="shared" si="26"/>
        <v>0</v>
      </c>
    </row>
    <row r="62" spans="1:14">
      <c r="A62" s="139"/>
      <c r="E62" s="165"/>
      <c r="F62" s="165"/>
      <c r="G62" s="165"/>
      <c r="H62" s="165"/>
    </row>
    <row r="63" spans="1:14">
      <c r="A63" s="139"/>
    </row>
    <row r="64" spans="1:14">
      <c r="A64" s="147" t="s">
        <v>288</v>
      </c>
      <c r="B64" s="139" t="s">
        <v>163</v>
      </c>
      <c r="C64" s="285" t="s">
        <v>1</v>
      </c>
      <c r="E64" s="164">
        <f t="shared" ref="E64:L64" si="27">Dep</f>
        <v>5.4139999999999997</v>
      </c>
      <c r="F64" s="164">
        <f t="shared" si="27"/>
        <v>5.4139999999999997</v>
      </c>
      <c r="G64" s="164">
        <f t="shared" si="27"/>
        <v>5.4139999999999997</v>
      </c>
      <c r="H64" s="164">
        <f t="shared" si="27"/>
        <v>5.4139999999999997</v>
      </c>
      <c r="I64" s="164">
        <f t="shared" si="27"/>
        <v>0</v>
      </c>
      <c r="J64" s="164">
        <f t="shared" si="27"/>
        <v>0</v>
      </c>
      <c r="K64" s="164">
        <f t="shared" si="27"/>
        <v>0</v>
      </c>
      <c r="L64" s="164">
        <f t="shared" si="27"/>
        <v>0</v>
      </c>
      <c r="M64" s="164">
        <f>Dep</f>
        <v>0</v>
      </c>
      <c r="N64" s="406" t="s">
        <v>163</v>
      </c>
    </row>
    <row r="65" spans="1:14">
      <c r="A65" s="139" t="s">
        <v>180</v>
      </c>
      <c r="B65" s="139" t="s">
        <v>181</v>
      </c>
      <c r="C65" s="285" t="s">
        <v>1</v>
      </c>
      <c r="E65" s="164">
        <f>E57</f>
        <v>1</v>
      </c>
      <c r="F65" s="164">
        <f t="shared" ref="F65:M65" si="28">F57</f>
        <v>1</v>
      </c>
      <c r="G65" s="164">
        <f t="shared" si="28"/>
        <v>1</v>
      </c>
      <c r="H65" s="164">
        <f t="shared" si="28"/>
        <v>1</v>
      </c>
      <c r="I65" s="164">
        <f t="shared" si="28"/>
        <v>1</v>
      </c>
      <c r="J65" s="164">
        <f t="shared" si="28"/>
        <v>1</v>
      </c>
      <c r="K65" s="164">
        <f t="shared" si="28"/>
        <v>1</v>
      </c>
      <c r="L65" s="164">
        <f t="shared" si="28"/>
        <v>1</v>
      </c>
      <c r="M65" s="164">
        <f t="shared" si="28"/>
        <v>1</v>
      </c>
    </row>
    <row r="66" spans="1:14">
      <c r="A66" s="302" t="s">
        <v>72</v>
      </c>
      <c r="B66" s="139" t="s">
        <v>132</v>
      </c>
      <c r="C66" s="281" t="s">
        <v>500</v>
      </c>
      <c r="E66" s="223">
        <f t="shared" ref="E66:M66" si="29">RPIF</f>
        <v>1.1344000000000001</v>
      </c>
      <c r="F66" s="223">
        <f t="shared" si="29"/>
        <v>1.163</v>
      </c>
      <c r="G66" s="223">
        <f t="shared" si="29"/>
        <v>1.2050000000000001</v>
      </c>
      <c r="H66" s="223">
        <f t="shared" si="29"/>
        <v>1.2270000000000001</v>
      </c>
      <c r="I66" s="223">
        <f t="shared" si="29"/>
        <v>1.2330000000000001</v>
      </c>
      <c r="J66" s="223">
        <f t="shared" si="29"/>
        <v>1.2709999999999999</v>
      </c>
      <c r="K66" s="223">
        <f t="shared" si="29"/>
        <v>1.3140000000000001</v>
      </c>
      <c r="L66" s="223">
        <f t="shared" si="29"/>
        <v>1.3580000000000001</v>
      </c>
      <c r="M66" s="223">
        <f t="shared" si="29"/>
        <v>1.38</v>
      </c>
      <c r="N66" s="406" t="s">
        <v>132</v>
      </c>
    </row>
    <row r="67" spans="1:14">
      <c r="A67" s="139" t="s">
        <v>210</v>
      </c>
      <c r="E67" s="71">
        <f>E64*E65*E66</f>
        <v>6.1416415999999998</v>
      </c>
      <c r="F67" s="71">
        <f t="shared" ref="F67:M67" si="30">F64*F65*F66</f>
        <v>6.2964820000000001</v>
      </c>
      <c r="G67" s="71">
        <f t="shared" si="30"/>
        <v>6.5238699999999996</v>
      </c>
      <c r="H67" s="71">
        <f t="shared" si="30"/>
        <v>6.6429780000000003</v>
      </c>
      <c r="I67" s="71">
        <f t="shared" si="30"/>
        <v>0</v>
      </c>
      <c r="J67" s="71">
        <f t="shared" si="30"/>
        <v>0</v>
      </c>
      <c r="K67" s="71">
        <f t="shared" si="30"/>
        <v>0</v>
      </c>
      <c r="L67" s="71">
        <f t="shared" si="30"/>
        <v>0</v>
      </c>
      <c r="M67" s="71">
        <f t="shared" si="30"/>
        <v>0</v>
      </c>
    </row>
    <row r="68" spans="1:14">
      <c r="B68" s="139"/>
    </row>
    <row r="69" spans="1:14">
      <c r="A69" s="402" t="s">
        <v>761</v>
      </c>
      <c r="B69" s="139" t="s">
        <v>170</v>
      </c>
      <c r="C69" s="285" t="s">
        <v>1</v>
      </c>
      <c r="E69" s="71">
        <f>E61+E67</f>
        <v>16.139635161599998</v>
      </c>
      <c r="F69" s="71">
        <f t="shared" ref="F69:M69" si="31">F61+F67</f>
        <v>15.992450216000002</v>
      </c>
      <c r="G69" s="71">
        <f t="shared" si="31"/>
        <v>15.995999039999997</v>
      </c>
      <c r="H69" s="71">
        <f t="shared" si="31"/>
        <v>15.703460112000002</v>
      </c>
      <c r="I69" s="71">
        <f t="shared" si="31"/>
        <v>0</v>
      </c>
      <c r="J69" s="71">
        <f t="shared" si="31"/>
        <v>0</v>
      </c>
      <c r="K69" s="71">
        <f t="shared" si="31"/>
        <v>0</v>
      </c>
      <c r="L69" s="71">
        <f t="shared" si="31"/>
        <v>0</v>
      </c>
      <c r="M69" s="71">
        <f t="shared" si="31"/>
        <v>0</v>
      </c>
      <c r="N69" s="406" t="s">
        <v>170</v>
      </c>
    </row>
    <row r="70" spans="1:14">
      <c r="F70" s="165"/>
      <c r="G70" s="165"/>
      <c r="H70" s="165"/>
      <c r="I70" s="165"/>
    </row>
    <row r="72" spans="1:14">
      <c r="B72" s="153"/>
    </row>
    <row r="73" spans="1:14">
      <c r="B73" s="153"/>
    </row>
    <row r="74" spans="1:14">
      <c r="B74" s="153"/>
    </row>
    <row r="75" spans="1:14">
      <c r="B75" s="147"/>
    </row>
    <row r="78" spans="1:14">
      <c r="G78" s="139"/>
    </row>
  </sheetData>
  <pageMargins left="0.23622047244094491" right="0.15748031496062992" top="0.35433070866141736" bottom="0.62992125984251968" header="0.15748031496062992" footer="0.27559055118110237"/>
  <pageSetup paperSize="9" scale="85" fitToHeight="2" orientation="landscape" r:id="rId1"/>
  <headerFooter>
    <oddFooter>&amp;C&amp;D&amp;R&amp;F</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FFCC"/>
    <pageSetUpPr fitToPage="1"/>
  </sheetPr>
  <dimension ref="A1:L63"/>
  <sheetViews>
    <sheetView showGridLines="0" view="pageBreakPreview" topLeftCell="A21" zoomScale="85" zoomScaleNormal="60" zoomScaleSheetLayoutView="85" workbookViewId="0"/>
  </sheetViews>
  <sheetFormatPr defaultColWidth="0" defaultRowHeight="0" customHeight="1" zeroHeight="1"/>
  <cols>
    <col min="1" max="1" width="2.3828125" style="227" customWidth="1"/>
    <col min="2" max="6" width="8" style="227" customWidth="1"/>
    <col min="7" max="7" width="20.3828125" style="227" customWidth="1"/>
    <col min="8" max="8" width="2.3828125" style="227" customWidth="1"/>
    <col min="9" max="9" width="18.84375" style="227" customWidth="1"/>
    <col min="10" max="10" width="2.84375" style="227" customWidth="1"/>
    <col min="11" max="11" width="26" style="227" customWidth="1"/>
    <col min="12" max="12" width="2.3828125" style="227" customWidth="1"/>
    <col min="13" max="16384" width="0" style="227" hidden="1"/>
  </cols>
  <sheetData>
    <row r="1" spans="1:11" s="148" customFormat="1" ht="15">
      <c r="A1" s="157" t="s">
        <v>837</v>
      </c>
      <c r="B1" s="39"/>
      <c r="C1" s="39"/>
      <c r="D1" s="39"/>
      <c r="E1" s="40"/>
      <c r="F1" s="39"/>
      <c r="G1" s="39"/>
    </row>
    <row r="2" spans="1:11" s="148" customFormat="1" ht="15">
      <c r="A2" s="157" t="str">
        <f>CompName</f>
        <v>National Grid Electricity System Operator Ltd</v>
      </c>
      <c r="B2" s="39"/>
      <c r="C2" s="39"/>
      <c r="D2" s="39"/>
      <c r="E2" s="40"/>
      <c r="F2" s="39"/>
      <c r="G2" s="39"/>
    </row>
    <row r="3" spans="1:11" s="148" customFormat="1" ht="13.5">
      <c r="A3" s="159"/>
      <c r="B3" s="39"/>
      <c r="C3" s="39" t="s">
        <v>284</v>
      </c>
      <c r="D3" s="39"/>
      <c r="E3" s="40"/>
      <c r="F3" s="39"/>
      <c r="G3" s="39"/>
    </row>
    <row r="4" spans="1:11" s="148" customFormat="1" ht="15">
      <c r="A4" s="157"/>
      <c r="B4" s="39"/>
      <c r="C4" s="39"/>
      <c r="D4" s="39"/>
      <c r="E4" s="40"/>
      <c r="F4" s="39"/>
      <c r="G4" s="39"/>
    </row>
    <row r="5" spans="1:11" ht="5.25" customHeight="1">
      <c r="B5" s="239"/>
      <c r="C5" s="239"/>
      <c r="D5" s="239"/>
      <c r="E5" s="239"/>
      <c r="F5" s="239"/>
      <c r="G5" s="239"/>
    </row>
    <row r="6" spans="1:11" ht="14">
      <c r="B6" s="239"/>
      <c r="C6" s="258" t="s">
        <v>283</v>
      </c>
      <c r="D6" s="258" t="str">
        <f>RegYr</f>
        <v>Regulatory Year ending 31 March 2021</v>
      </c>
      <c r="E6" s="239"/>
      <c r="F6" s="239"/>
      <c r="G6" s="239"/>
    </row>
    <row r="7" spans="1:11" ht="5.25" customHeight="1">
      <c r="B7" s="239"/>
      <c r="C7" s="239"/>
      <c r="D7" s="239"/>
      <c r="E7" s="239"/>
      <c r="F7" s="239"/>
      <c r="G7" s="239"/>
    </row>
    <row r="8" spans="1:11" ht="14" hidden="1">
      <c r="A8" s="245"/>
      <c r="B8" s="9"/>
      <c r="C8" s="9"/>
      <c r="D8" s="9"/>
      <c r="E8" s="9"/>
      <c r="F8" s="10"/>
      <c r="G8" s="9"/>
      <c r="H8" s="245"/>
      <c r="I8" s="245"/>
      <c r="J8" s="245"/>
      <c r="K8" s="245"/>
    </row>
    <row r="9" spans="1:11" ht="14">
      <c r="A9" s="8"/>
      <c r="B9" s="4"/>
      <c r="C9" s="4"/>
      <c r="D9" s="4"/>
      <c r="E9" s="4"/>
      <c r="F9" s="5"/>
      <c r="G9" s="4"/>
      <c r="H9" s="8"/>
      <c r="I9" s="247" t="s">
        <v>1</v>
      </c>
      <c r="J9" s="8"/>
      <c r="K9" s="247" t="s">
        <v>1</v>
      </c>
    </row>
    <row r="10" spans="1:11" ht="14">
      <c r="A10" s="8"/>
      <c r="B10" s="7" t="s">
        <v>97</v>
      </c>
      <c r="C10" s="4"/>
      <c r="D10" s="4"/>
      <c r="E10" s="4"/>
      <c r="F10" s="5"/>
      <c r="G10" s="4"/>
      <c r="H10" s="8"/>
      <c r="I10" s="247"/>
      <c r="J10" s="8"/>
      <c r="K10" s="247"/>
    </row>
    <row r="11" spans="1:11" s="250" customFormat="1" ht="14">
      <c r="A11" s="8"/>
      <c r="B11" s="239" t="s">
        <v>96</v>
      </c>
      <c r="C11" s="4"/>
      <c r="D11" s="4"/>
      <c r="E11" s="4"/>
      <c r="F11" s="5"/>
      <c r="G11" s="4"/>
      <c r="H11" s="8"/>
      <c r="I11" s="405">
        <f>'R10 Correction'!J9</f>
        <v>0</v>
      </c>
      <c r="J11" s="249"/>
      <c r="K11" s="249"/>
    </row>
    <row r="12" spans="1:11" s="250" customFormat="1" ht="14">
      <c r="A12" s="248"/>
      <c r="B12" s="4" t="s">
        <v>95</v>
      </c>
      <c r="C12" s="4"/>
      <c r="D12" s="4"/>
      <c r="E12" s="4"/>
      <c r="F12" s="5"/>
      <c r="G12" s="5"/>
      <c r="H12" s="8"/>
      <c r="I12" s="405" t="e">
        <f>#REF!</f>
        <v>#REF!</v>
      </c>
      <c r="J12" s="251"/>
      <c r="K12" s="251"/>
    </row>
    <row r="13" spans="1:11" s="250" customFormat="1" ht="14">
      <c r="A13" s="8"/>
      <c r="B13" s="4" t="s">
        <v>94</v>
      </c>
      <c r="C13" s="4"/>
      <c r="D13" s="4"/>
      <c r="E13" s="4"/>
      <c r="F13" s="5"/>
      <c r="G13" s="5"/>
      <c r="H13" s="8"/>
      <c r="I13" s="405">
        <f>'R15 SO Internal'!J18</f>
        <v>163.96062084237681</v>
      </c>
      <c r="J13" s="251"/>
      <c r="K13" s="252"/>
    </row>
    <row r="14" spans="1:11" s="250" customFormat="1" ht="14">
      <c r="A14" s="8"/>
      <c r="B14" s="4"/>
      <c r="C14" s="259"/>
      <c r="D14" s="4"/>
      <c r="E14" s="4"/>
      <c r="F14" s="5"/>
      <c r="G14" s="5"/>
      <c r="H14" s="8"/>
      <c r="I14" s="446"/>
      <c r="J14" s="251"/>
      <c r="K14" s="450" t="e">
        <f>SUM(I11:I13)</f>
        <v>#REF!</v>
      </c>
    </row>
    <row r="15" spans="1:11" s="250" customFormat="1" ht="14">
      <c r="A15" s="253"/>
      <c r="B15" s="4"/>
      <c r="C15" s="4"/>
      <c r="D15" s="4"/>
      <c r="E15" s="4"/>
      <c r="F15" s="5"/>
      <c r="G15" s="5"/>
      <c r="H15" s="8"/>
      <c r="I15" s="446"/>
      <c r="J15" s="251"/>
      <c r="K15" s="451"/>
    </row>
    <row r="16" spans="1:11" s="250" customFormat="1" ht="14" hidden="1">
      <c r="A16" s="8"/>
      <c r="B16" s="4"/>
      <c r="C16" s="4"/>
      <c r="D16" s="4"/>
      <c r="E16" s="4"/>
      <c r="F16" s="5"/>
      <c r="G16" s="4"/>
      <c r="H16" s="8"/>
      <c r="I16" s="446"/>
      <c r="J16" s="251"/>
      <c r="K16" s="451"/>
    </row>
    <row r="17" spans="1:11" s="250" customFormat="1" ht="14" hidden="1">
      <c r="A17" s="8"/>
      <c r="B17" s="4"/>
      <c r="C17" s="4"/>
      <c r="D17" s="4"/>
      <c r="E17" s="4"/>
      <c r="F17" s="5"/>
      <c r="G17" s="4"/>
      <c r="H17" s="8"/>
      <c r="I17" s="446"/>
      <c r="J17" s="251"/>
      <c r="K17" s="451"/>
    </row>
    <row r="18" spans="1:11" s="250" customFormat="1" ht="14">
      <c r="A18" s="8"/>
      <c r="B18" s="4" t="s">
        <v>93</v>
      </c>
      <c r="C18" s="4"/>
      <c r="D18" s="4"/>
      <c r="E18" s="4"/>
      <c r="F18" s="5"/>
      <c r="G18" s="4"/>
      <c r="H18" s="8"/>
      <c r="I18" s="446"/>
      <c r="J18" s="251"/>
      <c r="K18" s="451"/>
    </row>
    <row r="19" spans="1:11" s="250" customFormat="1" ht="14">
      <c r="A19" s="8"/>
      <c r="B19" s="4"/>
      <c r="C19" s="4" t="s">
        <v>92</v>
      </c>
      <c r="D19" s="4"/>
      <c r="E19" s="4"/>
      <c r="F19" s="5"/>
      <c r="G19" s="4"/>
      <c r="H19" s="8"/>
      <c r="I19" s="405">
        <f>'R13 Excluded Revenue'!G29</f>
        <v>0</v>
      </c>
      <c r="J19" s="251"/>
      <c r="K19" s="451"/>
    </row>
    <row r="20" spans="1:11" s="250" customFormat="1" ht="14">
      <c r="A20" s="8"/>
      <c r="B20" s="4"/>
      <c r="C20" s="4" t="s">
        <v>91</v>
      </c>
      <c r="D20" s="4"/>
      <c r="E20" s="4"/>
      <c r="F20" s="5"/>
      <c r="G20" s="4"/>
      <c r="H20" s="8"/>
      <c r="I20" s="447"/>
      <c r="J20" s="251"/>
      <c r="K20" s="451"/>
    </row>
    <row r="21" spans="1:11" s="250" customFormat="1" ht="14">
      <c r="A21" s="8"/>
      <c r="B21" s="4"/>
      <c r="C21" s="4" t="s">
        <v>90</v>
      </c>
      <c r="D21" s="4"/>
      <c r="E21" s="4"/>
      <c r="F21" s="5"/>
      <c r="G21" s="4"/>
      <c r="H21" s="8"/>
      <c r="I21" s="405">
        <f>'R13 Excluded Revenue'!G53</f>
        <v>0</v>
      </c>
      <c r="J21" s="251"/>
      <c r="K21" s="451"/>
    </row>
    <row r="22" spans="1:11" s="250" customFormat="1" ht="14">
      <c r="A22" s="8"/>
      <c r="B22" s="4"/>
      <c r="C22" s="4"/>
      <c r="D22" s="4"/>
      <c r="E22" s="4"/>
      <c r="F22" s="5"/>
      <c r="G22" s="4"/>
      <c r="H22" s="8"/>
      <c r="I22" s="446"/>
      <c r="J22" s="251"/>
      <c r="K22" s="450">
        <f>SUM(I19:I21)</f>
        <v>0</v>
      </c>
    </row>
    <row r="23" spans="1:11" s="250" customFormat="1" ht="9" customHeight="1">
      <c r="A23" s="8"/>
      <c r="B23" s="4"/>
      <c r="C23" s="4"/>
      <c r="D23" s="4"/>
      <c r="E23" s="4"/>
      <c r="F23" s="5"/>
      <c r="G23" s="4"/>
      <c r="H23" s="8"/>
      <c r="I23" s="446"/>
      <c r="J23" s="251"/>
      <c r="K23" s="451"/>
    </row>
    <row r="24" spans="1:11" s="250" customFormat="1" ht="14">
      <c r="A24" s="8"/>
      <c r="B24" s="4" t="s">
        <v>89</v>
      </c>
      <c r="C24" s="4"/>
      <c r="D24" s="4"/>
      <c r="E24" s="4"/>
      <c r="F24" s="5"/>
      <c r="G24" s="4"/>
      <c r="H24" s="8"/>
      <c r="I24" s="446"/>
      <c r="J24" s="251"/>
      <c r="K24" s="451"/>
    </row>
    <row r="25" spans="1:11" s="250" customFormat="1" ht="14">
      <c r="A25" s="8"/>
      <c r="B25" s="4" t="s">
        <v>88</v>
      </c>
      <c r="C25" s="4"/>
      <c r="D25" s="4"/>
      <c r="E25" s="4"/>
      <c r="F25" s="5"/>
      <c r="G25" s="4"/>
      <c r="H25" s="8"/>
      <c r="I25" s="446"/>
      <c r="J25" s="251"/>
      <c r="K25" s="451"/>
    </row>
    <row r="26" spans="1:11" s="250" customFormat="1" ht="5.25" customHeight="1">
      <c r="A26" s="8"/>
      <c r="B26" s="8"/>
      <c r="C26" s="8"/>
      <c r="D26" s="8"/>
      <c r="E26" s="8"/>
      <c r="F26" s="246"/>
      <c r="G26" s="8"/>
      <c r="H26" s="8"/>
      <c r="I26" s="446"/>
      <c r="J26" s="251"/>
      <c r="K26" s="451"/>
    </row>
    <row r="27" spans="1:11" s="250" customFormat="1" ht="15" customHeight="1">
      <c r="A27" s="8"/>
      <c r="B27" s="631"/>
      <c r="C27" s="632"/>
      <c r="D27" s="632"/>
      <c r="E27" s="632"/>
      <c r="F27" s="632"/>
      <c r="G27" s="633"/>
      <c r="H27" s="8"/>
      <c r="I27" s="448"/>
      <c r="J27" s="251"/>
      <c r="K27" s="451"/>
    </row>
    <row r="28" spans="1:11" s="250" customFormat="1" ht="33.75" customHeight="1">
      <c r="A28" s="8"/>
      <c r="B28" s="631"/>
      <c r="C28" s="632"/>
      <c r="D28" s="632"/>
      <c r="E28" s="632"/>
      <c r="F28" s="632"/>
      <c r="G28" s="633"/>
      <c r="H28" s="254"/>
      <c r="I28" s="448"/>
      <c r="J28" s="251"/>
      <c r="K28" s="451"/>
    </row>
    <row r="29" spans="1:11" s="250" customFormat="1" ht="15" customHeight="1">
      <c r="A29" s="8"/>
      <c r="B29" s="631"/>
      <c r="C29" s="632"/>
      <c r="D29" s="632"/>
      <c r="E29" s="632"/>
      <c r="F29" s="632"/>
      <c r="G29" s="633"/>
      <c r="H29" s="8"/>
      <c r="I29" s="448"/>
      <c r="J29" s="251"/>
      <c r="K29" s="451"/>
    </row>
    <row r="30" spans="1:11" s="250" customFormat="1" ht="15" customHeight="1">
      <c r="A30" s="8"/>
      <c r="B30" s="631"/>
      <c r="C30" s="632"/>
      <c r="D30" s="632"/>
      <c r="E30" s="632"/>
      <c r="F30" s="632"/>
      <c r="G30" s="633"/>
      <c r="H30" s="254"/>
      <c r="I30" s="448"/>
      <c r="J30" s="251"/>
      <c r="K30" s="451"/>
    </row>
    <row r="31" spans="1:11" s="250" customFormat="1" ht="15" customHeight="1">
      <c r="A31" s="8"/>
      <c r="B31" s="631"/>
      <c r="C31" s="632"/>
      <c r="D31" s="632"/>
      <c r="E31" s="632"/>
      <c r="F31" s="632"/>
      <c r="G31" s="633"/>
      <c r="H31" s="8"/>
      <c r="I31" s="448"/>
      <c r="J31" s="251"/>
      <c r="K31" s="451"/>
    </row>
    <row r="32" spans="1:11" s="250" customFormat="1" ht="14">
      <c r="A32" s="8"/>
      <c r="B32" s="631"/>
      <c r="C32" s="632"/>
      <c r="D32" s="632"/>
      <c r="E32" s="632"/>
      <c r="F32" s="632"/>
      <c r="G32" s="633"/>
      <c r="H32" s="254"/>
      <c r="I32" s="448"/>
      <c r="J32" s="251"/>
      <c r="K32" s="451"/>
    </row>
    <row r="33" spans="1:12" s="250" customFormat="1" ht="15" customHeight="1">
      <c r="A33" s="8"/>
      <c r="B33" s="631"/>
      <c r="C33" s="632"/>
      <c r="D33" s="632"/>
      <c r="E33" s="632"/>
      <c r="F33" s="632"/>
      <c r="G33" s="633"/>
      <c r="H33" s="254"/>
      <c r="I33" s="448"/>
      <c r="J33" s="251"/>
      <c r="K33" s="451"/>
    </row>
    <row r="34" spans="1:12" s="250" customFormat="1" ht="26.25" customHeight="1">
      <c r="A34" s="8"/>
      <c r="B34" s="631"/>
      <c r="C34" s="632"/>
      <c r="D34" s="632"/>
      <c r="E34" s="632"/>
      <c r="F34" s="632"/>
      <c r="G34" s="633"/>
      <c r="H34" s="254"/>
      <c r="I34" s="448"/>
      <c r="J34" s="251"/>
      <c r="K34" s="451"/>
    </row>
    <row r="35" spans="1:12" s="250" customFormat="1" ht="30" customHeight="1">
      <c r="A35" s="8"/>
      <c r="B35" s="631"/>
      <c r="C35" s="632"/>
      <c r="D35" s="632"/>
      <c r="E35" s="632"/>
      <c r="F35" s="632"/>
      <c r="G35" s="633"/>
      <c r="H35" s="8"/>
      <c r="I35" s="449"/>
      <c r="J35" s="251"/>
      <c r="K35" s="451"/>
    </row>
    <row r="36" spans="1:12" s="250" customFormat="1" ht="15" customHeight="1">
      <c r="A36" s="8"/>
      <c r="B36" s="631"/>
      <c r="C36" s="632"/>
      <c r="D36" s="632"/>
      <c r="E36" s="632"/>
      <c r="F36" s="632"/>
      <c r="G36" s="633"/>
      <c r="H36" s="254"/>
      <c r="I36" s="448"/>
      <c r="J36" s="251"/>
      <c r="K36" s="451"/>
    </row>
    <row r="37" spans="1:12" s="250" customFormat="1" ht="14">
      <c r="A37" s="8"/>
      <c r="B37" s="631"/>
      <c r="C37" s="632"/>
      <c r="D37" s="632"/>
      <c r="E37" s="632"/>
      <c r="F37" s="632"/>
      <c r="G37" s="633"/>
      <c r="H37" s="254"/>
      <c r="I37" s="448"/>
      <c r="J37" s="251"/>
      <c r="K37" s="451"/>
    </row>
    <row r="38" spans="1:12" s="250" customFormat="1" ht="15" customHeight="1">
      <c r="A38" s="8"/>
      <c r="B38" s="631"/>
      <c r="C38" s="632"/>
      <c r="D38" s="632"/>
      <c r="E38" s="632"/>
      <c r="F38" s="632"/>
      <c r="G38" s="633"/>
      <c r="H38" s="254"/>
      <c r="I38" s="448"/>
      <c r="J38" s="251"/>
      <c r="K38" s="451"/>
    </row>
    <row r="39" spans="1:12" s="250" customFormat="1" ht="15" customHeight="1">
      <c r="A39" s="8"/>
      <c r="B39" s="631"/>
      <c r="C39" s="632"/>
      <c r="D39" s="632"/>
      <c r="E39" s="632"/>
      <c r="F39" s="632"/>
      <c r="G39" s="633"/>
      <c r="H39" s="254"/>
      <c r="I39" s="448"/>
      <c r="J39" s="251"/>
      <c r="K39" s="451"/>
    </row>
    <row r="40" spans="1:12" s="250" customFormat="1" ht="15" customHeight="1">
      <c r="A40" s="8"/>
      <c r="B40" s="631"/>
      <c r="C40" s="632"/>
      <c r="D40" s="632"/>
      <c r="E40" s="632"/>
      <c r="F40" s="632"/>
      <c r="G40" s="633"/>
      <c r="H40" s="8"/>
      <c r="I40" s="448"/>
      <c r="J40" s="251"/>
      <c r="K40" s="451"/>
    </row>
    <row r="41" spans="1:12" s="250" customFormat="1" ht="14">
      <c r="A41" s="8"/>
      <c r="B41" s="8"/>
      <c r="C41" s="8"/>
      <c r="D41" s="8"/>
      <c r="E41" s="8"/>
      <c r="F41" s="246"/>
      <c r="G41" s="8"/>
      <c r="H41" s="8"/>
      <c r="I41" s="251"/>
      <c r="J41" s="251"/>
      <c r="K41" s="450">
        <f>SUM(I27:I40)</f>
        <v>0</v>
      </c>
    </row>
    <row r="42" spans="1:12" s="250" customFormat="1" ht="14">
      <c r="A42" s="8"/>
      <c r="B42" s="8"/>
      <c r="C42" s="8"/>
      <c r="D42" s="8"/>
      <c r="E42" s="8"/>
      <c r="F42" s="8"/>
      <c r="G42" s="8"/>
      <c r="H42" s="8"/>
      <c r="I42" s="249"/>
      <c r="J42" s="251"/>
      <c r="K42" s="451"/>
    </row>
    <row r="43" spans="1:12" s="250" customFormat="1" ht="16.5" thickBot="1">
      <c r="A43" s="8"/>
      <c r="B43" s="8"/>
      <c r="C43" s="248"/>
      <c r="D43" s="7"/>
      <c r="E43" s="4"/>
      <c r="F43" s="5"/>
      <c r="G43" s="117" t="s">
        <v>425</v>
      </c>
      <c r="H43" s="4"/>
      <c r="I43" s="6"/>
      <c r="J43" s="6"/>
      <c r="K43" s="452" t="e">
        <f>K14+K22+K41</f>
        <v>#REF!</v>
      </c>
      <c r="L43" s="440" t="s">
        <v>746</v>
      </c>
    </row>
    <row r="44" spans="1:12" s="250" customFormat="1" ht="14.5" thickTop="1">
      <c r="A44" s="8"/>
      <c r="B44" s="8"/>
      <c r="C44" s="8"/>
      <c r="D44" s="8"/>
      <c r="E44" s="8"/>
      <c r="F44" s="246"/>
      <c r="G44" s="8"/>
      <c r="H44" s="8"/>
      <c r="I44" s="255"/>
      <c r="J44" s="255"/>
      <c r="K44" s="255"/>
    </row>
    <row r="45" spans="1:12" s="250" customFormat="1" ht="14">
      <c r="A45" s="8"/>
      <c r="B45" s="8"/>
      <c r="C45" s="8"/>
      <c r="D45" s="8"/>
      <c r="E45" s="8"/>
      <c r="F45" s="246"/>
      <c r="G45" s="8"/>
      <c r="H45" s="8"/>
      <c r="I45" s="256"/>
      <c r="J45" s="256"/>
      <c r="K45" s="256"/>
    </row>
    <row r="46" spans="1:12" s="250" customFormat="1" ht="14">
      <c r="A46" s="8"/>
      <c r="B46" s="8"/>
      <c r="C46" s="8"/>
      <c r="D46" s="8"/>
      <c r="E46" s="8"/>
      <c r="F46" s="246"/>
      <c r="G46" s="8"/>
      <c r="H46" s="8"/>
      <c r="I46" s="256"/>
      <c r="J46" s="256"/>
      <c r="K46" s="256"/>
    </row>
    <row r="47" spans="1:12" s="250" customFormat="1" ht="14">
      <c r="A47" s="257" t="s">
        <v>87</v>
      </c>
      <c r="B47" s="8"/>
      <c r="C47" s="8"/>
      <c r="D47" s="8"/>
      <c r="E47" s="8"/>
      <c r="F47" s="246"/>
      <c r="G47" s="8"/>
      <c r="H47" s="8"/>
      <c r="I47" s="256"/>
      <c r="J47" s="256"/>
      <c r="K47" s="256"/>
    </row>
    <row r="48" spans="1:12" ht="14">
      <c r="A48" s="8"/>
      <c r="B48" s="8"/>
      <c r="C48" s="8"/>
      <c r="D48" s="8"/>
      <c r="E48" s="8"/>
      <c r="F48" s="246"/>
      <c r="G48" s="8"/>
      <c r="H48" s="8"/>
      <c r="I48" s="8"/>
      <c r="J48" s="8"/>
      <c r="K48" s="8"/>
    </row>
    <row r="49" spans="1:11" ht="28.5" customHeight="1">
      <c r="A49" s="634"/>
      <c r="B49" s="635"/>
      <c r="C49" s="635"/>
      <c r="D49" s="635"/>
      <c r="E49" s="635"/>
      <c r="F49" s="635"/>
      <c r="G49" s="635"/>
      <c r="H49" s="635"/>
      <c r="I49" s="635"/>
      <c r="J49" s="635"/>
      <c r="K49" s="636"/>
    </row>
    <row r="50" spans="1:11" ht="29.25" customHeight="1">
      <c r="A50" s="634"/>
      <c r="B50" s="635"/>
      <c r="C50" s="635"/>
      <c r="D50" s="635"/>
      <c r="E50" s="635"/>
      <c r="F50" s="635"/>
      <c r="G50" s="635"/>
      <c r="H50" s="635"/>
      <c r="I50" s="635"/>
      <c r="J50" s="635"/>
      <c r="K50" s="636"/>
    </row>
    <row r="51" spans="1:11" ht="29.25" customHeight="1">
      <c r="A51" s="634"/>
      <c r="B51" s="635"/>
      <c r="C51" s="635"/>
      <c r="D51" s="635"/>
      <c r="E51" s="635"/>
      <c r="F51" s="635"/>
      <c r="G51" s="635"/>
      <c r="H51" s="635"/>
      <c r="I51" s="635"/>
      <c r="J51" s="635"/>
      <c r="K51" s="636"/>
    </row>
    <row r="52" spans="1:11" ht="19.5" customHeight="1">
      <c r="A52" s="634"/>
      <c r="B52" s="635"/>
      <c r="C52" s="635"/>
      <c r="D52" s="635"/>
      <c r="E52" s="635"/>
      <c r="F52" s="635"/>
      <c r="G52" s="635"/>
      <c r="H52" s="635"/>
      <c r="I52" s="635"/>
      <c r="J52" s="635"/>
      <c r="K52" s="636"/>
    </row>
    <row r="53" spans="1:11" ht="19.5" customHeight="1">
      <c r="A53" s="634"/>
      <c r="B53" s="635"/>
      <c r="C53" s="635"/>
      <c r="D53" s="635"/>
      <c r="E53" s="635"/>
      <c r="F53" s="635"/>
      <c r="G53" s="635"/>
      <c r="H53" s="635"/>
      <c r="I53" s="635"/>
      <c r="J53" s="635"/>
      <c r="K53" s="636"/>
    </row>
    <row r="54" spans="1:11" ht="19.5" customHeight="1">
      <c r="A54" s="634"/>
      <c r="B54" s="635"/>
      <c r="C54" s="635"/>
      <c r="D54" s="635"/>
      <c r="E54" s="635"/>
      <c r="F54" s="635"/>
      <c r="G54" s="635"/>
      <c r="H54" s="635"/>
      <c r="I54" s="635"/>
      <c r="J54" s="635"/>
      <c r="K54" s="636"/>
    </row>
    <row r="55" spans="1:11" ht="31.5" customHeight="1">
      <c r="A55" s="634"/>
      <c r="B55" s="635"/>
      <c r="C55" s="635"/>
      <c r="D55" s="635"/>
      <c r="E55" s="635"/>
      <c r="F55" s="635"/>
      <c r="G55" s="635"/>
      <c r="H55" s="635"/>
      <c r="I55" s="635"/>
      <c r="J55" s="635"/>
      <c r="K55" s="636"/>
    </row>
    <row r="56" spans="1:11" ht="14"/>
    <row r="57" spans="1:11" ht="14"/>
    <row r="58" spans="1:11" ht="15" customHeight="1"/>
    <row r="59" spans="1:11" ht="15" customHeight="1"/>
    <row r="60" spans="1:11" ht="15" customHeight="1"/>
    <row r="61" spans="1:11" ht="15" customHeight="1"/>
    <row r="62" spans="1:11" ht="15" customHeight="1"/>
    <row r="63" spans="1:11" ht="15" customHeight="1"/>
  </sheetData>
  <mergeCells count="21">
    <mergeCell ref="A54:K54"/>
    <mergeCell ref="A49:K49"/>
    <mergeCell ref="A55:K55"/>
    <mergeCell ref="A50:K50"/>
    <mergeCell ref="A51:K51"/>
    <mergeCell ref="A52:K52"/>
    <mergeCell ref="A53:K53"/>
    <mergeCell ref="B27:G27"/>
    <mergeCell ref="B28:G28"/>
    <mergeCell ref="B33:G33"/>
    <mergeCell ref="B40:G40"/>
    <mergeCell ref="B32:G32"/>
    <mergeCell ref="B29:G29"/>
    <mergeCell ref="B30:G30"/>
    <mergeCell ref="B31:G31"/>
    <mergeCell ref="B34:G34"/>
    <mergeCell ref="B35:G35"/>
    <mergeCell ref="B36:G36"/>
    <mergeCell ref="B37:G37"/>
    <mergeCell ref="B38:G38"/>
    <mergeCell ref="B39:G39"/>
  </mergeCells>
  <pageMargins left="0.15748031496062992" right="0.15748031496062992" top="0.59055118110236227" bottom="0.59055118110236227" header="0.11811023622047245" footer="0.11811023622047245"/>
  <pageSetup paperSize="9" scale="78" orientation="portrait" r:id="rId1"/>
  <headerFooter alignWithMargins="0">
    <oddFooter>&amp;L&amp;F&amp;C&amp;A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S1000000"/>
  <sheetViews>
    <sheetView showGridLines="0" zoomScale="85" zoomScaleNormal="85" workbookViewId="0">
      <pane xSplit="5" ySplit="8" topLeftCell="F9" activePane="bottomRight" state="frozen"/>
      <selection pane="topRight"/>
      <selection pane="bottomLeft"/>
      <selection pane="bottomRight" activeCell="O19" sqref="O19"/>
    </sheetView>
  </sheetViews>
  <sheetFormatPr defaultColWidth="9" defaultRowHeight="13.5"/>
  <cols>
    <col min="1" max="1" width="32.3828125" style="137" customWidth="1"/>
    <col min="2" max="2" width="6.84375" style="137" customWidth="1"/>
    <col min="3" max="3" width="4.84375" style="137" customWidth="1"/>
    <col min="4" max="4" width="10.765625" style="137" bestFit="1" customWidth="1"/>
    <col min="5" max="5" width="4" style="137" customWidth="1"/>
    <col min="6" max="15" width="11.61328125" style="137" customWidth="1"/>
    <col min="16" max="16384" width="9" style="137"/>
  </cols>
  <sheetData>
    <row r="1" spans="1:19" s="148" customFormat="1" ht="15">
      <c r="A1" s="157" t="s">
        <v>836</v>
      </c>
    </row>
    <row r="2" spans="1:19" s="148" customFormat="1" ht="15">
      <c r="A2" s="157" t="str">
        <f>CompName</f>
        <v>National Grid Electricity System Operator Ltd</v>
      </c>
    </row>
    <row r="3" spans="1:19" s="148" customFormat="1">
      <c r="A3" s="159" t="str">
        <f>RegYr</f>
        <v>Regulatory Year ending 31 March 2021</v>
      </c>
    </row>
    <row r="4" spans="1:19">
      <c r="A4" s="176"/>
      <c r="B4" s="176"/>
      <c r="C4" s="176"/>
      <c r="D4" s="176"/>
      <c r="E4" s="176"/>
      <c r="F4" s="176"/>
      <c r="G4" s="176"/>
      <c r="H4" s="176"/>
      <c r="I4" s="176"/>
      <c r="J4" s="176"/>
      <c r="K4" s="176"/>
      <c r="L4" s="176"/>
      <c r="M4" s="176"/>
      <c r="N4" s="176"/>
      <c r="O4" s="176"/>
      <c r="P4" s="176"/>
      <c r="Q4" s="176"/>
      <c r="R4" s="176"/>
      <c r="S4" s="176"/>
    </row>
    <row r="5" spans="1:19" s="402" customFormat="1" ht="17.5" hidden="1">
      <c r="A5" s="406" t="s">
        <v>851</v>
      </c>
      <c r="B5" s="517" t="s">
        <v>294</v>
      </c>
      <c r="C5" s="176"/>
      <c r="D5" s="176"/>
      <c r="E5" s="176"/>
      <c r="F5" s="176"/>
      <c r="G5" s="176"/>
      <c r="H5" s="176"/>
      <c r="I5" s="176"/>
      <c r="J5" s="176"/>
      <c r="K5" s="176"/>
      <c r="L5" s="176"/>
      <c r="M5" s="176"/>
      <c r="N5" s="176"/>
      <c r="O5" s="176"/>
      <c r="P5" s="176"/>
      <c r="Q5" s="176"/>
      <c r="R5" s="176"/>
      <c r="S5" s="176"/>
    </row>
    <row r="6" spans="1:19" ht="15">
      <c r="A6" s="406" t="s">
        <v>852</v>
      </c>
      <c r="B6" s="518" t="s">
        <v>850</v>
      </c>
      <c r="G6" s="165"/>
    </row>
    <row r="7" spans="1:19" ht="14">
      <c r="A7" s="295" t="s">
        <v>523</v>
      </c>
      <c r="B7" s="162"/>
      <c r="C7" s="162"/>
      <c r="D7" s="162"/>
      <c r="E7" s="162"/>
      <c r="F7" s="162"/>
      <c r="G7" s="162"/>
      <c r="H7" s="162"/>
      <c r="I7" s="162"/>
    </row>
    <row r="8" spans="1:19" ht="14.5">
      <c r="B8" s="142"/>
      <c r="C8" s="142"/>
      <c r="D8" s="142"/>
      <c r="E8" s="221"/>
      <c r="F8" s="138">
        <v>2014</v>
      </c>
      <c r="G8" s="138">
        <v>2015</v>
      </c>
      <c r="H8" s="138">
        <v>2016</v>
      </c>
      <c r="I8" s="138">
        <v>2017</v>
      </c>
      <c r="J8" s="138">
        <v>2018</v>
      </c>
      <c r="K8" s="138">
        <v>2019</v>
      </c>
      <c r="L8" s="138">
        <v>2020</v>
      </c>
      <c r="M8" s="138">
        <v>2021</v>
      </c>
      <c r="N8" s="138">
        <v>2022</v>
      </c>
      <c r="O8" s="138">
        <v>2023</v>
      </c>
    </row>
    <row r="9" spans="1:19" ht="14">
      <c r="B9" s="142"/>
      <c r="C9" s="142"/>
      <c r="D9" s="142"/>
      <c r="E9" s="142"/>
      <c r="F9" s="142"/>
      <c r="G9" s="142"/>
      <c r="H9" s="142"/>
      <c r="I9" s="142"/>
    </row>
    <row r="10" spans="1:19" s="402" customFormat="1" ht="14">
      <c r="A10" s="142"/>
      <c r="B10" s="142"/>
      <c r="C10" s="142"/>
      <c r="D10" s="142"/>
      <c r="E10" s="142"/>
      <c r="N10" s="406"/>
    </row>
    <row r="11" spans="1:19" s="402" customFormat="1" ht="14">
      <c r="A11" s="142"/>
      <c r="B11" s="142"/>
      <c r="C11" s="142"/>
      <c r="D11" s="142"/>
      <c r="E11" s="142"/>
      <c r="N11" s="406"/>
    </row>
    <row r="12" spans="1:19" s="402" customFormat="1" ht="14">
      <c r="A12" s="142" t="s">
        <v>84</v>
      </c>
      <c r="B12" s="142" t="s">
        <v>342</v>
      </c>
      <c r="C12" s="142"/>
      <c r="D12" s="280" t="s">
        <v>985</v>
      </c>
      <c r="F12" s="534"/>
      <c r="G12" s="532"/>
      <c r="H12" s="532"/>
      <c r="I12" s="532"/>
      <c r="J12" s="532"/>
      <c r="K12" s="532"/>
      <c r="L12" s="163">
        <f>'R6 True Up'!L40</f>
        <v>0</v>
      </c>
      <c r="M12" s="163">
        <f>'R6 True Up'!M40</f>
        <v>0</v>
      </c>
      <c r="N12" s="406" t="s">
        <v>342</v>
      </c>
    </row>
    <row r="13" spans="1:19" ht="14">
      <c r="A13" s="142" t="s">
        <v>9</v>
      </c>
      <c r="B13" s="142" t="s">
        <v>348</v>
      </c>
      <c r="C13" s="142"/>
      <c r="D13" s="280" t="s">
        <v>985</v>
      </c>
      <c r="F13" s="534"/>
      <c r="G13" s="532"/>
      <c r="H13" s="532"/>
      <c r="I13" s="532"/>
      <c r="J13" s="532"/>
      <c r="K13" s="532"/>
      <c r="L13" s="163">
        <f t="shared" ref="L13:M13" si="0">PTt</f>
        <v>0</v>
      </c>
      <c r="M13" s="163">
        <f t="shared" si="0"/>
        <v>0</v>
      </c>
      <c r="N13" s="165" t="s">
        <v>348</v>
      </c>
    </row>
    <row r="14" spans="1:19" ht="14">
      <c r="A14" s="142" t="s">
        <v>36</v>
      </c>
      <c r="B14" s="142" t="s">
        <v>274</v>
      </c>
      <c r="C14" s="142"/>
      <c r="D14" s="280" t="s">
        <v>985</v>
      </c>
      <c r="F14" s="534"/>
      <c r="G14" s="532"/>
      <c r="H14" s="532"/>
      <c r="I14" s="532"/>
      <c r="J14" s="532"/>
      <c r="K14" s="532"/>
      <c r="L14" s="163">
        <f t="shared" ref="L14:M14" si="1">NIA</f>
        <v>0</v>
      </c>
      <c r="M14" s="163">
        <f t="shared" si="1"/>
        <v>0</v>
      </c>
      <c r="N14" s="165" t="s">
        <v>274</v>
      </c>
    </row>
    <row r="15" spans="1:19" ht="14">
      <c r="A15" s="142" t="s">
        <v>35</v>
      </c>
      <c r="B15" s="142" t="s">
        <v>275</v>
      </c>
      <c r="C15" s="142"/>
      <c r="D15" s="280" t="s">
        <v>985</v>
      </c>
      <c r="F15" s="534"/>
      <c r="G15" s="532"/>
      <c r="H15" s="532"/>
      <c r="I15" s="532"/>
      <c r="J15" s="532"/>
      <c r="K15" s="532"/>
      <c r="L15" s="163">
        <f t="shared" ref="L15:M15" si="2">NICF2</f>
        <v>0</v>
      </c>
      <c r="M15" s="163">
        <f t="shared" si="2"/>
        <v>0</v>
      </c>
      <c r="N15" s="165" t="s">
        <v>275</v>
      </c>
    </row>
    <row r="16" spans="1:19" s="139" customFormat="1" ht="14">
      <c r="A16" s="142" t="s">
        <v>14</v>
      </c>
      <c r="B16" s="142" t="s">
        <v>349</v>
      </c>
      <c r="C16" s="142"/>
      <c r="D16" s="280" t="s">
        <v>985</v>
      </c>
      <c r="F16" s="536"/>
      <c r="G16" s="533"/>
      <c r="H16" s="533"/>
      <c r="I16" s="533"/>
      <c r="J16" s="533"/>
      <c r="K16" s="533"/>
      <c r="L16" s="192">
        <f t="shared" ref="L16:M16" si="3">DIS</f>
        <v>0</v>
      </c>
      <c r="M16" s="192">
        <f t="shared" si="3"/>
        <v>0</v>
      </c>
      <c r="N16" s="165" t="s">
        <v>349</v>
      </c>
    </row>
    <row r="17" spans="1:16" s="139" customFormat="1" ht="14">
      <c r="A17" s="142" t="s">
        <v>15</v>
      </c>
      <c r="B17" s="142" t="s">
        <v>350</v>
      </c>
      <c r="C17" s="142"/>
      <c r="D17" s="280" t="s">
        <v>985</v>
      </c>
      <c r="F17" s="536"/>
      <c r="G17" s="533"/>
      <c r="H17" s="533"/>
      <c r="I17" s="533"/>
      <c r="J17" s="533"/>
      <c r="K17" s="533"/>
      <c r="L17" s="192">
        <f t="shared" ref="L17:M17" si="4">TS</f>
        <v>0</v>
      </c>
      <c r="M17" s="192">
        <f t="shared" si="4"/>
        <v>0</v>
      </c>
      <c r="N17" s="165" t="s">
        <v>350</v>
      </c>
    </row>
    <row r="18" spans="1:16" s="403" customFormat="1" ht="14">
      <c r="A18" s="142" t="s">
        <v>854</v>
      </c>
      <c r="B18" s="142" t="s">
        <v>853</v>
      </c>
      <c r="C18" s="142"/>
      <c r="D18" s="280" t="s">
        <v>985</v>
      </c>
      <c r="F18" s="536"/>
      <c r="G18" s="536"/>
      <c r="H18" s="536"/>
      <c r="I18" s="536"/>
      <c r="J18" s="536"/>
      <c r="K18" s="536"/>
      <c r="L18" s="360">
        <f t="shared" ref="L18:M18" si="5">L42</f>
        <v>9.7504400000000011</v>
      </c>
      <c r="M18" s="360">
        <f t="shared" si="5"/>
        <v>8.7491999999999983</v>
      </c>
      <c r="N18" s="406" t="s">
        <v>853</v>
      </c>
    </row>
    <row r="19" spans="1:16" ht="14">
      <c r="A19" s="142" t="s">
        <v>10</v>
      </c>
      <c r="B19" s="142" t="s">
        <v>351</v>
      </c>
      <c r="C19" s="142"/>
      <c r="D19" s="280" t="s">
        <v>985</v>
      </c>
      <c r="F19" s="534"/>
      <c r="G19" s="532"/>
      <c r="H19" s="532"/>
      <c r="I19" s="532"/>
      <c r="J19" s="532"/>
      <c r="K19" s="532"/>
      <c r="L19" s="163">
        <f>K</f>
        <v>0</v>
      </c>
      <c r="M19" s="163">
        <f>K</f>
        <v>0</v>
      </c>
      <c r="N19" s="163">
        <f>K</f>
        <v>-10.026876674528001</v>
      </c>
      <c r="O19" s="163">
        <f>K</f>
        <v>-8.9418661331999978</v>
      </c>
      <c r="P19" s="165" t="s">
        <v>351</v>
      </c>
    </row>
    <row r="20" spans="1:16" ht="14">
      <c r="A20" s="142"/>
      <c r="B20" s="142"/>
      <c r="C20" s="142"/>
      <c r="D20" s="142"/>
      <c r="F20" s="310"/>
      <c r="G20" s="226"/>
      <c r="H20" s="226"/>
      <c r="I20" s="226"/>
      <c r="J20" s="226"/>
      <c r="K20" s="226"/>
      <c r="L20" s="226"/>
      <c r="M20" s="226"/>
    </row>
    <row r="21" spans="1:16" ht="14">
      <c r="C21" s="142"/>
      <c r="D21" s="142"/>
      <c r="F21" s="165"/>
    </row>
    <row r="22" spans="1:16" ht="14">
      <c r="A22" s="142" t="s">
        <v>924</v>
      </c>
      <c r="B22" s="142" t="s">
        <v>11</v>
      </c>
      <c r="C22" s="142"/>
      <c r="D22" s="280" t="s">
        <v>985</v>
      </c>
      <c r="F22" s="538"/>
      <c r="G22" s="538"/>
      <c r="H22" s="538"/>
      <c r="I22" s="538"/>
      <c r="J22" s="538"/>
      <c r="K22" s="538"/>
      <c r="L22" s="74">
        <f t="shared" ref="L22" si="6">SUM(L12:L18)-L19</f>
        <v>9.7504400000000011</v>
      </c>
      <c r="M22" s="74">
        <f t="shared" ref="M22" si="7">SUM(M12:M18)-M19</f>
        <v>8.7491999999999983</v>
      </c>
      <c r="N22" s="225" t="s">
        <v>11</v>
      </c>
    </row>
    <row r="23" spans="1:16">
      <c r="F23" s="455"/>
      <c r="G23" s="455"/>
      <c r="H23" s="455"/>
      <c r="I23" s="455"/>
      <c r="J23" s="455"/>
      <c r="K23" s="455"/>
      <c r="L23" s="455"/>
      <c r="M23" s="455"/>
    </row>
    <row r="24" spans="1:16">
      <c r="G24" s="402"/>
      <c r="H24" s="402"/>
      <c r="I24" s="402"/>
      <c r="J24" s="402"/>
      <c r="K24" s="402"/>
      <c r="L24" s="402"/>
      <c r="M24" s="402"/>
    </row>
    <row r="25" spans="1:16" s="402" customFormat="1" ht="14">
      <c r="A25" s="403" t="s">
        <v>64</v>
      </c>
      <c r="B25" s="403" t="s">
        <v>895</v>
      </c>
      <c r="D25" s="280" t="s">
        <v>985</v>
      </c>
      <c r="F25" s="405">
        <f>'R15 SO Internal'!F18</f>
        <v>132.55408800000001</v>
      </c>
      <c r="G25" s="163">
        <f>'R15 SO Internal'!G18</f>
        <v>158.979265</v>
      </c>
      <c r="H25" s="163">
        <f>'R15 SO Internal'!H18</f>
        <v>148.20141409124065</v>
      </c>
      <c r="I25" s="163">
        <f>'R15 SO Internal'!I18</f>
        <v>158.30865982326827</v>
      </c>
      <c r="J25" s="163">
        <f>'R15 SO Internal'!J18</f>
        <v>163.96062084237681</v>
      </c>
      <c r="K25" s="163">
        <f>'R15 SO Internal'!K18</f>
        <v>192.83818524814507</v>
      </c>
      <c r="L25" s="163" t="e">
        <f>'R15 SO Internal'!L18</f>
        <v>#DIV/0!</v>
      </c>
      <c r="M25" s="163" t="e">
        <f>'R15 SO Internal'!M18</f>
        <v>#DIV/0!</v>
      </c>
      <c r="N25" s="406" t="s">
        <v>355</v>
      </c>
    </row>
    <row r="26" spans="1:16">
      <c r="A26" s="516" t="s">
        <v>849</v>
      </c>
    </row>
    <row r="29" spans="1:16" ht="14">
      <c r="A29" s="137" t="s">
        <v>894</v>
      </c>
      <c r="B29" s="528" t="s">
        <v>896</v>
      </c>
      <c r="D29" s="280" t="s">
        <v>985</v>
      </c>
      <c r="F29" s="405">
        <f>'R16 SO External Rev'!I8</f>
        <v>894.05672839999988</v>
      </c>
      <c r="G29" s="163">
        <f>'R16 SO External Rev'!L8</f>
        <v>897.457399925196</v>
      </c>
      <c r="H29" s="163">
        <f>'R16 SO External Rev'!O8</f>
        <v>938.19322782177449</v>
      </c>
      <c r="I29" s="163">
        <f>'R16 SO External Rev'!R8</f>
        <v>1087.2784684496169</v>
      </c>
      <c r="J29" s="163">
        <f>'R16 SO External Rev'!U8</f>
        <v>15.488923449026515</v>
      </c>
      <c r="K29" s="163">
        <f>'R16 SO External Rev'!X8</f>
        <v>3.0138818556206641</v>
      </c>
      <c r="L29" s="163">
        <f>'R16 SO External Rev'!AA8</f>
        <v>1.5652028691194837</v>
      </c>
      <c r="M29" s="163">
        <f>'R16 SO External Rev'!AD8</f>
        <v>1.5799842431327609</v>
      </c>
      <c r="N29" s="529" t="s">
        <v>896</v>
      </c>
    </row>
    <row r="38" spans="1:14">
      <c r="A38" s="295" t="s">
        <v>892</v>
      </c>
    </row>
    <row r="39" spans="1:14">
      <c r="A39" s="413" t="s">
        <v>893</v>
      </c>
    </row>
    <row r="40" spans="1:14" ht="14">
      <c r="A40" s="142" t="s">
        <v>986</v>
      </c>
      <c r="B40" s="142" t="s">
        <v>853</v>
      </c>
      <c r="C40" s="142"/>
      <c r="D40" s="142" t="s">
        <v>984</v>
      </c>
      <c r="E40" s="402"/>
      <c r="F40" s="360">
        <f>'R5 Input page'!F46</f>
        <v>0</v>
      </c>
      <c r="G40" s="192">
        <f>'R5 Input page'!G46</f>
        <v>0</v>
      </c>
      <c r="H40" s="192">
        <f>'R5 Input page'!H46</f>
        <v>0</v>
      </c>
      <c r="I40" s="192">
        <f>'R5 Input page'!I46</f>
        <v>0</v>
      </c>
      <c r="J40" s="192">
        <f>'R5 Input page'!J46</f>
        <v>0</v>
      </c>
      <c r="K40" s="192">
        <f>'R5 Input page'!K46</f>
        <v>0</v>
      </c>
      <c r="L40" s="192">
        <f>'R5 Input page'!L46</f>
        <v>7.18</v>
      </c>
      <c r="M40" s="192">
        <f>'R5 Input page'!M46</f>
        <v>6.34</v>
      </c>
      <c r="N40" s="406" t="s">
        <v>853</v>
      </c>
    </row>
    <row r="41" spans="1:14">
      <c r="A41" s="403" t="s">
        <v>72</v>
      </c>
      <c r="B41" s="403" t="s">
        <v>301</v>
      </c>
      <c r="C41" s="402"/>
      <c r="D41" s="290" t="s">
        <v>500</v>
      </c>
      <c r="E41" s="402"/>
      <c r="F41" s="365">
        <f t="shared" ref="F41:L41" si="8">RPIF</f>
        <v>1.163</v>
      </c>
      <c r="G41" s="365">
        <f t="shared" si="8"/>
        <v>1.2050000000000001</v>
      </c>
      <c r="H41" s="365">
        <f t="shared" si="8"/>
        <v>1.2270000000000001</v>
      </c>
      <c r="I41" s="365">
        <f t="shared" si="8"/>
        <v>1.2330000000000001</v>
      </c>
      <c r="J41" s="365">
        <f t="shared" si="8"/>
        <v>1.2709999999999999</v>
      </c>
      <c r="K41" s="365">
        <f t="shared" si="8"/>
        <v>1.3140000000000001</v>
      </c>
      <c r="L41" s="365">
        <f t="shared" si="8"/>
        <v>1.3580000000000001</v>
      </c>
      <c r="M41" s="365">
        <f>RPIF</f>
        <v>1.38</v>
      </c>
    </row>
    <row r="42" spans="1:14" ht="14">
      <c r="A42" s="142" t="s">
        <v>987</v>
      </c>
      <c r="B42" s="142" t="s">
        <v>853</v>
      </c>
      <c r="C42" s="142"/>
      <c r="D42" s="280" t="s">
        <v>985</v>
      </c>
      <c r="F42" s="311">
        <f>F41*F40</f>
        <v>0</v>
      </c>
      <c r="G42" s="311">
        <f t="shared" ref="G42:M42" si="9">G41*G40</f>
        <v>0</v>
      </c>
      <c r="H42" s="311">
        <f t="shared" si="9"/>
        <v>0</v>
      </c>
      <c r="I42" s="311">
        <f t="shared" si="9"/>
        <v>0</v>
      </c>
      <c r="J42" s="311">
        <f t="shared" si="9"/>
        <v>0</v>
      </c>
      <c r="K42" s="311">
        <f t="shared" si="9"/>
        <v>0</v>
      </c>
      <c r="L42" s="311">
        <f t="shared" si="9"/>
        <v>9.7504400000000011</v>
      </c>
      <c r="M42" s="311">
        <f t="shared" si="9"/>
        <v>8.7491999999999983</v>
      </c>
      <c r="N42" s="406" t="s">
        <v>853</v>
      </c>
    </row>
    <row r="999995" spans="1:1">
      <c r="A999995" s="137" t="s">
        <v>7</v>
      </c>
    </row>
    <row r="999996" spans="1:1">
      <c r="A999996" s="137" t="s">
        <v>2</v>
      </c>
    </row>
    <row r="999997" spans="1:1">
      <c r="A999997" s="137" t="s">
        <v>6</v>
      </c>
    </row>
    <row r="999998" spans="1:1">
      <c r="A999998" s="137" t="s">
        <v>3</v>
      </c>
    </row>
    <row r="999999" spans="1:1">
      <c r="A999999" s="137" t="s">
        <v>4</v>
      </c>
    </row>
    <row r="1000000" spans="1:1">
      <c r="A1000000" s="137" t="s">
        <v>5</v>
      </c>
    </row>
  </sheetData>
  <pageMargins left="0.26" right="0.18" top="0.66" bottom="0.67" header="0.31496062992125984" footer="0.31496062992125984"/>
  <pageSetup paperSize="9" orientation="landscape" r:id="rId1"/>
  <headerFooter>
    <oddFooter>&amp;C&amp;D&amp;R&amp;F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FFFFCC"/>
    <pageSetUpPr fitToPage="1"/>
  </sheetPr>
  <dimension ref="A1:K55"/>
  <sheetViews>
    <sheetView showGridLines="0" view="pageBreakPreview" topLeftCell="A4" zoomScale="85" zoomScaleNormal="60" zoomScaleSheetLayoutView="85" workbookViewId="0">
      <selection activeCell="B13" sqref="B13:G19"/>
    </sheetView>
  </sheetViews>
  <sheetFormatPr defaultColWidth="0" defaultRowHeight="15" customHeight="1" zeroHeight="1"/>
  <cols>
    <col min="1" max="1" width="8.4609375" style="227" customWidth="1"/>
    <col min="2" max="2" width="18.15234375" style="227" customWidth="1"/>
    <col min="3" max="5" width="8" style="227" customWidth="1"/>
    <col min="6" max="6" width="5.84375" style="227" customWidth="1"/>
    <col min="7" max="7" width="20.3828125" style="227" customWidth="1"/>
    <col min="8" max="8" width="2.3828125" style="227" customWidth="1"/>
    <col min="9" max="9" width="8.4609375" style="227" customWidth="1"/>
    <col min="10" max="10" width="2.3828125" style="227" customWidth="1"/>
    <col min="11" max="16383" width="0" style="227" hidden="1"/>
    <col min="16384" max="16384" width="21" style="227" customWidth="1"/>
  </cols>
  <sheetData>
    <row r="1" spans="1:8" s="148" customFormat="1">
      <c r="A1" s="238" t="s">
        <v>307</v>
      </c>
      <c r="B1" s="39"/>
      <c r="C1" s="39"/>
      <c r="D1" s="39"/>
      <c r="E1" s="40"/>
      <c r="F1" s="39"/>
      <c r="G1" s="39"/>
      <c r="H1" s="39"/>
    </row>
    <row r="2" spans="1:8" s="148" customFormat="1">
      <c r="A2" s="238" t="str">
        <f>CompName</f>
        <v>National Grid Electricity System Operator Ltd</v>
      </c>
      <c r="B2" s="39"/>
      <c r="C2" s="39"/>
      <c r="D2" s="39"/>
      <c r="E2" s="40"/>
      <c r="F2" s="39"/>
      <c r="G2" s="39"/>
      <c r="H2" s="39"/>
    </row>
    <row r="3" spans="1:8" s="148" customFormat="1" ht="13.5">
      <c r="A3" s="41" t="str">
        <f>RegYr</f>
        <v>Regulatory Year ending 31 March 2021</v>
      </c>
      <c r="B3" s="39"/>
      <c r="C3" s="39"/>
      <c r="D3" s="39"/>
      <c r="E3" s="40"/>
      <c r="F3" s="39"/>
      <c r="G3" s="39"/>
      <c r="H3" s="39"/>
    </row>
    <row r="4" spans="1:8" ht="15.75" customHeight="1">
      <c r="A4" s="239"/>
      <c r="B4" s="239"/>
      <c r="C4" s="239"/>
      <c r="D4" s="239"/>
      <c r="E4" s="239"/>
      <c r="F4" s="239"/>
      <c r="G4" s="239"/>
      <c r="H4" s="239"/>
    </row>
    <row r="5" spans="1:8" ht="14">
      <c r="A5" s="39" t="s">
        <v>982</v>
      </c>
      <c r="B5" s="239"/>
      <c r="C5" s="239"/>
      <c r="D5" s="239"/>
      <c r="E5" s="239"/>
      <c r="F5" s="239"/>
      <c r="G5" s="239"/>
      <c r="H5" s="239"/>
    </row>
    <row r="6" spans="1:8" ht="9" customHeight="1">
      <c r="A6" s="239"/>
      <c r="B6" s="239"/>
      <c r="C6" s="239"/>
      <c r="D6" s="239"/>
      <c r="E6" s="239"/>
      <c r="F6" s="239"/>
      <c r="G6" s="239"/>
      <c r="H6" s="239"/>
    </row>
    <row r="7" spans="1:8" ht="14">
      <c r="A7" s="240" t="s">
        <v>98</v>
      </c>
      <c r="B7" s="239"/>
      <c r="C7" s="239"/>
      <c r="D7" s="239"/>
      <c r="E7" s="239"/>
      <c r="F7" s="239"/>
      <c r="G7" s="239"/>
      <c r="H7" s="239"/>
    </row>
    <row r="8" spans="1:8" ht="9" customHeight="1">
      <c r="A8" s="241"/>
      <c r="B8" s="239"/>
      <c r="C8" s="239"/>
      <c r="D8" s="239"/>
      <c r="E8" s="239"/>
      <c r="F8" s="239"/>
      <c r="G8" s="239"/>
      <c r="H8" s="239"/>
    </row>
    <row r="9" spans="1:8" ht="14">
      <c r="A9" s="242" t="s">
        <v>99</v>
      </c>
      <c r="B9" s="243"/>
      <c r="C9" s="243"/>
      <c r="D9" s="243"/>
      <c r="E9" s="243"/>
      <c r="F9" s="243"/>
      <c r="G9" s="243"/>
      <c r="H9" s="239"/>
    </row>
    <row r="10" spans="1:8" ht="9" customHeight="1">
      <c r="A10" s="239"/>
      <c r="B10" s="239"/>
      <c r="C10" s="239"/>
      <c r="D10" s="239"/>
      <c r="E10" s="239"/>
      <c r="F10" s="239"/>
      <c r="G10" s="239"/>
      <c r="H10" s="239"/>
    </row>
    <row r="11" spans="1:8" ht="14">
      <c r="G11" s="228" t="s">
        <v>8</v>
      </c>
      <c r="H11" s="229"/>
    </row>
    <row r="12" spans="1:8" ht="14">
      <c r="B12" s="230" t="s">
        <v>100</v>
      </c>
      <c r="G12" s="231" t="s">
        <v>985</v>
      </c>
    </row>
    <row r="13" spans="1:8" ht="14">
      <c r="A13" s="228">
        <v>1</v>
      </c>
      <c r="B13" s="369"/>
      <c r="C13" s="370"/>
      <c r="D13" s="370"/>
      <c r="E13" s="370"/>
      <c r="F13" s="371"/>
      <c r="G13" s="373"/>
      <c r="H13" s="233"/>
    </row>
    <row r="14" spans="1:8" ht="14">
      <c r="A14" s="228">
        <v>2</v>
      </c>
      <c r="B14" s="369"/>
      <c r="C14" s="370"/>
      <c r="D14" s="370"/>
      <c r="E14" s="370"/>
      <c r="F14" s="371"/>
      <c r="G14" s="373"/>
      <c r="H14" s="233"/>
    </row>
    <row r="15" spans="1:8" ht="14">
      <c r="A15" s="228">
        <v>3</v>
      </c>
      <c r="B15" s="369"/>
      <c r="C15" s="370"/>
      <c r="D15" s="370"/>
      <c r="E15" s="370"/>
      <c r="F15" s="371"/>
      <c r="G15" s="373"/>
      <c r="H15" s="233"/>
    </row>
    <row r="16" spans="1:8" ht="14">
      <c r="A16" s="228">
        <v>4</v>
      </c>
      <c r="B16" s="369"/>
      <c r="C16" s="370"/>
      <c r="D16" s="370"/>
      <c r="E16" s="370"/>
      <c r="F16" s="371"/>
      <c r="G16" s="373"/>
      <c r="H16" s="233"/>
    </row>
    <row r="17" spans="1:8" ht="14">
      <c r="A17" s="228">
        <v>5</v>
      </c>
      <c r="B17" s="369"/>
      <c r="C17" s="370"/>
      <c r="D17" s="370"/>
      <c r="E17" s="370"/>
      <c r="F17" s="371"/>
      <c r="G17" s="373"/>
      <c r="H17" s="233"/>
    </row>
    <row r="18" spans="1:8" ht="14">
      <c r="A18" s="228">
        <v>6</v>
      </c>
      <c r="B18" s="369"/>
      <c r="C18" s="370"/>
      <c r="D18" s="370"/>
      <c r="E18" s="370"/>
      <c r="F18" s="371"/>
      <c r="G18" s="373"/>
      <c r="H18" s="233"/>
    </row>
    <row r="19" spans="1:8" ht="14">
      <c r="A19" s="228">
        <v>7</v>
      </c>
      <c r="B19" s="639"/>
      <c r="C19" s="640"/>
      <c r="D19" s="640"/>
      <c r="E19" s="640"/>
      <c r="F19" s="640"/>
      <c r="G19" s="307"/>
      <c r="H19" s="233"/>
    </row>
    <row r="20" spans="1:8" ht="14">
      <c r="A20" s="228">
        <v>8</v>
      </c>
      <c r="B20" s="639"/>
      <c r="C20" s="640"/>
      <c r="D20" s="640"/>
      <c r="E20" s="640"/>
      <c r="F20" s="640"/>
      <c r="G20" s="307"/>
      <c r="H20" s="233"/>
    </row>
    <row r="21" spans="1:8" ht="14">
      <c r="A21" s="228">
        <v>9</v>
      </c>
      <c r="B21" s="641"/>
      <c r="C21" s="641"/>
      <c r="D21" s="641"/>
      <c r="E21" s="641"/>
      <c r="F21" s="641"/>
      <c r="G21" s="232"/>
      <c r="H21" s="233"/>
    </row>
    <row r="22" spans="1:8" ht="14">
      <c r="A22" s="228">
        <v>10</v>
      </c>
      <c r="B22" s="641"/>
      <c r="C22" s="641"/>
      <c r="D22" s="641"/>
      <c r="E22" s="641"/>
      <c r="F22" s="641"/>
      <c r="G22" s="232"/>
    </row>
    <row r="23" spans="1:8" ht="14">
      <c r="A23" s="228">
        <v>11</v>
      </c>
      <c r="B23" s="641"/>
      <c r="C23" s="641"/>
      <c r="D23" s="641"/>
      <c r="E23" s="641"/>
      <c r="F23" s="641"/>
      <c r="G23" s="232"/>
    </row>
    <row r="24" spans="1:8" ht="14">
      <c r="A24" s="228">
        <v>12</v>
      </c>
      <c r="B24" s="641"/>
      <c r="C24" s="641"/>
      <c r="D24" s="641"/>
      <c r="E24" s="641"/>
      <c r="F24" s="641"/>
      <c r="G24" s="232"/>
    </row>
    <row r="25" spans="1:8" ht="14">
      <c r="A25" s="228">
        <v>13</v>
      </c>
      <c r="B25" s="641"/>
      <c r="C25" s="641"/>
      <c r="D25" s="641"/>
      <c r="E25" s="641"/>
      <c r="F25" s="641"/>
      <c r="G25" s="232"/>
    </row>
    <row r="26" spans="1:8" ht="14">
      <c r="A26" s="228">
        <v>14</v>
      </c>
      <c r="B26" s="641"/>
      <c r="C26" s="641"/>
      <c r="D26" s="641"/>
      <c r="E26" s="641"/>
      <c r="F26" s="641"/>
      <c r="G26" s="232"/>
    </row>
    <row r="27" spans="1:8" ht="14">
      <c r="A27" s="228">
        <v>15</v>
      </c>
      <c r="B27" s="641"/>
      <c r="C27" s="641"/>
      <c r="D27" s="641"/>
      <c r="E27" s="641"/>
      <c r="F27" s="641"/>
      <c r="G27" s="232"/>
    </row>
    <row r="28" spans="1:8" ht="9" customHeight="1">
      <c r="A28" s="234"/>
      <c r="B28" s="235"/>
      <c r="C28" s="235"/>
      <c r="D28" s="235"/>
      <c r="E28" s="235"/>
      <c r="F28" s="235"/>
      <c r="G28" s="236"/>
    </row>
    <row r="29" spans="1:8" ht="14.5" thickBot="1">
      <c r="F29" s="148" t="s">
        <v>101</v>
      </c>
      <c r="G29" s="244">
        <f>SUM(G13:G27)</f>
        <v>0</v>
      </c>
    </row>
    <row r="30" spans="1:8" ht="9" customHeight="1" thickTop="1"/>
    <row r="31" spans="1:8" ht="14">
      <c r="A31" s="240" t="s">
        <v>102</v>
      </c>
      <c r="B31" s="239"/>
      <c r="C31" s="239"/>
      <c r="D31" s="239"/>
      <c r="E31" s="239"/>
      <c r="F31" s="239"/>
      <c r="G31" s="239"/>
      <c r="H31" s="239"/>
    </row>
    <row r="32" spans="1:8" ht="9" customHeight="1">
      <c r="A32" s="239"/>
      <c r="B32" s="239"/>
      <c r="C32" s="239"/>
      <c r="D32" s="239"/>
      <c r="E32" s="239"/>
      <c r="F32" s="239"/>
      <c r="G32" s="239"/>
      <c r="H32" s="239"/>
    </row>
    <row r="33" spans="1:11" ht="14">
      <c r="A33" s="242" t="s">
        <v>103</v>
      </c>
      <c r="B33" s="243"/>
      <c r="C33" s="243"/>
      <c r="D33" s="243"/>
      <c r="E33" s="243"/>
      <c r="F33" s="243"/>
      <c r="G33" s="243"/>
      <c r="H33" s="239"/>
    </row>
    <row r="34" spans="1:11" ht="9" customHeight="1">
      <c r="A34" s="239"/>
      <c r="B34" s="239"/>
      <c r="C34" s="239"/>
      <c r="D34" s="239"/>
      <c r="E34" s="239"/>
      <c r="F34" s="239"/>
      <c r="G34" s="239"/>
      <c r="H34" s="239"/>
    </row>
    <row r="35" spans="1:11" ht="14">
      <c r="G35" s="228" t="s">
        <v>8</v>
      </c>
    </row>
    <row r="36" spans="1:11" ht="14">
      <c r="B36" s="230" t="s">
        <v>100</v>
      </c>
      <c r="G36" s="231" t="s">
        <v>1</v>
      </c>
    </row>
    <row r="37" spans="1:11" ht="14">
      <c r="A37" s="228">
        <v>1</v>
      </c>
      <c r="B37" s="637"/>
      <c r="C37" s="638"/>
      <c r="D37" s="638"/>
      <c r="E37" s="638"/>
      <c r="F37" s="638"/>
      <c r="G37" s="307"/>
    </row>
    <row r="38" spans="1:11" ht="14">
      <c r="A38" s="228">
        <v>2</v>
      </c>
      <c r="B38" s="369"/>
      <c r="C38" s="372"/>
      <c r="D38" s="372"/>
      <c r="E38" s="372"/>
      <c r="F38" s="371"/>
      <c r="G38" s="373"/>
      <c r="H38" s="233"/>
    </row>
    <row r="39" spans="1:11" ht="14">
      <c r="A39" s="228">
        <v>3</v>
      </c>
      <c r="B39" s="369"/>
      <c r="C39" s="372"/>
      <c r="D39" s="372"/>
      <c r="E39" s="372"/>
      <c r="F39" s="371"/>
      <c r="G39" s="373"/>
      <c r="H39" s="233"/>
    </row>
    <row r="40" spans="1:11" ht="14">
      <c r="A40" s="228">
        <v>4</v>
      </c>
      <c r="B40" s="369"/>
      <c r="C40" s="372"/>
      <c r="D40" s="372"/>
      <c r="E40" s="372"/>
      <c r="F40" s="371"/>
      <c r="G40" s="373"/>
      <c r="H40" s="233"/>
    </row>
    <row r="41" spans="1:11" ht="14">
      <c r="A41" s="228">
        <v>5</v>
      </c>
      <c r="B41" s="369"/>
      <c r="C41" s="372"/>
      <c r="D41" s="372"/>
      <c r="E41" s="372"/>
      <c r="F41" s="371"/>
      <c r="G41" s="373"/>
      <c r="H41" s="233"/>
    </row>
    <row r="42" spans="1:11" ht="14">
      <c r="A42" s="228">
        <v>6</v>
      </c>
      <c r="B42" s="369"/>
      <c r="C42" s="372"/>
      <c r="D42" s="372"/>
      <c r="E42" s="372"/>
      <c r="F42" s="371"/>
      <c r="G42" s="373"/>
      <c r="H42" s="233"/>
      <c r="K42" s="237"/>
    </row>
    <row r="43" spans="1:11" ht="14">
      <c r="A43" s="228">
        <v>7</v>
      </c>
      <c r="B43" s="369"/>
      <c r="C43" s="372"/>
      <c r="D43" s="372"/>
      <c r="E43" s="372"/>
      <c r="F43" s="371"/>
      <c r="G43" s="373"/>
      <c r="H43" s="233"/>
      <c r="K43" s="237"/>
    </row>
    <row r="44" spans="1:11" ht="14">
      <c r="A44" s="228">
        <v>8</v>
      </c>
      <c r="B44" s="639"/>
      <c r="C44" s="640"/>
      <c r="D44" s="640"/>
      <c r="E44" s="640"/>
      <c r="F44" s="640"/>
      <c r="G44" s="307"/>
      <c r="H44" s="233"/>
      <c r="K44" s="237"/>
    </row>
    <row r="45" spans="1:11" ht="14">
      <c r="A45" s="228">
        <v>9</v>
      </c>
      <c r="B45" s="637"/>
      <c r="C45" s="638"/>
      <c r="D45" s="638"/>
      <c r="E45" s="638"/>
      <c r="F45" s="638"/>
      <c r="G45" s="307"/>
      <c r="H45" s="233"/>
      <c r="K45" s="237"/>
    </row>
    <row r="46" spans="1:11" ht="14">
      <c r="A46" s="228">
        <v>10</v>
      </c>
      <c r="B46" s="369"/>
      <c r="C46" s="372"/>
      <c r="D46" s="372"/>
      <c r="E46" s="372"/>
      <c r="F46" s="371"/>
      <c r="G46" s="307"/>
      <c r="H46" s="233"/>
      <c r="K46" s="237"/>
    </row>
    <row r="47" spans="1:11" ht="14">
      <c r="A47" s="228">
        <v>11</v>
      </c>
      <c r="B47" s="369"/>
      <c r="C47" s="372"/>
      <c r="D47" s="372"/>
      <c r="E47" s="372"/>
      <c r="F47" s="371"/>
      <c r="G47" s="307"/>
      <c r="H47" s="233"/>
    </row>
    <row r="48" spans="1:11" ht="14">
      <c r="A48" s="228">
        <v>12</v>
      </c>
      <c r="B48" s="369"/>
      <c r="C48" s="372"/>
      <c r="D48" s="372"/>
      <c r="E48" s="372"/>
      <c r="F48" s="371"/>
      <c r="G48" s="307"/>
      <c r="H48" s="233"/>
    </row>
    <row r="49" spans="1:8" ht="14">
      <c r="A49" s="228">
        <v>13</v>
      </c>
      <c r="B49" s="369"/>
      <c r="C49" s="372"/>
      <c r="D49" s="372"/>
      <c r="E49" s="372"/>
      <c r="F49" s="371"/>
      <c r="G49" s="307"/>
      <c r="H49" s="233"/>
    </row>
    <row r="50" spans="1:8" ht="14">
      <c r="A50" s="228">
        <v>14</v>
      </c>
      <c r="B50" s="369"/>
      <c r="C50" s="372"/>
      <c r="D50" s="372"/>
      <c r="E50" s="372"/>
      <c r="F50" s="371"/>
      <c r="G50" s="307"/>
      <c r="H50" s="233"/>
    </row>
    <row r="51" spans="1:8" ht="14">
      <c r="A51" s="228">
        <v>15</v>
      </c>
      <c r="B51" s="369"/>
      <c r="C51" s="372"/>
      <c r="D51" s="372"/>
      <c r="E51" s="372"/>
      <c r="F51" s="371"/>
      <c r="G51" s="373"/>
      <c r="H51" s="233"/>
    </row>
    <row r="52" spans="1:8" ht="14">
      <c r="A52" s="228">
        <v>16</v>
      </c>
      <c r="B52" s="639"/>
      <c r="C52" s="640"/>
      <c r="D52" s="640"/>
      <c r="E52" s="640"/>
      <c r="F52" s="640"/>
      <c r="G52" s="307"/>
    </row>
    <row r="53" spans="1:8" ht="14.5" thickBot="1">
      <c r="D53" s="378"/>
      <c r="F53" s="148" t="s">
        <v>101</v>
      </c>
      <c r="G53" s="244">
        <f>SUM(G37:G52)</f>
        <v>0</v>
      </c>
    </row>
    <row r="54" spans="1:8" ht="14.5" thickTop="1"/>
    <row r="55" spans="1:8" ht="15" customHeight="1"/>
  </sheetData>
  <mergeCells count="13">
    <mergeCell ref="B45:F45"/>
    <mergeCell ref="B52:F52"/>
    <mergeCell ref="B27:F27"/>
    <mergeCell ref="B19:F19"/>
    <mergeCell ref="B20:F20"/>
    <mergeCell ref="B21:F21"/>
    <mergeCell ref="B22:F22"/>
    <mergeCell ref="B23:F23"/>
    <mergeCell ref="B24:F24"/>
    <mergeCell ref="B25:F25"/>
    <mergeCell ref="B26:F26"/>
    <mergeCell ref="B37:F37"/>
    <mergeCell ref="B44:F44"/>
  </mergeCells>
  <pageMargins left="0.15748031496062992" right="0.15748031496062992" top="0.39370078740157483" bottom="0.59055118110236227" header="0.11811023622047245" footer="0.11811023622047245"/>
  <pageSetup paperSize="9" scale="8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FFFF00"/>
    <pageSetUpPr fitToPage="1"/>
  </sheetPr>
  <dimension ref="A1:T107"/>
  <sheetViews>
    <sheetView showGridLines="0" topLeftCell="A70" zoomScale="85" zoomScaleNormal="85" workbookViewId="0">
      <selection activeCell="U57" sqref="U57"/>
    </sheetView>
  </sheetViews>
  <sheetFormatPr defaultColWidth="9" defaultRowHeight="13.5"/>
  <cols>
    <col min="1" max="1" width="32.3828125" style="137" customWidth="1"/>
    <col min="2" max="2" width="7.84375" style="137" customWidth="1"/>
    <col min="3" max="3" width="9" style="137" customWidth="1"/>
    <col min="4" max="4" width="17.4609375" style="137" customWidth="1"/>
    <col min="5" max="5" width="8.4609375" style="137" customWidth="1"/>
    <col min="6" max="7" width="10.3828125" style="137" customWidth="1"/>
    <col min="8" max="8" width="10.15234375" style="137" customWidth="1"/>
    <col min="9" max="9" width="10.3828125" style="137" customWidth="1"/>
    <col min="10" max="10" width="10.84375" style="137" customWidth="1"/>
    <col min="11" max="11" width="10.15234375" style="137" customWidth="1"/>
    <col min="12" max="12" width="10" style="137" customWidth="1"/>
    <col min="13" max="13" width="12.3828125" style="137" customWidth="1"/>
    <col min="15" max="15" width="11.23046875" style="137" bestFit="1" customWidth="1"/>
    <col min="16" max="16384" width="9" style="137"/>
  </cols>
  <sheetData>
    <row r="1" spans="1:20" s="148" customFormat="1" ht="15">
      <c r="A1" s="157" t="s">
        <v>923</v>
      </c>
    </row>
    <row r="2" spans="1:20" s="148" customFormat="1" ht="15">
      <c r="A2" s="157" t="str">
        <f>CompName</f>
        <v>National Grid Electricity System Operator Ltd</v>
      </c>
    </row>
    <row r="3" spans="1:20" s="148" customFormat="1">
      <c r="A3" s="159" t="str">
        <f>RegYr</f>
        <v>Regulatory Year ending 31 March 2021</v>
      </c>
    </row>
    <row r="4" spans="1:20">
      <c r="A4" s="176"/>
      <c r="B4" s="176"/>
      <c r="C4" s="176"/>
      <c r="D4" s="176"/>
      <c r="E4" s="176"/>
      <c r="F4" s="176"/>
      <c r="G4" s="176"/>
      <c r="H4" s="176"/>
      <c r="I4" s="176"/>
      <c r="J4" s="176"/>
      <c r="K4" s="176"/>
      <c r="L4" s="176"/>
      <c r="M4" s="176"/>
      <c r="O4" s="176"/>
      <c r="P4" s="176"/>
      <c r="Q4" s="176"/>
      <c r="R4" s="176"/>
      <c r="S4" s="176"/>
    </row>
    <row r="5" spans="1:20" ht="16.5" customHeight="1">
      <c r="A5" s="177" t="s">
        <v>62</v>
      </c>
      <c r="H5" s="444"/>
      <c r="I5" s="444"/>
    </row>
    <row r="6" spans="1:20" ht="14">
      <c r="B6" s="162"/>
      <c r="C6" s="162"/>
      <c r="D6" s="162"/>
      <c r="E6" s="162"/>
      <c r="F6" s="162"/>
      <c r="G6" s="162"/>
      <c r="H6" s="260"/>
      <c r="I6" s="162"/>
    </row>
    <row r="7" spans="1:20" ht="13.5" customHeight="1">
      <c r="A7" s="136" t="s">
        <v>474</v>
      </c>
      <c r="B7" s="142"/>
      <c r="C7" s="221"/>
      <c r="E7" s="142"/>
      <c r="F7" s="394" t="s">
        <v>671</v>
      </c>
      <c r="L7" s="165"/>
    </row>
    <row r="8" spans="1:20" ht="13.5" customHeight="1">
      <c r="B8" s="142"/>
      <c r="C8" s="142"/>
      <c r="D8" s="142"/>
      <c r="E8" s="142"/>
      <c r="F8" s="261"/>
      <c r="G8" s="261"/>
      <c r="H8" s="261"/>
      <c r="I8" s="261"/>
      <c r="J8" s="261"/>
      <c r="K8" s="261"/>
      <c r="L8" s="261"/>
      <c r="M8" s="261"/>
    </row>
    <row r="9" spans="1:20" ht="14.5">
      <c r="B9" s="142"/>
      <c r="C9" s="142"/>
      <c r="D9" s="142"/>
      <c r="E9" s="142"/>
      <c r="F9" s="138">
        <v>2014</v>
      </c>
      <c r="G9" s="138">
        <v>2015</v>
      </c>
      <c r="H9" s="138">
        <v>2016</v>
      </c>
      <c r="I9" s="138">
        <v>2017</v>
      </c>
      <c r="J9" s="138">
        <v>2018</v>
      </c>
      <c r="K9" s="138">
        <v>2019</v>
      </c>
      <c r="L9" s="138">
        <v>2020</v>
      </c>
      <c r="M9" s="138">
        <v>2021</v>
      </c>
      <c r="N9" s="593">
        <v>2022</v>
      </c>
      <c r="O9" s="593">
        <v>2023</v>
      </c>
    </row>
    <row r="10" spans="1:20">
      <c r="A10" s="139" t="s">
        <v>65</v>
      </c>
      <c r="B10" s="139" t="s">
        <v>304</v>
      </c>
      <c r="D10" s="273" t="s">
        <v>984</v>
      </c>
      <c r="F10" s="365">
        <f t="shared" ref="F10:M10" si="0">SOPU</f>
        <v>113.976</v>
      </c>
      <c r="G10" s="365">
        <f t="shared" si="0"/>
        <v>113.533</v>
      </c>
      <c r="H10" s="365">
        <f t="shared" si="0"/>
        <v>114.357</v>
      </c>
      <c r="I10" s="365">
        <f t="shared" si="0"/>
        <v>116.705</v>
      </c>
      <c r="J10" s="365">
        <f t="shared" si="0"/>
        <v>122.833</v>
      </c>
      <c r="K10" s="365">
        <f t="shared" si="0"/>
        <v>117.524</v>
      </c>
      <c r="L10" s="365">
        <f t="shared" si="0"/>
        <v>124.73099999999999</v>
      </c>
      <c r="M10" s="365">
        <f t="shared" si="0"/>
        <v>126.191</v>
      </c>
      <c r="O10" s="576"/>
      <c r="P10" s="165" t="s">
        <v>304</v>
      </c>
      <c r="Q10" s="445"/>
      <c r="R10" s="445"/>
    </row>
    <row r="11" spans="1:20">
      <c r="A11" s="139" t="s">
        <v>684</v>
      </c>
      <c r="B11" s="139" t="s">
        <v>672</v>
      </c>
      <c r="D11" s="273" t="s">
        <v>984</v>
      </c>
      <c r="F11" s="164">
        <f>F60</f>
        <v>0</v>
      </c>
      <c r="G11" s="164">
        <f t="shared" ref="G11:L11" si="1">G60</f>
        <v>0</v>
      </c>
      <c r="H11" s="164">
        <f t="shared" si="1"/>
        <v>0</v>
      </c>
      <c r="I11" s="164">
        <f t="shared" si="1"/>
        <v>0</v>
      </c>
      <c r="J11" s="164">
        <f t="shared" si="1"/>
        <v>-0.3</v>
      </c>
      <c r="K11" s="164">
        <f t="shared" si="1"/>
        <v>-0.3</v>
      </c>
      <c r="L11" s="164" t="e">
        <f t="shared" si="1"/>
        <v>#DIV/0!</v>
      </c>
      <c r="M11" s="164" t="e">
        <f>M60</f>
        <v>#DIV/0!</v>
      </c>
      <c r="N11" s="405" t="e">
        <f t="shared" ref="N11:O11" si="2">N60</f>
        <v>#DIV/0!</v>
      </c>
      <c r="O11" s="405" t="e">
        <f t="shared" si="2"/>
        <v>#DIV/0!</v>
      </c>
      <c r="P11" s="165" t="s">
        <v>672</v>
      </c>
      <c r="Q11" s="445"/>
      <c r="R11" s="445"/>
    </row>
    <row r="12" spans="1:20">
      <c r="A12" s="139" t="s">
        <v>66</v>
      </c>
      <c r="B12" s="139" t="s">
        <v>352</v>
      </c>
      <c r="D12" s="273" t="s">
        <v>984</v>
      </c>
      <c r="F12" s="164">
        <f t="shared" ref="F12:O12" si="3">SOMOD</f>
        <v>0</v>
      </c>
      <c r="G12" s="164">
        <f t="shared" si="3"/>
        <v>3.7</v>
      </c>
      <c r="H12" s="164">
        <f t="shared" si="3"/>
        <v>6</v>
      </c>
      <c r="I12" s="164">
        <f t="shared" si="3"/>
        <v>20.9</v>
      </c>
      <c r="J12" s="164">
        <f t="shared" si="3"/>
        <v>9.1999999999999993</v>
      </c>
      <c r="K12" s="164">
        <f t="shared" si="3"/>
        <v>30.1</v>
      </c>
      <c r="L12" s="164">
        <f t="shared" si="3"/>
        <v>97</v>
      </c>
      <c r="M12" s="164">
        <f t="shared" si="3"/>
        <v>36.299999999999997</v>
      </c>
      <c r="N12" s="405">
        <f t="shared" si="3"/>
        <v>11.10123468639711</v>
      </c>
      <c r="O12" s="405">
        <f t="shared" si="3"/>
        <v>12.314230457944612</v>
      </c>
      <c r="P12" s="165" t="s">
        <v>134</v>
      </c>
      <c r="Q12" s="445"/>
      <c r="R12" s="445"/>
      <c r="S12" s="445"/>
      <c r="T12" s="445"/>
    </row>
    <row r="13" spans="1:20">
      <c r="A13" s="139" t="s">
        <v>471</v>
      </c>
      <c r="B13" s="139" t="s">
        <v>469</v>
      </c>
      <c r="D13" s="273" t="s">
        <v>984</v>
      </c>
      <c r="F13" s="274">
        <f t="shared" ref="F13:M13" si="4">SOEMR</f>
        <v>0</v>
      </c>
      <c r="G13" s="274">
        <f t="shared" si="4"/>
        <v>14.7</v>
      </c>
      <c r="H13" s="274">
        <f t="shared" si="4"/>
        <v>0</v>
      </c>
      <c r="I13" s="274">
        <f t="shared" si="4"/>
        <v>0</v>
      </c>
      <c r="J13" s="274">
        <f t="shared" si="4"/>
        <v>0</v>
      </c>
      <c r="K13" s="274">
        <f t="shared" si="4"/>
        <v>0</v>
      </c>
      <c r="L13" s="274">
        <f t="shared" si="4"/>
        <v>0</v>
      </c>
      <c r="M13" s="274">
        <f t="shared" si="4"/>
        <v>0</v>
      </c>
      <c r="O13" s="576"/>
      <c r="P13" s="165" t="s">
        <v>469</v>
      </c>
      <c r="Q13" s="445"/>
      <c r="R13" s="445"/>
      <c r="S13" s="445"/>
      <c r="T13" s="445"/>
    </row>
    <row r="14" spans="1:20">
      <c r="A14" s="139" t="s">
        <v>473</v>
      </c>
      <c r="B14" s="139" t="s">
        <v>470</v>
      </c>
      <c r="D14" s="273" t="s">
        <v>984</v>
      </c>
      <c r="F14" s="274">
        <f t="shared" ref="F14:M14" si="5">SOEMRCO</f>
        <v>0</v>
      </c>
      <c r="G14" s="274">
        <f t="shared" si="5"/>
        <v>0</v>
      </c>
      <c r="H14" s="274">
        <f t="shared" si="5"/>
        <v>0</v>
      </c>
      <c r="I14" s="274">
        <f t="shared" si="5"/>
        <v>-7.4</v>
      </c>
      <c r="J14" s="274">
        <f t="shared" si="5"/>
        <v>0</v>
      </c>
      <c r="K14" s="274">
        <f t="shared" si="5"/>
        <v>0</v>
      </c>
      <c r="L14" s="274">
        <f t="shared" si="5"/>
        <v>0</v>
      </c>
      <c r="M14" s="274">
        <f t="shared" si="5"/>
        <v>0</v>
      </c>
      <c r="O14" s="576"/>
      <c r="P14" s="165" t="s">
        <v>470</v>
      </c>
      <c r="Q14" s="445"/>
      <c r="R14" s="445"/>
      <c r="S14" s="445"/>
      <c r="T14" s="445"/>
    </row>
    <row r="15" spans="1:20">
      <c r="A15" s="139" t="s">
        <v>67</v>
      </c>
      <c r="B15" s="139" t="s">
        <v>353</v>
      </c>
      <c r="D15" s="273" t="s">
        <v>984</v>
      </c>
      <c r="F15" s="164">
        <f t="shared" ref="F15:O15" si="6">SOTRU</f>
        <v>0</v>
      </c>
      <c r="G15" s="164">
        <f t="shared" si="6"/>
        <v>0</v>
      </c>
      <c r="H15" s="164">
        <f t="shared" si="6"/>
        <v>0.42654856661829127</v>
      </c>
      <c r="I15" s="164">
        <f t="shared" si="6"/>
        <v>-1.8119263396039809</v>
      </c>
      <c r="J15" s="164">
        <f t="shared" si="6"/>
        <v>-2.7317247502935995</v>
      </c>
      <c r="K15" s="164">
        <f t="shared" si="6"/>
        <v>-0.56739022211183443</v>
      </c>
      <c r="L15" s="164">
        <f t="shared" si="6"/>
        <v>0.32880455225854299</v>
      </c>
      <c r="M15" s="164">
        <f t="shared" si="6"/>
        <v>-0.12053702254929091</v>
      </c>
      <c r="N15" s="405" t="e">
        <f t="shared" si="6"/>
        <v>#DIV/0!</v>
      </c>
      <c r="O15" s="405" t="e">
        <f t="shared" si="6"/>
        <v>#DIV/0!</v>
      </c>
      <c r="P15" s="165" t="s">
        <v>353</v>
      </c>
      <c r="Q15" s="445"/>
      <c r="R15" s="445"/>
      <c r="S15" s="445"/>
      <c r="T15" s="445"/>
    </row>
    <row r="16" spans="1:20">
      <c r="A16" s="403" t="s">
        <v>72</v>
      </c>
      <c r="B16" s="139" t="s">
        <v>301</v>
      </c>
      <c r="D16" s="281" t="s">
        <v>500</v>
      </c>
      <c r="F16" s="365">
        <f t="shared" ref="F16:L16" si="7">RPIF</f>
        <v>1.163</v>
      </c>
      <c r="G16" s="365">
        <f t="shared" si="7"/>
        <v>1.2050000000000001</v>
      </c>
      <c r="H16" s="365">
        <f t="shared" si="7"/>
        <v>1.2270000000000001</v>
      </c>
      <c r="I16" s="365">
        <f t="shared" si="7"/>
        <v>1.2330000000000001</v>
      </c>
      <c r="J16" s="365">
        <f t="shared" si="7"/>
        <v>1.2709999999999999</v>
      </c>
      <c r="K16" s="365">
        <f t="shared" si="7"/>
        <v>1.3140000000000001</v>
      </c>
      <c r="L16" s="365">
        <f t="shared" si="7"/>
        <v>1.3580000000000001</v>
      </c>
      <c r="M16" s="365">
        <f>RPIF</f>
        <v>1.38</v>
      </c>
      <c r="O16" s="576"/>
      <c r="P16" s="165" t="s">
        <v>132</v>
      </c>
    </row>
    <row r="17" spans="1:17">
      <c r="A17" s="139" t="s">
        <v>63</v>
      </c>
      <c r="B17" s="139" t="s">
        <v>354</v>
      </c>
      <c r="D17" s="281" t="s">
        <v>1</v>
      </c>
      <c r="F17" s="73">
        <f>SUM(F10:F15)</f>
        <v>113.976</v>
      </c>
      <c r="G17" s="73">
        <f t="shared" ref="G17:M17" si="8">SUM(G10:G15)</f>
        <v>131.93299999999999</v>
      </c>
      <c r="H17" s="73">
        <f t="shared" si="8"/>
        <v>120.78354856661829</v>
      </c>
      <c r="I17" s="73">
        <f t="shared" si="8"/>
        <v>128.393073660396</v>
      </c>
      <c r="J17" s="73">
        <f t="shared" si="8"/>
        <v>129.0012752497064</v>
      </c>
      <c r="K17" s="73">
        <f>SUM(K10:K15)</f>
        <v>146.75660977788817</v>
      </c>
      <c r="L17" s="73" t="e">
        <f t="shared" si="8"/>
        <v>#DIV/0!</v>
      </c>
      <c r="M17" s="73" t="e">
        <f t="shared" si="8"/>
        <v>#DIV/0!</v>
      </c>
      <c r="O17" s="576"/>
      <c r="P17" s="165" t="s">
        <v>354</v>
      </c>
    </row>
    <row r="18" spans="1:17">
      <c r="A18" s="139" t="s">
        <v>64</v>
      </c>
      <c r="B18" s="139" t="s">
        <v>355</v>
      </c>
      <c r="D18" s="281" t="s">
        <v>985</v>
      </c>
      <c r="F18" s="73">
        <f>(F10+F11+F12+F14+F15)*F16</f>
        <v>132.55408800000001</v>
      </c>
      <c r="G18" s="73">
        <f>(G10+G11+G12+G13+G14+G15)*G16</f>
        <v>158.979265</v>
      </c>
      <c r="H18" s="73">
        <f>(H10+H11+H12+H13+H14+H15)*H16</f>
        <v>148.20141409124065</v>
      </c>
      <c r="I18" s="73">
        <f>(I10+I11+I12+I13+I14+I15)*I16</f>
        <v>158.30865982326827</v>
      </c>
      <c r="J18" s="73">
        <f t="shared" ref="J18:M18" si="9">(J10+J11+J12+J13+J14+J15)*J16</f>
        <v>163.96062084237681</v>
      </c>
      <c r="K18" s="73">
        <f>(K10+K11+K12+K13+K14+K15)*K16</f>
        <v>192.83818524814507</v>
      </c>
      <c r="L18" s="73" t="e">
        <f t="shared" si="9"/>
        <v>#DIV/0!</v>
      </c>
      <c r="M18" s="73" t="e">
        <f t="shared" si="9"/>
        <v>#DIV/0!</v>
      </c>
      <c r="O18" s="576"/>
      <c r="P18" s="165" t="s">
        <v>355</v>
      </c>
    </row>
    <row r="19" spans="1:17" ht="14">
      <c r="A19" s="139"/>
      <c r="B19" s="139"/>
      <c r="D19" s="281"/>
      <c r="F19" s="165"/>
      <c r="G19" s="379"/>
      <c r="H19" s="165"/>
      <c r="I19" s="165"/>
      <c r="J19" s="165"/>
      <c r="K19" s="162"/>
      <c r="L19" s="162"/>
      <c r="M19" s="162"/>
      <c r="O19" s="576"/>
      <c r="P19" s="263"/>
      <c r="Q19" s="162"/>
    </row>
    <row r="20" spans="1:17" ht="14">
      <c r="B20" s="139"/>
      <c r="D20" s="281"/>
      <c r="O20" s="576"/>
      <c r="P20" s="263"/>
      <c r="Q20" s="162"/>
    </row>
    <row r="21" spans="1:17" ht="16.5">
      <c r="A21" s="604" t="s">
        <v>371</v>
      </c>
      <c r="B21" s="139"/>
      <c r="D21" s="281"/>
      <c r="F21" s="262" t="s">
        <v>68</v>
      </c>
      <c r="M21" s="165"/>
      <c r="O21" s="576"/>
      <c r="P21" s="263"/>
      <c r="Q21" s="162"/>
    </row>
    <row r="22" spans="1:17" ht="14.5">
      <c r="A22" s="287" t="s">
        <v>524</v>
      </c>
      <c r="B22" s="139"/>
      <c r="D22" s="281"/>
      <c r="E22" s="138">
        <v>2013</v>
      </c>
      <c r="F22" s="138">
        <v>2014</v>
      </c>
      <c r="G22" s="138">
        <v>2015</v>
      </c>
      <c r="H22" s="138">
        <v>2016</v>
      </c>
      <c r="I22" s="138">
        <v>2017</v>
      </c>
      <c r="J22" s="138">
        <v>2018</v>
      </c>
      <c r="K22" s="138">
        <v>2019</v>
      </c>
      <c r="L22" s="138">
        <v>2020</v>
      </c>
      <c r="M22" s="138">
        <v>2021</v>
      </c>
      <c r="N22" s="593">
        <v>2022</v>
      </c>
      <c r="O22" s="593">
        <v>2023</v>
      </c>
      <c r="P22" s="263"/>
      <c r="Q22" s="162"/>
    </row>
    <row r="23" spans="1:17" ht="14">
      <c r="A23" s="139" t="s">
        <v>362</v>
      </c>
      <c r="B23" s="139" t="s">
        <v>303</v>
      </c>
      <c r="D23" s="273" t="s">
        <v>984</v>
      </c>
      <c r="E23" s="164">
        <f>E49</f>
        <v>0</v>
      </c>
      <c r="F23" s="164">
        <f>SOREV</f>
        <v>113.976</v>
      </c>
      <c r="G23" s="164">
        <f>SOREV</f>
        <v>131.93299999999999</v>
      </c>
      <c r="H23" s="164">
        <f t="shared" ref="H23:M23" si="10">SOREV</f>
        <v>120.78354856661829</v>
      </c>
      <c r="I23" s="164">
        <f t="shared" si="10"/>
        <v>128.393073660396</v>
      </c>
      <c r="J23" s="164">
        <f t="shared" si="10"/>
        <v>129.00127524970637</v>
      </c>
      <c r="K23" s="164">
        <f t="shared" si="10"/>
        <v>146.75660977788814</v>
      </c>
      <c r="L23" s="164" t="e">
        <f t="shared" si="10"/>
        <v>#DIV/0!</v>
      </c>
      <c r="M23" s="164" t="e">
        <f t="shared" si="10"/>
        <v>#DIV/0!</v>
      </c>
      <c r="O23" s="576"/>
      <c r="P23" s="165" t="s">
        <v>303</v>
      </c>
      <c r="Q23" s="162"/>
    </row>
    <row r="24" spans="1:17" ht="14">
      <c r="A24" s="139" t="s">
        <v>41</v>
      </c>
      <c r="B24" s="139" t="s">
        <v>146</v>
      </c>
      <c r="D24" s="281" t="s">
        <v>1</v>
      </c>
      <c r="E24" s="365">
        <f t="shared" ref="E24:O24" si="11">PVF</f>
        <v>1.0475000000000001</v>
      </c>
      <c r="F24" s="365">
        <f t="shared" si="11"/>
        <v>1.04552</v>
      </c>
      <c r="G24" s="365">
        <f>PVF</f>
        <v>1.0443199999999999</v>
      </c>
      <c r="H24" s="365">
        <f t="shared" si="11"/>
        <v>1.0432999999999999</v>
      </c>
      <c r="I24" s="365">
        <f t="shared" si="11"/>
        <v>1.0422800000000001</v>
      </c>
      <c r="J24" s="365">
        <f t="shared" si="11"/>
        <v>1.04132</v>
      </c>
      <c r="K24" s="365">
        <f t="shared" si="11"/>
        <v>1.0394600000000001</v>
      </c>
      <c r="L24" s="365">
        <f t="shared" si="11"/>
        <v>1.03748</v>
      </c>
      <c r="M24" s="365">
        <f t="shared" si="11"/>
        <v>1.03454</v>
      </c>
      <c r="N24" s="365">
        <f t="shared" si="11"/>
        <v>1.0489599999999999</v>
      </c>
      <c r="O24" s="365">
        <f t="shared" si="11"/>
        <v>1.0507900000000001</v>
      </c>
      <c r="P24" s="165" t="s">
        <v>146</v>
      </c>
      <c r="Q24" s="162"/>
    </row>
    <row r="25" spans="1:17" ht="14">
      <c r="A25" s="139" t="s">
        <v>302</v>
      </c>
      <c r="B25" s="139" t="s">
        <v>301</v>
      </c>
      <c r="D25" s="281" t="s">
        <v>1</v>
      </c>
      <c r="E25" s="365">
        <f t="shared" ref="E25:O25" si="12">RPIF</f>
        <v>1.1344000000000001</v>
      </c>
      <c r="F25" s="365">
        <f t="shared" si="12"/>
        <v>1.163</v>
      </c>
      <c r="G25" s="365">
        <f t="shared" si="12"/>
        <v>1.2050000000000001</v>
      </c>
      <c r="H25" s="365">
        <f t="shared" si="12"/>
        <v>1.2270000000000001</v>
      </c>
      <c r="I25" s="365">
        <f t="shared" si="12"/>
        <v>1.2330000000000001</v>
      </c>
      <c r="J25" s="365">
        <f t="shared" si="12"/>
        <v>1.2709999999999999</v>
      </c>
      <c r="K25" s="365">
        <f t="shared" si="12"/>
        <v>1.3140000000000001</v>
      </c>
      <c r="L25" s="365">
        <f t="shared" si="12"/>
        <v>1.3580000000000001</v>
      </c>
      <c r="M25" s="365">
        <f t="shared" si="12"/>
        <v>1.38</v>
      </c>
      <c r="N25" s="365">
        <f t="shared" si="12"/>
        <v>1.403</v>
      </c>
      <c r="O25" s="365">
        <f t="shared" si="12"/>
        <v>1.4339999999999999</v>
      </c>
      <c r="P25" s="165" t="s">
        <v>132</v>
      </c>
      <c r="Q25" s="162"/>
    </row>
    <row r="26" spans="1:17" ht="14">
      <c r="A26" s="139" t="s">
        <v>70</v>
      </c>
      <c r="B26" s="139" t="s">
        <v>341</v>
      </c>
      <c r="D26" s="281" t="s">
        <v>1</v>
      </c>
      <c r="E26" s="365">
        <f t="shared" ref="E26:O26" si="13">RPIA</f>
        <v>1.1339999999999999</v>
      </c>
      <c r="F26" s="365">
        <f t="shared" si="13"/>
        <v>1.167</v>
      </c>
      <c r="G26" s="365">
        <f t="shared" si="13"/>
        <v>1.19</v>
      </c>
      <c r="H26" s="365">
        <f t="shared" si="13"/>
        <v>1.202</v>
      </c>
      <c r="I26" s="365">
        <f t="shared" si="13"/>
        <v>1.228</v>
      </c>
      <c r="J26" s="365">
        <f t="shared" si="13"/>
        <v>1.274</v>
      </c>
      <c r="K26" s="365">
        <f t="shared" si="13"/>
        <v>1.3129999999999999</v>
      </c>
      <c r="L26" s="365">
        <f t="shared" si="13"/>
        <v>1.347</v>
      </c>
      <c r="M26" s="365">
        <f t="shared" si="13"/>
        <v>1.363</v>
      </c>
      <c r="N26" s="365">
        <f t="shared" si="13"/>
        <v>1.383</v>
      </c>
      <c r="O26" s="365">
        <f t="shared" si="13"/>
        <v>1.4079999999999999</v>
      </c>
      <c r="P26" s="264" t="s">
        <v>142</v>
      </c>
      <c r="Q26" s="162"/>
    </row>
    <row r="27" spans="1:17" ht="14">
      <c r="A27" s="139" t="s">
        <v>67</v>
      </c>
      <c r="B27" s="139" t="s">
        <v>353</v>
      </c>
      <c r="D27" s="281" t="s">
        <v>1</v>
      </c>
      <c r="G27" s="73">
        <f>((E26-E25)/E26)*E23*E24*F24</f>
        <v>0</v>
      </c>
      <c r="H27" s="73">
        <f>((F26-F25)/F26)*F23*F24*G24</f>
        <v>0.42654856661829127</v>
      </c>
      <c r="I27" s="73">
        <f>((G26-G25)/G26)*G23*G24*H24</f>
        <v>-1.8119263396039809</v>
      </c>
      <c r="J27" s="73">
        <f>((H26-H25)/H26)*H23*H24*I24</f>
        <v>-2.7317247502935995</v>
      </c>
      <c r="K27" s="73">
        <f t="shared" ref="K27:M27" si="14">((I26-I25)/I26)*I23*I24*J24</f>
        <v>-0.56739022211183443</v>
      </c>
      <c r="L27" s="73">
        <f t="shared" si="14"/>
        <v>0.32880455225854299</v>
      </c>
      <c r="M27" s="73">
        <f t="shared" si="14"/>
        <v>-0.12053702254929091</v>
      </c>
      <c r="N27" s="401" t="e">
        <f t="shared" ref="N27" si="15">((L26-L25)/L26)*L23*L24*M24</f>
        <v>#DIV/0!</v>
      </c>
      <c r="O27" s="401" t="e">
        <f t="shared" ref="O27" si="16">((M26-M25)/M26)*M23*M24*N24</f>
        <v>#DIV/0!</v>
      </c>
      <c r="P27" s="408" t="s">
        <v>360</v>
      </c>
      <c r="Q27" s="162"/>
    </row>
    <row r="28" spans="1:17" ht="14">
      <c r="A28" s="139"/>
      <c r="B28" s="139"/>
      <c r="D28" s="281"/>
      <c r="F28" s="165"/>
      <c r="G28" s="165"/>
      <c r="H28" s="165"/>
      <c r="I28" s="165"/>
      <c r="J28" s="165"/>
      <c r="K28" s="162"/>
      <c r="L28" s="162"/>
      <c r="M28" s="162"/>
      <c r="O28" s="576"/>
      <c r="P28" s="263"/>
      <c r="Q28" s="162"/>
    </row>
    <row r="29" spans="1:17" ht="14">
      <c r="A29" s="139"/>
      <c r="B29" s="139"/>
      <c r="D29" s="281"/>
      <c r="F29" s="165"/>
      <c r="G29" s="165"/>
      <c r="H29" s="165"/>
      <c r="I29" s="165"/>
      <c r="J29" s="165"/>
      <c r="K29" s="162"/>
      <c r="L29" s="162"/>
      <c r="M29" s="162"/>
      <c r="O29" s="576"/>
      <c r="P29" s="263"/>
      <c r="Q29" s="162"/>
    </row>
    <row r="30" spans="1:17" ht="14">
      <c r="A30" s="183" t="s">
        <v>359</v>
      </c>
      <c r="B30" s="139"/>
      <c r="D30" s="281"/>
      <c r="F30" s="162"/>
      <c r="G30" s="162"/>
      <c r="H30" s="162"/>
      <c r="I30" s="162"/>
      <c r="J30" s="162"/>
      <c r="K30" s="162"/>
      <c r="L30" s="162"/>
      <c r="M30" s="162"/>
      <c r="O30" s="576"/>
      <c r="P30" s="263"/>
      <c r="Q30" s="162"/>
    </row>
    <row r="31" spans="1:17" ht="14">
      <c r="A31" s="139"/>
      <c r="B31" s="139"/>
      <c r="D31" s="281"/>
      <c r="F31" s="162"/>
      <c r="G31" s="162"/>
      <c r="H31" s="162"/>
      <c r="I31" s="162"/>
      <c r="J31" s="162"/>
      <c r="K31" s="165"/>
      <c r="L31" s="162"/>
      <c r="M31" s="162"/>
      <c r="O31" s="576"/>
      <c r="P31" s="263"/>
      <c r="Q31" s="162"/>
    </row>
    <row r="32" spans="1:17" ht="14.5">
      <c r="A32" s="139"/>
      <c r="B32" s="139"/>
      <c r="D32" s="281"/>
      <c r="F32" s="138">
        <v>2014</v>
      </c>
      <c r="G32" s="138">
        <v>2015</v>
      </c>
      <c r="H32" s="138">
        <v>2016</v>
      </c>
      <c r="I32" s="138">
        <v>2017</v>
      </c>
      <c r="J32" s="138">
        <v>2018</v>
      </c>
      <c r="K32" s="138">
        <v>2019</v>
      </c>
      <c r="L32" s="138">
        <v>2020</v>
      </c>
      <c r="M32" s="138">
        <v>2021</v>
      </c>
      <c r="O32" s="576"/>
      <c r="P32" s="263"/>
      <c r="Q32" s="162"/>
    </row>
    <row r="33" spans="1:17" ht="14">
      <c r="A33" s="139" t="s">
        <v>356</v>
      </c>
      <c r="B33" s="139" t="s">
        <v>304</v>
      </c>
      <c r="D33" s="273" t="s">
        <v>984</v>
      </c>
      <c r="F33" s="164">
        <f t="shared" ref="F33:M33" si="17">SOPU</f>
        <v>113.976</v>
      </c>
      <c r="G33" s="164">
        <f t="shared" si="17"/>
        <v>113.533</v>
      </c>
      <c r="H33" s="164">
        <f>SOPU</f>
        <v>114.357</v>
      </c>
      <c r="I33" s="164">
        <f t="shared" si="17"/>
        <v>116.705</v>
      </c>
      <c r="J33" s="164">
        <f t="shared" si="17"/>
        <v>122.833</v>
      </c>
      <c r="K33" s="164">
        <f t="shared" si="17"/>
        <v>117.524</v>
      </c>
      <c r="L33" s="164">
        <f t="shared" si="17"/>
        <v>124.73099999999999</v>
      </c>
      <c r="M33" s="164">
        <f t="shared" si="17"/>
        <v>126.191</v>
      </c>
      <c r="O33" s="576"/>
      <c r="P33" s="264" t="s">
        <v>304</v>
      </c>
      <c r="Q33" s="577"/>
    </row>
    <row r="34" spans="1:17" ht="14">
      <c r="A34" s="139" t="s">
        <v>361</v>
      </c>
      <c r="B34" s="139" t="s">
        <v>134</v>
      </c>
      <c r="D34" s="273" t="s">
        <v>984</v>
      </c>
      <c r="F34" s="164">
        <f t="shared" ref="F34:M34" si="18">SOMOD</f>
        <v>0</v>
      </c>
      <c r="G34" s="164">
        <f t="shared" si="18"/>
        <v>3.7</v>
      </c>
      <c r="H34" s="164">
        <f t="shared" si="18"/>
        <v>6</v>
      </c>
      <c r="I34" s="164">
        <f t="shared" si="18"/>
        <v>20.9</v>
      </c>
      <c r="J34" s="164">
        <f t="shared" si="18"/>
        <v>9.1999999999999993</v>
      </c>
      <c r="K34" s="164">
        <f t="shared" si="18"/>
        <v>30.1</v>
      </c>
      <c r="L34" s="164">
        <f t="shared" si="18"/>
        <v>97</v>
      </c>
      <c r="M34" s="164">
        <f t="shared" si="18"/>
        <v>36.299999999999997</v>
      </c>
      <c r="O34" s="576"/>
      <c r="P34" s="264" t="s">
        <v>134</v>
      </c>
      <c r="Q34" s="577"/>
    </row>
    <row r="35" spans="1:17" ht="14">
      <c r="A35" s="139" t="s">
        <v>471</v>
      </c>
      <c r="B35" s="139" t="s">
        <v>469</v>
      </c>
      <c r="D35" s="273" t="s">
        <v>984</v>
      </c>
      <c r="F35" s="164">
        <f t="shared" ref="F35:M35" si="19">SOEMR</f>
        <v>0</v>
      </c>
      <c r="G35" s="164">
        <f t="shared" si="19"/>
        <v>14.7</v>
      </c>
      <c r="H35" s="164">
        <f t="shared" si="19"/>
        <v>0</v>
      </c>
      <c r="I35" s="164">
        <f t="shared" si="19"/>
        <v>0</v>
      </c>
      <c r="J35" s="164">
        <f t="shared" si="19"/>
        <v>0</v>
      </c>
      <c r="K35" s="164">
        <f t="shared" si="19"/>
        <v>0</v>
      </c>
      <c r="L35" s="164">
        <f t="shared" si="19"/>
        <v>0</v>
      </c>
      <c r="M35" s="164">
        <f t="shared" si="19"/>
        <v>0</v>
      </c>
      <c r="O35" s="576"/>
      <c r="P35" s="264" t="s">
        <v>469</v>
      </c>
      <c r="Q35" s="577"/>
    </row>
    <row r="36" spans="1:17" ht="14">
      <c r="A36" s="139" t="s">
        <v>473</v>
      </c>
      <c r="B36" s="139" t="s">
        <v>470</v>
      </c>
      <c r="D36" s="273" t="s">
        <v>984</v>
      </c>
      <c r="F36" s="164">
        <f t="shared" ref="F36:M36" si="20">SOEMRCO</f>
        <v>0</v>
      </c>
      <c r="G36" s="164">
        <f t="shared" si="20"/>
        <v>0</v>
      </c>
      <c r="H36" s="164">
        <f t="shared" si="20"/>
        <v>0</v>
      </c>
      <c r="I36" s="164">
        <f t="shared" si="20"/>
        <v>-7.4</v>
      </c>
      <c r="J36" s="164">
        <f t="shared" si="20"/>
        <v>0</v>
      </c>
      <c r="K36" s="164">
        <f t="shared" si="20"/>
        <v>0</v>
      </c>
      <c r="L36" s="164">
        <f t="shared" si="20"/>
        <v>0</v>
      </c>
      <c r="M36" s="164">
        <f t="shared" si="20"/>
        <v>0</v>
      </c>
      <c r="O36" s="576"/>
      <c r="P36" s="264" t="s">
        <v>470</v>
      </c>
      <c r="Q36" s="577"/>
    </row>
    <row r="37" spans="1:17" ht="14">
      <c r="A37" s="139" t="s">
        <v>546</v>
      </c>
      <c r="B37" s="139" t="s">
        <v>672</v>
      </c>
      <c r="D37" s="273" t="s">
        <v>984</v>
      </c>
      <c r="F37" s="164">
        <f t="shared" ref="F37:M37" si="21">SOEMRINC</f>
        <v>0</v>
      </c>
      <c r="G37" s="164">
        <f t="shared" si="21"/>
        <v>0</v>
      </c>
      <c r="H37" s="164">
        <f t="shared" si="21"/>
        <v>0</v>
      </c>
      <c r="I37" s="164">
        <f t="shared" si="21"/>
        <v>0</v>
      </c>
      <c r="J37" s="164">
        <f t="shared" si="21"/>
        <v>-0.3</v>
      </c>
      <c r="K37" s="164">
        <f t="shared" si="21"/>
        <v>-0.3</v>
      </c>
      <c r="L37" s="164" t="e">
        <f t="shared" si="21"/>
        <v>#DIV/0!</v>
      </c>
      <c r="M37" s="164" t="e">
        <f t="shared" si="21"/>
        <v>#DIV/0!</v>
      </c>
      <c r="O37" s="576"/>
      <c r="P37" s="264" t="s">
        <v>672</v>
      </c>
      <c r="Q37" s="577"/>
    </row>
    <row r="38" spans="1:17" ht="14">
      <c r="A38" s="139" t="s">
        <v>357</v>
      </c>
      <c r="B38" s="139" t="s">
        <v>360</v>
      </c>
      <c r="D38" s="281" t="s">
        <v>1</v>
      </c>
      <c r="F38" s="164">
        <f t="shared" ref="F38:M38" si="22">SOTRU</f>
        <v>0</v>
      </c>
      <c r="G38" s="164">
        <f t="shared" si="22"/>
        <v>0</v>
      </c>
      <c r="H38" s="164">
        <f t="shared" si="22"/>
        <v>0.42654856661829127</v>
      </c>
      <c r="I38" s="164">
        <f t="shared" si="22"/>
        <v>-1.8119263396039809</v>
      </c>
      <c r="J38" s="164">
        <f t="shared" si="22"/>
        <v>-2.7317247502935995</v>
      </c>
      <c r="K38" s="164">
        <f t="shared" si="22"/>
        <v>-0.56739022211183443</v>
      </c>
      <c r="L38" s="164">
        <f t="shared" si="22"/>
        <v>0.32880455225854299</v>
      </c>
      <c r="M38" s="164">
        <f t="shared" si="22"/>
        <v>-0.12053702254929091</v>
      </c>
      <c r="O38" s="576"/>
      <c r="P38" s="165" t="s">
        <v>360</v>
      </c>
      <c r="Q38" s="577"/>
    </row>
    <row r="39" spans="1:17" ht="14">
      <c r="A39" s="139" t="s">
        <v>69</v>
      </c>
      <c r="B39" s="139" t="s">
        <v>525</v>
      </c>
      <c r="D39" s="273" t="s">
        <v>984</v>
      </c>
      <c r="F39" s="73">
        <f>SUM(F33:F38)</f>
        <v>113.976</v>
      </c>
      <c r="G39" s="73">
        <f>SUM(G33:G38)</f>
        <v>131.93299999999999</v>
      </c>
      <c r="H39" s="73">
        <f>SUM(H33:H38)</f>
        <v>120.78354856661829</v>
      </c>
      <c r="I39" s="73">
        <f>SUM(I33:I38)</f>
        <v>128.393073660396</v>
      </c>
      <c r="J39" s="73">
        <f>SUM(J33:J38)</f>
        <v>129.00127524970637</v>
      </c>
      <c r="K39" s="73">
        <f t="shared" ref="K39:M39" si="23">SUM(K33:K38)</f>
        <v>146.75660977788814</v>
      </c>
      <c r="L39" s="73" t="e">
        <f t="shared" si="23"/>
        <v>#DIV/0!</v>
      </c>
      <c r="M39" s="73" t="e">
        <f t="shared" si="23"/>
        <v>#DIV/0!</v>
      </c>
      <c r="O39" s="576"/>
      <c r="P39" s="165" t="s">
        <v>303</v>
      </c>
      <c r="Q39" s="577"/>
    </row>
    <row r="40" spans="1:17" ht="14">
      <c r="C40" s="162"/>
      <c r="D40" s="281"/>
      <c r="F40" s="165"/>
      <c r="G40" s="165"/>
      <c r="H40" s="165"/>
      <c r="I40" s="165"/>
      <c r="J40" s="165"/>
      <c r="O40" s="576"/>
      <c r="P40" s="162"/>
      <c r="Q40" s="162"/>
    </row>
    <row r="41" spans="1:17" ht="14">
      <c r="C41" s="162"/>
      <c r="D41" s="281"/>
      <c r="F41" s="162"/>
      <c r="G41" s="162"/>
      <c r="H41" s="162"/>
      <c r="I41" s="162"/>
      <c r="J41" s="162"/>
      <c r="K41" s="162"/>
      <c r="L41" s="162"/>
      <c r="M41" s="162"/>
      <c r="O41" s="162"/>
      <c r="P41" s="162"/>
      <c r="Q41" s="162"/>
    </row>
    <row r="42" spans="1:17" ht="14">
      <c r="C42" s="162"/>
      <c r="D42" s="281"/>
      <c r="F42" s="162"/>
      <c r="G42" s="162"/>
      <c r="H42" s="162"/>
      <c r="I42" s="162"/>
      <c r="J42" s="162"/>
      <c r="K42" s="162"/>
      <c r="L42" s="162"/>
      <c r="M42" s="162"/>
      <c r="O42" s="162"/>
      <c r="P42" s="162"/>
      <c r="Q42" s="162"/>
    </row>
    <row r="43" spans="1:17" ht="14">
      <c r="C43" s="162"/>
      <c r="D43" s="281"/>
      <c r="F43" s="265" t="s">
        <v>363</v>
      </c>
      <c r="G43" s="162"/>
      <c r="H43" s="162"/>
      <c r="I43" s="162"/>
      <c r="J43" s="162"/>
      <c r="K43" s="162"/>
      <c r="L43" s="162"/>
      <c r="M43" s="162"/>
      <c r="O43" s="162"/>
      <c r="P43" s="162"/>
      <c r="Q43" s="162"/>
    </row>
    <row r="44" spans="1:17" ht="14">
      <c r="H44" s="162"/>
      <c r="I44" s="162"/>
      <c r="J44" s="162"/>
      <c r="K44" s="165"/>
      <c r="L44" s="162"/>
      <c r="M44" s="162"/>
      <c r="O44" s="162"/>
      <c r="P44" s="162"/>
      <c r="Q44" s="162"/>
    </row>
    <row r="45" spans="1:17" ht="14.5">
      <c r="C45" s="162"/>
      <c r="D45" s="281"/>
      <c r="E45" s="138">
        <v>2013</v>
      </c>
      <c r="H45" s="162"/>
      <c r="I45" s="162"/>
      <c r="J45" s="162"/>
      <c r="K45" s="162"/>
      <c r="L45" s="162"/>
      <c r="M45" s="162"/>
      <c r="O45" s="162"/>
      <c r="P45" s="162"/>
      <c r="Q45" s="162"/>
    </row>
    <row r="46" spans="1:17" ht="14">
      <c r="A46" s="137" t="s">
        <v>526</v>
      </c>
      <c r="B46" s="137" t="s">
        <v>364</v>
      </c>
      <c r="C46" s="162"/>
      <c r="D46" s="281" t="s">
        <v>1</v>
      </c>
      <c r="E46" s="164">
        <f>'R5 Input page'!E122</f>
        <v>0</v>
      </c>
      <c r="H46" s="162"/>
      <c r="I46" s="162"/>
      <c r="J46" s="162"/>
      <c r="K46" s="162"/>
      <c r="L46" s="162"/>
      <c r="M46" s="162"/>
      <c r="O46" s="162"/>
      <c r="P46" s="162"/>
      <c r="Q46" s="162"/>
    </row>
    <row r="47" spans="1:17" ht="14">
      <c r="A47" s="137" t="s">
        <v>527</v>
      </c>
      <c r="B47" s="137" t="s">
        <v>365</v>
      </c>
      <c r="C47" s="162"/>
      <c r="D47" s="281" t="s">
        <v>1</v>
      </c>
      <c r="E47" s="164">
        <f>'R5 Input page'!E123</f>
        <v>0</v>
      </c>
      <c r="H47" s="162"/>
      <c r="I47" s="162"/>
      <c r="J47" s="162"/>
      <c r="K47" s="162"/>
      <c r="L47" s="162"/>
      <c r="M47" s="162"/>
      <c r="O47" s="162"/>
      <c r="P47" s="162"/>
      <c r="Q47" s="162"/>
    </row>
    <row r="48" spans="1:17" ht="14">
      <c r="A48" s="139" t="s">
        <v>528</v>
      </c>
      <c r="B48" s="137" t="s">
        <v>132</v>
      </c>
      <c r="C48" s="162"/>
      <c r="D48" s="281" t="s">
        <v>1</v>
      </c>
      <c r="E48" s="164">
        <f>RPIF</f>
        <v>1.1344000000000001</v>
      </c>
      <c r="H48" s="162"/>
      <c r="I48" s="162"/>
      <c r="J48" s="162"/>
      <c r="K48" s="162"/>
      <c r="L48" s="162"/>
      <c r="M48" s="162"/>
      <c r="O48" s="162"/>
      <c r="P48" s="162"/>
      <c r="Q48" s="162"/>
    </row>
    <row r="49" spans="1:17" ht="14">
      <c r="A49" s="139" t="s">
        <v>529</v>
      </c>
      <c r="B49" s="139" t="s">
        <v>525</v>
      </c>
      <c r="C49" s="162"/>
      <c r="D49" s="281" t="s">
        <v>1</v>
      </c>
      <c r="E49" s="73">
        <f>(E46+E47)/E48</f>
        <v>0</v>
      </c>
      <c r="F49" s="162"/>
      <c r="H49" s="162"/>
      <c r="I49" s="162"/>
      <c r="J49" s="162"/>
      <c r="K49" s="162"/>
      <c r="L49" s="162"/>
      <c r="M49" s="162"/>
      <c r="O49" s="162"/>
      <c r="P49" s="162"/>
      <c r="Q49" s="162"/>
    </row>
    <row r="50" spans="1:17" ht="14">
      <c r="C50" s="162"/>
      <c r="D50" s="162"/>
      <c r="E50" s="165"/>
      <c r="F50" s="165"/>
      <c r="G50" s="165"/>
      <c r="H50" s="165"/>
      <c r="I50" s="162"/>
      <c r="J50" s="162"/>
      <c r="K50" s="162"/>
      <c r="L50" s="162"/>
      <c r="M50" s="162"/>
      <c r="O50" s="162"/>
      <c r="P50" s="162"/>
      <c r="Q50" s="162"/>
    </row>
    <row r="51" spans="1:17" ht="14">
      <c r="C51" s="162"/>
      <c r="D51" s="162"/>
      <c r="E51" s="162"/>
      <c r="F51" s="162"/>
      <c r="G51" s="162"/>
      <c r="H51" s="162"/>
      <c r="I51" s="162"/>
      <c r="J51" s="162"/>
      <c r="K51" s="162"/>
      <c r="L51" s="162"/>
      <c r="M51" s="162"/>
      <c r="O51" s="162"/>
      <c r="P51" s="162"/>
      <c r="Q51" s="162"/>
    </row>
    <row r="52" spans="1:17" ht="14">
      <c r="A52" s="604" t="s">
        <v>683</v>
      </c>
      <c r="C52" s="162"/>
      <c r="D52" s="162"/>
      <c r="E52" s="162"/>
      <c r="F52" s="162"/>
      <c r="G52" s="162"/>
      <c r="H52" s="162"/>
      <c r="I52" s="162"/>
      <c r="J52" s="162"/>
      <c r="K52" s="162"/>
      <c r="L52" s="162"/>
      <c r="M52" s="162"/>
      <c r="O52" s="162"/>
      <c r="P52" s="162"/>
      <c r="Q52" s="162"/>
    </row>
    <row r="53" spans="1:17" ht="17.5">
      <c r="A53" s="136" t="s">
        <v>673</v>
      </c>
      <c r="C53" s="162"/>
      <c r="D53" s="162"/>
      <c r="E53" s="162"/>
      <c r="F53" s="395" t="s">
        <v>674</v>
      </c>
      <c r="G53" s="162"/>
      <c r="H53" s="162"/>
      <c r="I53" s="162"/>
      <c r="J53" s="162"/>
      <c r="K53" s="162"/>
      <c r="L53" s="162"/>
      <c r="M53" s="162"/>
      <c r="O53" s="162"/>
      <c r="P53" s="162"/>
      <c r="Q53" s="162"/>
    </row>
    <row r="54" spans="1:17" ht="14">
      <c r="C54" s="162"/>
      <c r="D54" s="162"/>
      <c r="E54" s="162"/>
      <c r="F54" s="162"/>
      <c r="G54" s="162"/>
      <c r="H54" s="162"/>
      <c r="I54" s="162"/>
      <c r="J54" s="162"/>
      <c r="K54" s="162"/>
      <c r="L54" s="162"/>
      <c r="M54" s="162"/>
      <c r="O54" s="162"/>
      <c r="P54" s="162"/>
      <c r="Q54" s="162"/>
    </row>
    <row r="55" spans="1:17" ht="14.5">
      <c r="C55" s="162"/>
      <c r="D55" s="162"/>
      <c r="E55" s="162"/>
      <c r="F55" s="138">
        <v>2014</v>
      </c>
      <c r="G55" s="138">
        <v>2015</v>
      </c>
      <c r="H55" s="138">
        <v>2016</v>
      </c>
      <c r="I55" s="138">
        <v>2017</v>
      </c>
      <c r="J55" s="138">
        <v>2018</v>
      </c>
      <c r="K55" s="138">
        <v>2019</v>
      </c>
      <c r="L55" s="138">
        <v>2020</v>
      </c>
      <c r="M55" s="138">
        <v>2021</v>
      </c>
      <c r="N55" s="593">
        <v>2022</v>
      </c>
      <c r="O55" s="593">
        <v>2023</v>
      </c>
      <c r="P55" s="162"/>
      <c r="Q55" s="162"/>
    </row>
    <row r="56" spans="1:17" ht="14">
      <c r="A56" s="137" t="s">
        <v>679</v>
      </c>
      <c r="B56" s="137" t="s">
        <v>675</v>
      </c>
      <c r="C56" s="162"/>
      <c r="D56" s="273" t="s">
        <v>984</v>
      </c>
      <c r="E56" s="162"/>
      <c r="F56" s="164">
        <f t="shared" ref="F56:O56" si="24">DRI</f>
        <v>0</v>
      </c>
      <c r="G56" s="164">
        <f t="shared" si="24"/>
        <v>0</v>
      </c>
      <c r="H56" s="164">
        <f t="shared" si="24"/>
        <v>0</v>
      </c>
      <c r="I56" s="164">
        <f t="shared" si="24"/>
        <v>0</v>
      </c>
      <c r="J56" s="164">
        <f t="shared" si="24"/>
        <v>0</v>
      </c>
      <c r="K56" s="164">
        <f>DRI</f>
        <v>0</v>
      </c>
      <c r="L56" s="164">
        <f t="shared" si="24"/>
        <v>0</v>
      </c>
      <c r="M56" s="164">
        <f t="shared" si="24"/>
        <v>0</v>
      </c>
      <c r="N56" s="405">
        <f t="shared" si="24"/>
        <v>0</v>
      </c>
      <c r="O56" s="405">
        <f t="shared" si="24"/>
        <v>0</v>
      </c>
      <c r="P56" s="408" t="s">
        <v>675</v>
      </c>
      <c r="Q56" s="162"/>
    </row>
    <row r="57" spans="1:17" ht="27">
      <c r="A57" s="272" t="s">
        <v>680</v>
      </c>
      <c r="B57" s="137" t="s">
        <v>676</v>
      </c>
      <c r="C57" s="162"/>
      <c r="D57" s="273" t="s">
        <v>984</v>
      </c>
      <c r="E57" s="162"/>
      <c r="F57" s="164">
        <f t="shared" ref="F57:L57" si="25">DFA</f>
        <v>0</v>
      </c>
      <c r="G57" s="164">
        <f t="shared" si="25"/>
        <v>0</v>
      </c>
      <c r="H57" s="164">
        <f t="shared" si="25"/>
        <v>0</v>
      </c>
      <c r="I57" s="164">
        <f t="shared" si="25"/>
        <v>0</v>
      </c>
      <c r="J57" s="164">
        <f t="shared" si="25"/>
        <v>0</v>
      </c>
      <c r="K57" s="164">
        <f t="shared" si="25"/>
        <v>0</v>
      </c>
      <c r="L57" s="164" t="e">
        <f t="shared" si="25"/>
        <v>#DIV/0!</v>
      </c>
      <c r="M57" s="164" t="e">
        <f>DFA</f>
        <v>#DIV/0!</v>
      </c>
      <c r="N57" s="405" t="e">
        <f>DFA</f>
        <v>#DIV/0!</v>
      </c>
      <c r="O57" s="405" t="e">
        <f>DFA</f>
        <v>#DIV/0!</v>
      </c>
      <c r="P57" s="408" t="s">
        <v>676</v>
      </c>
      <c r="Q57" s="162"/>
    </row>
    <row r="58" spans="1:17" ht="14">
      <c r="A58" s="137" t="s">
        <v>681</v>
      </c>
      <c r="B58" s="137" t="s">
        <v>677</v>
      </c>
      <c r="C58" s="162"/>
      <c r="D58" s="273" t="s">
        <v>984</v>
      </c>
      <c r="E58" s="162"/>
      <c r="F58" s="164">
        <f t="shared" ref="F58:O58" si="26">DSR</f>
        <v>0</v>
      </c>
      <c r="G58" s="164">
        <f t="shared" si="26"/>
        <v>0</v>
      </c>
      <c r="H58" s="164">
        <f t="shared" si="26"/>
        <v>0</v>
      </c>
      <c r="I58" s="164">
        <f t="shared" si="26"/>
        <v>0</v>
      </c>
      <c r="J58" s="164">
        <f t="shared" si="26"/>
        <v>0</v>
      </c>
      <c r="K58" s="164">
        <f t="shared" si="26"/>
        <v>0</v>
      </c>
      <c r="L58" s="164">
        <f t="shared" si="26"/>
        <v>0</v>
      </c>
      <c r="M58" s="164">
        <f t="shared" si="26"/>
        <v>0</v>
      </c>
      <c r="N58" s="405">
        <f t="shared" si="26"/>
        <v>0</v>
      </c>
      <c r="O58" s="405">
        <f t="shared" si="26"/>
        <v>0</v>
      </c>
      <c r="P58" s="408" t="s">
        <v>677</v>
      </c>
      <c r="Q58" s="162"/>
    </row>
    <row r="59" spans="1:17" ht="14">
      <c r="A59" s="137" t="s">
        <v>682</v>
      </c>
      <c r="B59" s="137" t="s">
        <v>678</v>
      </c>
      <c r="C59" s="162"/>
      <c r="D59" s="273" t="s">
        <v>984</v>
      </c>
      <c r="E59" s="162"/>
      <c r="F59" s="164">
        <f t="shared" ref="F59:O59" si="27">CSSS</f>
        <v>0</v>
      </c>
      <c r="G59" s="164">
        <f t="shared" si="27"/>
        <v>0</v>
      </c>
      <c r="H59" s="164">
        <f t="shared" si="27"/>
        <v>0</v>
      </c>
      <c r="I59" s="164">
        <f t="shared" si="27"/>
        <v>0</v>
      </c>
      <c r="J59" s="164">
        <f t="shared" si="27"/>
        <v>-0.3</v>
      </c>
      <c r="K59" s="164">
        <f t="shared" si="27"/>
        <v>-0.3</v>
      </c>
      <c r="L59" s="164">
        <f t="shared" si="27"/>
        <v>-0.6</v>
      </c>
      <c r="M59" s="164">
        <f t="shared" si="27"/>
        <v>0</v>
      </c>
      <c r="N59" s="405">
        <f t="shared" si="27"/>
        <v>-0.6</v>
      </c>
      <c r="O59" s="405">
        <f t="shared" si="27"/>
        <v>-0.6</v>
      </c>
      <c r="P59" s="408" t="s">
        <v>678</v>
      </c>
      <c r="Q59" s="162"/>
    </row>
    <row r="60" spans="1:17" ht="14">
      <c r="A60" s="403" t="s">
        <v>546</v>
      </c>
      <c r="B60" s="137" t="s">
        <v>672</v>
      </c>
      <c r="C60" s="162"/>
      <c r="D60" s="273" t="s">
        <v>984</v>
      </c>
      <c r="E60" s="162"/>
      <c r="F60" s="73">
        <f>SUM(F56:F59)</f>
        <v>0</v>
      </c>
      <c r="G60" s="73">
        <f t="shared" ref="G60:L60" si="28">SUM(G56:G59)</f>
        <v>0</v>
      </c>
      <c r="H60" s="73">
        <f t="shared" si="28"/>
        <v>0</v>
      </c>
      <c r="I60" s="73">
        <f t="shared" si="28"/>
        <v>0</v>
      </c>
      <c r="J60" s="73">
        <f t="shared" si="28"/>
        <v>-0.3</v>
      </c>
      <c r="K60" s="73">
        <f t="shared" si="28"/>
        <v>-0.3</v>
      </c>
      <c r="L60" s="73" t="e">
        <f t="shared" si="28"/>
        <v>#DIV/0!</v>
      </c>
      <c r="M60" s="73" t="e">
        <f>SUM(M56:M59)</f>
        <v>#DIV/0!</v>
      </c>
      <c r="N60" s="401" t="e">
        <f t="shared" ref="N60:O60" si="29">SUM(N56:N59)</f>
        <v>#DIV/0!</v>
      </c>
      <c r="O60" s="401" t="e">
        <f t="shared" si="29"/>
        <v>#DIV/0!</v>
      </c>
      <c r="P60" s="264" t="s">
        <v>672</v>
      </c>
      <c r="Q60" s="162"/>
    </row>
    <row r="61" spans="1:17" ht="14">
      <c r="C61" s="162"/>
      <c r="D61" s="162"/>
      <c r="E61" s="162"/>
      <c r="F61" s="162"/>
      <c r="G61" s="162"/>
      <c r="H61" s="162"/>
      <c r="I61" s="162"/>
      <c r="J61" s="162"/>
      <c r="K61" s="162"/>
      <c r="L61" s="162"/>
      <c r="M61" s="162"/>
      <c r="O61" s="162"/>
      <c r="P61" s="162"/>
      <c r="Q61" s="162"/>
    </row>
    <row r="62" spans="1:17" ht="14">
      <c r="A62" s="272"/>
      <c r="C62" s="162"/>
      <c r="D62" s="162"/>
      <c r="E62" s="162"/>
      <c r="F62" s="162"/>
      <c r="G62" s="162"/>
      <c r="H62" s="162"/>
      <c r="I62" s="162"/>
      <c r="J62" s="162"/>
      <c r="K62" s="162"/>
      <c r="L62" s="162"/>
      <c r="M62" s="162"/>
      <c r="O62" s="162"/>
      <c r="P62" s="162"/>
      <c r="Q62" s="162"/>
    </row>
    <row r="63" spans="1:17" ht="17.5">
      <c r="A63" s="604" t="s">
        <v>680</v>
      </c>
      <c r="C63" s="162"/>
      <c r="D63" s="162"/>
      <c r="E63" s="162"/>
      <c r="F63" s="396" t="s">
        <v>685</v>
      </c>
      <c r="G63" s="162"/>
      <c r="H63" s="162"/>
      <c r="I63" s="162"/>
      <c r="J63" s="162"/>
      <c r="K63" s="162"/>
      <c r="L63" s="162"/>
      <c r="M63" s="162"/>
      <c r="O63" s="162"/>
      <c r="P63" s="162"/>
      <c r="Q63" s="162"/>
    </row>
    <row r="64" spans="1:17" ht="14.5">
      <c r="A64" s="272"/>
      <c r="C64" s="162"/>
      <c r="D64" s="162"/>
      <c r="E64" s="162"/>
      <c r="F64" s="138">
        <v>2014</v>
      </c>
      <c r="G64" s="138">
        <v>2015</v>
      </c>
      <c r="H64" s="138">
        <v>2016</v>
      </c>
      <c r="I64" s="138">
        <v>2017</v>
      </c>
      <c r="J64" s="138">
        <v>2018</v>
      </c>
      <c r="K64" s="138">
        <v>2019</v>
      </c>
      <c r="L64" s="138">
        <v>2020</v>
      </c>
      <c r="M64" s="138">
        <v>2021</v>
      </c>
      <c r="N64" s="593">
        <v>2022</v>
      </c>
      <c r="O64" s="593">
        <v>2023</v>
      </c>
      <c r="P64" s="162"/>
      <c r="Q64" s="162"/>
    </row>
    <row r="65" spans="1:17" ht="40.5">
      <c r="A65" s="272" t="s">
        <v>689</v>
      </c>
      <c r="B65" s="353" t="s">
        <v>686</v>
      </c>
      <c r="C65" s="162"/>
      <c r="D65" s="273" t="s">
        <v>984</v>
      </c>
      <c r="E65" s="162"/>
      <c r="F65" s="427"/>
      <c r="G65" s="427"/>
      <c r="H65" s="427"/>
      <c r="I65" s="427"/>
      <c r="J65" s="427"/>
      <c r="K65" s="427"/>
      <c r="L65" s="427"/>
      <c r="M65" s="427"/>
      <c r="O65" s="162"/>
      <c r="P65" s="162"/>
      <c r="Q65" s="162"/>
    </row>
    <row r="66" spans="1:17" ht="40.5">
      <c r="A66" s="272" t="s">
        <v>690</v>
      </c>
      <c r="B66" s="353" t="s">
        <v>687</v>
      </c>
      <c r="C66" s="162"/>
      <c r="D66" s="273" t="s">
        <v>984</v>
      </c>
      <c r="E66" s="162"/>
      <c r="F66" s="427"/>
      <c r="G66" s="427"/>
      <c r="H66" s="427"/>
      <c r="I66" s="427"/>
      <c r="J66" s="427"/>
      <c r="K66" s="597" t="e">
        <f>2*((2%-MIN(K71,4%))/2%)</f>
        <v>#DIV/0!</v>
      </c>
      <c r="L66" s="597" t="e">
        <f t="shared" ref="L66:M66" si="30">2*((2%-MIN(L71,4%))/2%)</f>
        <v>#DIV/0!</v>
      </c>
      <c r="M66" s="597" t="e">
        <f t="shared" si="30"/>
        <v>#DIV/0!</v>
      </c>
      <c r="O66" s="162"/>
      <c r="P66" s="162"/>
      <c r="Q66" s="162"/>
    </row>
    <row r="67" spans="1:17" ht="40.5">
      <c r="A67" s="272" t="s">
        <v>691</v>
      </c>
      <c r="B67" s="353" t="s">
        <v>688</v>
      </c>
      <c r="C67" s="162"/>
      <c r="D67" s="273" t="s">
        <v>984</v>
      </c>
      <c r="E67" s="162"/>
      <c r="F67" s="427"/>
      <c r="G67" s="427"/>
      <c r="H67" s="427"/>
      <c r="I67" s="427"/>
      <c r="J67" s="597" t="e">
        <f>2*((2%-MIN(J72,4%))/2%)</f>
        <v>#DIV/0!</v>
      </c>
      <c r="K67" s="427"/>
      <c r="L67" s="427"/>
      <c r="M67" s="427"/>
      <c r="O67" s="162"/>
      <c r="P67" s="162"/>
      <c r="Q67" s="162"/>
    </row>
    <row r="68" spans="1:17" ht="14">
      <c r="A68" s="402" t="s">
        <v>680</v>
      </c>
      <c r="B68" s="402" t="s">
        <v>676</v>
      </c>
      <c r="C68" s="404"/>
      <c r="D68" s="273" t="s">
        <v>984</v>
      </c>
      <c r="E68" s="162"/>
      <c r="F68" s="162"/>
      <c r="G68" s="162"/>
      <c r="H68" s="73">
        <f>F65+F66+F67</f>
        <v>0</v>
      </c>
      <c r="I68" s="73">
        <f t="shared" ref="I68" si="31">G65+G66+G67</f>
        <v>0</v>
      </c>
      <c r="J68" s="73">
        <f>H65+H66+H67</f>
        <v>0</v>
      </c>
      <c r="K68" s="73">
        <f>I65+I66+I67</f>
        <v>0</v>
      </c>
      <c r="L68" s="73" t="e">
        <f>J65+J66+J67</f>
        <v>#DIV/0!</v>
      </c>
      <c r="M68" s="73" t="e">
        <f>K65+K66+K67</f>
        <v>#DIV/0!</v>
      </c>
      <c r="N68" s="401" t="e">
        <f t="shared" ref="N68:O68" si="32">L65+L66+L67</f>
        <v>#DIV/0!</v>
      </c>
      <c r="O68" s="401" t="e">
        <f t="shared" si="32"/>
        <v>#DIV/0!</v>
      </c>
      <c r="P68" s="404"/>
      <c r="Q68" s="162"/>
    </row>
    <row r="69" spans="1:17" ht="14">
      <c r="C69" s="162"/>
      <c r="D69" s="162"/>
      <c r="E69" s="162"/>
      <c r="F69" s="162"/>
      <c r="G69" s="162"/>
      <c r="H69" s="162"/>
      <c r="I69" s="162"/>
      <c r="J69" s="162"/>
      <c r="K69" s="162"/>
      <c r="L69" s="162"/>
      <c r="M69" s="162"/>
      <c r="O69" s="162"/>
      <c r="P69" s="162"/>
      <c r="Q69" s="162"/>
    </row>
    <row r="70" spans="1:17" s="402" customFormat="1" ht="67.5">
      <c r="A70" s="409" t="s">
        <v>710</v>
      </c>
      <c r="B70" s="412" t="s">
        <v>711</v>
      </c>
      <c r="C70" s="404"/>
      <c r="D70" s="414" t="s">
        <v>122</v>
      </c>
      <c r="E70" s="404"/>
      <c r="F70" s="424"/>
      <c r="G70" s="424"/>
      <c r="H70" s="424"/>
      <c r="I70" s="424"/>
      <c r="J70" s="424"/>
      <c r="K70" s="424"/>
      <c r="L70" s="424"/>
      <c r="M70" s="424"/>
      <c r="O70" s="404"/>
      <c r="P70" s="404"/>
      <c r="Q70" s="404"/>
    </row>
    <row r="71" spans="1:17" s="402" customFormat="1" ht="67.5">
      <c r="A71" s="409" t="s">
        <v>712</v>
      </c>
      <c r="B71" s="412" t="s">
        <v>713</v>
      </c>
      <c r="C71" s="404"/>
      <c r="D71" s="414" t="s">
        <v>122</v>
      </c>
      <c r="E71" s="404"/>
      <c r="F71" s="424"/>
      <c r="G71" s="424"/>
      <c r="H71" s="424"/>
      <c r="I71" s="424"/>
      <c r="J71" s="424"/>
      <c r="K71" s="405" t="e">
        <f>ABS((K$74-K76)/K76)</f>
        <v>#DIV/0!</v>
      </c>
      <c r="L71" s="405" t="e">
        <f>ABS((L$74-L76)/L76)</f>
        <v>#DIV/0!</v>
      </c>
      <c r="M71" s="405" t="e">
        <f>ABS((M$74-M76)/M76)</f>
        <v>#DIV/0!</v>
      </c>
      <c r="O71" s="404"/>
      <c r="P71" s="404"/>
      <c r="Q71" s="404"/>
    </row>
    <row r="72" spans="1:17" s="402" customFormat="1" ht="81">
      <c r="A72" s="409" t="s">
        <v>714</v>
      </c>
      <c r="B72" s="412" t="s">
        <v>715</v>
      </c>
      <c r="C72" s="404"/>
      <c r="D72" s="414" t="s">
        <v>122</v>
      </c>
      <c r="E72" s="404"/>
      <c r="F72" s="424"/>
      <c r="G72" s="424"/>
      <c r="H72" s="424"/>
      <c r="I72" s="424"/>
      <c r="J72" s="405" t="e">
        <f>ABS((J$74-J76)/J76)</f>
        <v>#DIV/0!</v>
      </c>
      <c r="K72" s="424"/>
      <c r="L72" s="424"/>
      <c r="M72" s="424"/>
      <c r="O72" s="404"/>
      <c r="P72" s="404"/>
      <c r="Q72" s="404"/>
    </row>
    <row r="73" spans="1:17" s="402" customFormat="1" ht="14">
      <c r="C73" s="404"/>
      <c r="D73" s="404"/>
      <c r="E73" s="404"/>
      <c r="F73" s="404"/>
      <c r="G73" s="404"/>
      <c r="H73" s="404"/>
      <c r="I73" s="404"/>
      <c r="J73" s="404"/>
      <c r="K73" s="404"/>
      <c r="L73" s="404"/>
      <c r="M73" s="404"/>
      <c r="O73" s="404"/>
      <c r="P73" s="404"/>
      <c r="Q73" s="404"/>
    </row>
    <row r="74" spans="1:17" s="402" customFormat="1" ht="14">
      <c r="A74" s="415" t="s">
        <v>702</v>
      </c>
      <c r="C74" s="404"/>
      <c r="D74" s="404"/>
      <c r="E74" s="404"/>
      <c r="F74" s="427"/>
      <c r="G74" s="427"/>
      <c r="H74" s="427"/>
      <c r="I74" s="427"/>
      <c r="J74" s="417">
        <f>PEAKA</f>
        <v>0</v>
      </c>
      <c r="K74" s="417">
        <f>PEAKA</f>
        <v>0</v>
      </c>
      <c r="L74" s="417">
        <f>PEAKA</f>
        <v>0</v>
      </c>
      <c r="M74" s="417">
        <f>PEAKA</f>
        <v>0</v>
      </c>
      <c r="O74" s="404"/>
      <c r="P74" s="406" t="s">
        <v>703</v>
      </c>
      <c r="Q74" s="404"/>
    </row>
    <row r="75" spans="1:17" s="402" customFormat="1" ht="14">
      <c r="A75" s="415" t="s">
        <v>704</v>
      </c>
      <c r="C75" s="404"/>
      <c r="D75" s="404"/>
      <c r="E75" s="404"/>
      <c r="F75" s="427"/>
      <c r="G75" s="427"/>
      <c r="H75" s="427"/>
      <c r="I75" s="427"/>
      <c r="J75" s="428"/>
      <c r="K75" s="428"/>
      <c r="L75" s="428"/>
      <c r="M75" s="428"/>
      <c r="O75" s="404"/>
      <c r="P75" s="406" t="s">
        <v>705</v>
      </c>
      <c r="Q75" s="404"/>
    </row>
    <row r="76" spans="1:17" s="402" customFormat="1" ht="14">
      <c r="A76" s="415" t="s">
        <v>706</v>
      </c>
      <c r="C76" s="404"/>
      <c r="D76" s="404"/>
      <c r="E76" s="404"/>
      <c r="F76" s="427"/>
      <c r="G76" s="427"/>
      <c r="H76" s="427"/>
      <c r="I76" s="427"/>
      <c r="J76" s="417">
        <f>PEAK3</f>
        <v>0</v>
      </c>
      <c r="K76" s="417">
        <f>PEAK3</f>
        <v>0</v>
      </c>
      <c r="L76" s="417">
        <f>PEAK3</f>
        <v>0</v>
      </c>
      <c r="M76" s="417">
        <f>PEAK3</f>
        <v>0</v>
      </c>
      <c r="O76" s="404"/>
      <c r="P76" s="406" t="s">
        <v>707</v>
      </c>
      <c r="Q76" s="404"/>
    </row>
    <row r="77" spans="1:17" s="402" customFormat="1" ht="14">
      <c r="C77" s="404"/>
      <c r="D77" s="404"/>
      <c r="E77" s="404"/>
      <c r="F77" s="404"/>
      <c r="G77" s="404"/>
      <c r="H77" s="404"/>
      <c r="I77" s="404"/>
      <c r="J77" s="404"/>
      <c r="K77" s="404"/>
      <c r="L77" s="404"/>
      <c r="M77" s="404"/>
      <c r="O77" s="404"/>
      <c r="P77" s="404"/>
      <c r="Q77" s="404"/>
    </row>
    <row r="78" spans="1:17" s="402" customFormat="1" ht="14">
      <c r="C78" s="404"/>
      <c r="D78" s="404"/>
      <c r="E78" s="404"/>
      <c r="F78" s="404"/>
      <c r="G78" s="404"/>
      <c r="H78" s="404"/>
      <c r="I78" s="404"/>
      <c r="J78" s="404"/>
      <c r="K78" s="404"/>
      <c r="L78" s="404"/>
      <c r="M78" s="404"/>
      <c r="O78" s="404"/>
      <c r="P78" s="404"/>
      <c r="Q78" s="404"/>
    </row>
    <row r="79" spans="1:17" s="402" customFormat="1" ht="14">
      <c r="A79" s="605" t="s">
        <v>719</v>
      </c>
      <c r="C79" s="404"/>
      <c r="D79" s="404"/>
      <c r="E79" s="404"/>
      <c r="F79" s="404"/>
      <c r="G79" s="404"/>
      <c r="H79" s="404"/>
      <c r="I79" s="404"/>
      <c r="J79" s="404"/>
      <c r="K79" s="404"/>
      <c r="L79" s="404"/>
      <c r="M79" s="404"/>
      <c r="O79" s="404"/>
      <c r="P79" s="404"/>
      <c r="Q79" s="404"/>
    </row>
    <row r="80" spans="1:17" s="402" customFormat="1" ht="27">
      <c r="A80" s="415" t="s">
        <v>716</v>
      </c>
      <c r="B80" s="400" t="s">
        <v>720</v>
      </c>
      <c r="C80" s="404"/>
      <c r="D80" s="422" t="s">
        <v>717</v>
      </c>
      <c r="E80" s="404"/>
      <c r="F80" s="424"/>
      <c r="G80" s="424"/>
      <c r="H80" s="424"/>
      <c r="I80" s="424"/>
      <c r="J80" s="424"/>
      <c r="K80" s="424"/>
      <c r="L80" s="424"/>
      <c r="M80" s="426">
        <f>+K85</f>
        <v>0</v>
      </c>
      <c r="N80" s="426">
        <f t="shared" ref="N80:O80" si="33">+L85</f>
        <v>0</v>
      </c>
      <c r="O80" s="426">
        <f t="shared" si="33"/>
        <v>0</v>
      </c>
      <c r="P80" s="404"/>
      <c r="Q80" s="404"/>
    </row>
    <row r="81" spans="1:17" s="402" customFormat="1" ht="27">
      <c r="A81" s="415" t="s">
        <v>721</v>
      </c>
      <c r="B81" s="400" t="s">
        <v>722</v>
      </c>
      <c r="C81" s="404"/>
      <c r="D81" s="422" t="s">
        <v>717</v>
      </c>
      <c r="E81" s="404"/>
      <c r="F81" s="424"/>
      <c r="G81" s="424"/>
      <c r="H81" s="424"/>
      <c r="I81" s="424"/>
      <c r="J81" s="424"/>
      <c r="K81" s="424"/>
      <c r="L81" s="424"/>
      <c r="M81" s="426">
        <f>+K84</f>
        <v>0</v>
      </c>
      <c r="N81" s="426">
        <f t="shared" ref="N81:O81" si="34">+L84</f>
        <v>0</v>
      </c>
      <c r="O81" s="426">
        <f t="shared" si="34"/>
        <v>0</v>
      </c>
      <c r="P81" s="404"/>
      <c r="Q81" s="404"/>
    </row>
    <row r="82" spans="1:17" s="402" customFormat="1" ht="14.5">
      <c r="B82" s="402" t="s">
        <v>677</v>
      </c>
      <c r="C82" s="404"/>
      <c r="D82" s="273" t="s">
        <v>984</v>
      </c>
      <c r="E82" s="404"/>
      <c r="F82" s="425"/>
      <c r="G82" s="425"/>
      <c r="H82" s="425"/>
      <c r="I82" s="425"/>
      <c r="J82" s="425"/>
      <c r="K82" s="425"/>
      <c r="L82" s="425"/>
      <c r="M82" s="598">
        <f>IF(M80&gt;=M81+0.2,1*((MIN(M80,M81+2)-M81-0.2)/1.8),(IF(M80&lt;M81-0.2,1*(MAX(M80,M81-2)-M81+0.2)/1.8,0)))</f>
        <v>0</v>
      </c>
      <c r="N82" s="531">
        <f t="shared" ref="N82:O82" si="35">IF(N80&gt;=N81+0.2,1*((MIN(N80,N81+2)-N81-0.2)/1.8),(IF(N80&lt;N81-0.2,1*(MAX(N80,N81-2)-N81+0.2)/1.8,0)))</f>
        <v>0</v>
      </c>
      <c r="O82" s="531">
        <f t="shared" si="35"/>
        <v>0</v>
      </c>
      <c r="P82" s="406" t="s">
        <v>677</v>
      </c>
      <c r="Q82" s="404"/>
    </row>
    <row r="83" spans="1:17" s="402" customFormat="1" ht="14.5">
      <c r="A83" s="421"/>
      <c r="B83" s="400"/>
      <c r="C83" s="422"/>
      <c r="D83" s="414"/>
      <c r="E83" s="400"/>
      <c r="F83" s="416"/>
      <c r="G83" s="416"/>
      <c r="H83" s="416"/>
      <c r="I83" s="416"/>
      <c r="J83" s="416"/>
      <c r="K83" s="416"/>
      <c r="L83" s="416"/>
      <c r="M83" s="416"/>
      <c r="O83" s="404"/>
      <c r="P83" s="404"/>
      <c r="Q83" s="404"/>
    </row>
    <row r="84" spans="1:17" s="402" customFormat="1" ht="27">
      <c r="A84" s="415" t="s">
        <v>721</v>
      </c>
      <c r="B84" s="400"/>
      <c r="C84" s="422"/>
      <c r="D84" s="400"/>
      <c r="E84" s="400"/>
      <c r="F84" s="424"/>
      <c r="G84" s="424"/>
      <c r="H84" s="424"/>
      <c r="I84" s="424"/>
      <c r="J84" s="424"/>
      <c r="K84" s="405">
        <f>+J85</f>
        <v>0</v>
      </c>
      <c r="L84" s="405">
        <f>ROUND((J85+K85)/2,3)</f>
        <v>0</v>
      </c>
      <c r="M84" s="405">
        <f>ROUND((K85+L85)/2,3)</f>
        <v>0</v>
      </c>
      <c r="O84" s="404"/>
      <c r="P84" s="404"/>
      <c r="Q84" s="404"/>
    </row>
    <row r="85" spans="1:17" s="402" customFormat="1" ht="27">
      <c r="A85" s="415" t="s">
        <v>716</v>
      </c>
      <c r="B85" s="400"/>
      <c r="C85" s="422"/>
      <c r="D85" s="422" t="s">
        <v>717</v>
      </c>
      <c r="E85" s="400"/>
      <c r="F85" s="424"/>
      <c r="G85" s="424"/>
      <c r="H85" s="424"/>
      <c r="I85" s="424"/>
      <c r="J85" s="405">
        <f>DSRpq</f>
        <v>0</v>
      </c>
      <c r="K85" s="405">
        <f>DSRpq</f>
        <v>0</v>
      </c>
      <c r="L85" s="405">
        <f>DSRpq</f>
        <v>0</v>
      </c>
      <c r="M85" s="405">
        <f>DSRpq</f>
        <v>0</v>
      </c>
      <c r="O85" s="404"/>
      <c r="P85" s="406" t="s">
        <v>718</v>
      </c>
      <c r="Q85" s="404"/>
    </row>
    <row r="86" spans="1:17" s="402" customFormat="1" ht="14">
      <c r="C86" s="404"/>
      <c r="D86" s="404"/>
      <c r="E86" s="404"/>
      <c r="F86" s="404"/>
      <c r="G86" s="404"/>
      <c r="H86" s="404"/>
      <c r="I86" s="404"/>
      <c r="J86" s="404"/>
      <c r="K86" s="404"/>
      <c r="L86" s="404"/>
      <c r="M86" s="404"/>
      <c r="O86" s="404"/>
      <c r="P86" s="404"/>
      <c r="Q86" s="404"/>
    </row>
    <row r="87" spans="1:17" ht="17.5">
      <c r="A87" s="605" t="s">
        <v>697</v>
      </c>
      <c r="C87" s="162"/>
      <c r="D87" s="162"/>
      <c r="E87" s="162"/>
      <c r="F87" s="397" t="s">
        <v>692</v>
      </c>
      <c r="G87" s="162"/>
      <c r="H87" s="162"/>
      <c r="I87" s="162"/>
      <c r="J87" s="162"/>
      <c r="K87" s="162"/>
      <c r="L87" s="162"/>
      <c r="M87" s="162"/>
      <c r="O87" s="162"/>
      <c r="P87" s="162"/>
      <c r="Q87" s="162"/>
    </row>
    <row r="88" spans="1:17" ht="14.5">
      <c r="C88" s="162"/>
      <c r="D88" s="162"/>
      <c r="E88" s="162"/>
      <c r="F88" s="138">
        <v>2014</v>
      </c>
      <c r="G88" s="138">
        <v>2015</v>
      </c>
      <c r="H88" s="138">
        <v>2016</v>
      </c>
      <c r="I88" s="138">
        <v>2017</v>
      </c>
      <c r="J88" s="138">
        <v>2018</v>
      </c>
      <c r="K88" s="138">
        <v>2019</v>
      </c>
      <c r="L88" s="138">
        <v>2020</v>
      </c>
      <c r="M88" s="138">
        <v>2021</v>
      </c>
      <c r="N88" s="593">
        <v>2022</v>
      </c>
      <c r="O88" s="593">
        <v>2023</v>
      </c>
      <c r="P88" s="162"/>
      <c r="Q88" s="162"/>
    </row>
    <row r="89" spans="1:17" ht="40.5">
      <c r="A89" s="398" t="s">
        <v>695</v>
      </c>
      <c r="B89" s="353" t="s">
        <v>694</v>
      </c>
      <c r="C89" s="162"/>
      <c r="D89" s="273" t="s">
        <v>984</v>
      </c>
      <c r="E89" s="162"/>
      <c r="F89" s="424"/>
      <c r="G89" s="424"/>
      <c r="H89" s="424"/>
      <c r="I89" s="424"/>
      <c r="J89" s="424"/>
      <c r="K89" s="424"/>
      <c r="L89" s="405">
        <f t="shared" ref="L89" si="36">+L98</f>
        <v>-0.3</v>
      </c>
      <c r="M89" s="405">
        <f>+M98</f>
        <v>0</v>
      </c>
      <c r="N89" s="405">
        <f t="shared" ref="N89:O89" si="37">+N98</f>
        <v>-0.3</v>
      </c>
      <c r="O89" s="405">
        <f t="shared" si="37"/>
        <v>-0.3</v>
      </c>
      <c r="P89" s="162"/>
      <c r="Q89" s="162"/>
    </row>
    <row r="90" spans="1:17" ht="40.5">
      <c r="A90" s="398" t="s">
        <v>696</v>
      </c>
      <c r="B90" s="353" t="s">
        <v>693</v>
      </c>
      <c r="C90" s="162"/>
      <c r="D90" s="273" t="s">
        <v>984</v>
      </c>
      <c r="E90" s="162"/>
      <c r="F90" s="424"/>
      <c r="G90" s="424"/>
      <c r="H90" s="424"/>
      <c r="I90" s="424"/>
      <c r="J90" s="405">
        <f>+J105</f>
        <v>-0.3</v>
      </c>
      <c r="K90" s="405">
        <f t="shared" ref="K90:M90" si="38">+K105</f>
        <v>-0.3</v>
      </c>
      <c r="L90" s="405">
        <f t="shared" si="38"/>
        <v>-0.3</v>
      </c>
      <c r="M90" s="405">
        <f t="shared" si="38"/>
        <v>0</v>
      </c>
      <c r="N90" s="405">
        <f t="shared" ref="N90:O90" si="39">+N105</f>
        <v>-0.3</v>
      </c>
      <c r="O90" s="405">
        <f t="shared" si="39"/>
        <v>-0.3</v>
      </c>
      <c r="P90" s="162"/>
      <c r="Q90" s="162"/>
    </row>
    <row r="91" spans="1:17" ht="14">
      <c r="B91" s="137" t="s">
        <v>678</v>
      </c>
      <c r="C91" s="162"/>
      <c r="D91" s="273" t="s">
        <v>984</v>
      </c>
      <c r="E91" s="162"/>
      <c r="F91" s="404"/>
      <c r="G91" s="404"/>
      <c r="H91" s="404"/>
      <c r="I91" s="404"/>
      <c r="J91" s="73">
        <f>SUM(J89:J90)</f>
        <v>-0.3</v>
      </c>
      <c r="K91" s="73">
        <f t="shared" ref="K91:O91" si="40">SUM(K89:K90)</f>
        <v>-0.3</v>
      </c>
      <c r="L91" s="73">
        <f t="shared" si="40"/>
        <v>-0.6</v>
      </c>
      <c r="M91" s="73">
        <f t="shared" si="40"/>
        <v>0</v>
      </c>
      <c r="N91" s="401">
        <f t="shared" si="40"/>
        <v>-0.6</v>
      </c>
      <c r="O91" s="401">
        <f t="shared" si="40"/>
        <v>-0.6</v>
      </c>
      <c r="P91" s="264" t="s">
        <v>678</v>
      </c>
      <c r="Q91" s="162"/>
    </row>
    <row r="92" spans="1:17" ht="14.5">
      <c r="C92" s="162"/>
      <c r="D92" s="162"/>
      <c r="E92" s="162"/>
      <c r="F92" s="162"/>
      <c r="G92" s="162"/>
      <c r="H92" s="162"/>
      <c r="I92" s="162"/>
      <c r="J92" s="162"/>
      <c r="K92" s="162"/>
      <c r="L92" s="162"/>
      <c r="M92" s="162"/>
      <c r="N92" s="593">
        <v>2022</v>
      </c>
      <c r="O92" s="593">
        <v>2023</v>
      </c>
      <c r="P92" s="162"/>
      <c r="Q92" s="162"/>
    </row>
    <row r="93" spans="1:17" s="402" customFormat="1" ht="27">
      <c r="A93" s="415" t="s">
        <v>723</v>
      </c>
      <c r="B93" s="415" t="s">
        <v>724</v>
      </c>
      <c r="C93" s="404"/>
      <c r="D93" s="422" t="s">
        <v>483</v>
      </c>
      <c r="E93" s="404"/>
      <c r="F93" s="424"/>
      <c r="G93" s="424"/>
      <c r="H93" s="424"/>
      <c r="I93" s="424"/>
      <c r="J93" s="405">
        <f>CfDS</f>
        <v>0</v>
      </c>
      <c r="K93" s="405">
        <f t="shared" ref="K93:M93" si="41">CfDS</f>
        <v>0</v>
      </c>
      <c r="L93" s="405">
        <f t="shared" si="41"/>
        <v>0</v>
      </c>
      <c r="M93" s="405">
        <f t="shared" si="41"/>
        <v>0</v>
      </c>
      <c r="O93" s="404"/>
      <c r="P93" s="408" t="s">
        <v>724</v>
      </c>
      <c r="Q93" s="404"/>
    </row>
    <row r="94" spans="1:17" s="402" customFormat="1" ht="27">
      <c r="A94" s="415" t="s">
        <v>731</v>
      </c>
      <c r="B94" s="415" t="s">
        <v>732</v>
      </c>
      <c r="C94" s="404"/>
      <c r="D94" s="422" t="s">
        <v>483</v>
      </c>
      <c r="E94" s="404"/>
      <c r="F94" s="424"/>
      <c r="G94" s="424"/>
      <c r="H94" s="424"/>
      <c r="I94" s="457">
        <f>ROUND(IF(I95+$H$97&lt;I$95+1,I$95+1,I$95+$H$97),1)</f>
        <v>6</v>
      </c>
      <c r="J94" s="457">
        <f t="shared" ref="J94:O94" si="42">ROUND(IF(J95+$H$97&lt;J$95+1,J$95+1,J$95+$H$97),1)</f>
        <v>6</v>
      </c>
      <c r="K94" s="457">
        <f t="shared" si="42"/>
        <v>6</v>
      </c>
      <c r="L94" s="457">
        <f t="shared" si="42"/>
        <v>6</v>
      </c>
      <c r="M94" s="457">
        <f t="shared" si="42"/>
        <v>6</v>
      </c>
      <c r="N94" s="457">
        <f t="shared" si="42"/>
        <v>6</v>
      </c>
      <c r="O94" s="457">
        <f t="shared" si="42"/>
        <v>6</v>
      </c>
      <c r="P94" s="404"/>
      <c r="Q94" s="404"/>
    </row>
    <row r="95" spans="1:17" s="402" customFormat="1" ht="27">
      <c r="A95" s="415" t="s">
        <v>734</v>
      </c>
      <c r="B95" s="415" t="s">
        <v>733</v>
      </c>
      <c r="C95" s="404"/>
      <c r="D95" s="422" t="s">
        <v>483</v>
      </c>
      <c r="E95" s="404"/>
      <c r="F95" s="424"/>
      <c r="G95" s="424"/>
      <c r="H95" s="424"/>
      <c r="I95" s="457">
        <f>MAX(ROUND($H93,1),5)</f>
        <v>5</v>
      </c>
      <c r="J95" s="457">
        <f>MAX(ROUND($H93,1),5)</f>
        <v>5</v>
      </c>
      <c r="K95" s="457">
        <f t="shared" ref="K95:M95" si="43">MAX(ROUND($H93,1),5)</f>
        <v>5</v>
      </c>
      <c r="L95" s="457">
        <f t="shared" si="43"/>
        <v>5</v>
      </c>
      <c r="M95" s="457">
        <f t="shared" si="43"/>
        <v>5</v>
      </c>
      <c r="N95" s="457">
        <f t="shared" ref="N95:O95" si="44">MAX(ROUND($H93,1),5)</f>
        <v>5</v>
      </c>
      <c r="O95" s="457">
        <f t="shared" si="44"/>
        <v>5</v>
      </c>
      <c r="P95" s="404"/>
      <c r="Q95" s="404"/>
    </row>
    <row r="96" spans="1:17" s="402" customFormat="1" ht="37.5" customHeight="1">
      <c r="A96" s="415" t="s">
        <v>752</v>
      </c>
      <c r="B96" s="415" t="s">
        <v>735</v>
      </c>
      <c r="C96" s="404"/>
      <c r="D96" s="422" t="s">
        <v>483</v>
      </c>
      <c r="E96" s="404"/>
      <c r="F96" s="424"/>
      <c r="G96" s="424"/>
      <c r="H96" s="424"/>
      <c r="I96" s="457">
        <f>ROUND(IF(I95-$H$97&gt;I$95-1,I$95-1,I$95-$H$97),1)</f>
        <v>4</v>
      </c>
      <c r="J96" s="457">
        <f t="shared" ref="J96:M96" si="45">ROUND(IF(J95-$H$97&gt;J$95-1,J$95-1,J$95-$H$97),1)</f>
        <v>4</v>
      </c>
      <c r="K96" s="457">
        <f t="shared" si="45"/>
        <v>4</v>
      </c>
      <c r="L96" s="457">
        <f t="shared" si="45"/>
        <v>4</v>
      </c>
      <c r="M96" s="457">
        <f t="shared" si="45"/>
        <v>4</v>
      </c>
      <c r="N96" s="457">
        <f t="shared" ref="N96:O96" si="46">ROUND(IF(N95-$H$97&gt;N$95-1,N$95-1,N$95-$H$97),1)</f>
        <v>4</v>
      </c>
      <c r="O96" s="457">
        <f t="shared" si="46"/>
        <v>4</v>
      </c>
      <c r="P96" s="404"/>
      <c r="Q96" s="404"/>
    </row>
    <row r="97" spans="1:17" s="402" customFormat="1" ht="27">
      <c r="A97" s="415" t="s">
        <v>725</v>
      </c>
      <c r="B97" s="415" t="s">
        <v>726</v>
      </c>
      <c r="C97" s="404"/>
      <c r="D97" s="422" t="s">
        <v>483</v>
      </c>
      <c r="E97" s="404"/>
      <c r="F97" s="424"/>
      <c r="G97" s="424"/>
      <c r="H97" s="405">
        <f>CfDSD</f>
        <v>0</v>
      </c>
      <c r="I97" s="416"/>
      <c r="J97" s="416"/>
      <c r="K97" s="416"/>
      <c r="L97" s="416"/>
      <c r="M97" s="416"/>
      <c r="O97" s="404"/>
      <c r="P97" s="408" t="s">
        <v>726</v>
      </c>
      <c r="Q97" s="404"/>
    </row>
    <row r="98" spans="1:17" s="402" customFormat="1" ht="29">
      <c r="A98" s="606" t="s">
        <v>736</v>
      </c>
      <c r="B98" s="421" t="s">
        <v>737</v>
      </c>
      <c r="C98" s="404"/>
      <c r="D98" s="423" t="s">
        <v>738</v>
      </c>
      <c r="E98" s="404"/>
      <c r="F98" s="404"/>
      <c r="G98" s="404"/>
      <c r="H98" s="404"/>
      <c r="I98" s="404"/>
      <c r="J98" s="399"/>
      <c r="K98" s="509"/>
      <c r="L98" s="401">
        <f t="shared" ref="L98:O98" si="47">IF(J93&gt;=L95,0.3*(MIN(J93,L94)-L95)/(L94-L95),-0.3*(L95-MAX(J93,L96))/(L95-L96))</f>
        <v>-0.3</v>
      </c>
      <c r="M98" s="599">
        <v>0</v>
      </c>
      <c r="N98" s="401">
        <f t="shared" si="47"/>
        <v>-0.3</v>
      </c>
      <c r="O98" s="401">
        <f t="shared" si="47"/>
        <v>-0.3</v>
      </c>
      <c r="P98" s="404"/>
      <c r="Q98" s="404"/>
    </row>
    <row r="99" spans="1:17" s="402" customFormat="1" ht="14.5">
      <c r="N99" s="593">
        <v>2022</v>
      </c>
      <c r="O99" s="593">
        <v>2023</v>
      </c>
    </row>
    <row r="100" spans="1:17" s="136" customFormat="1" ht="27">
      <c r="A100" s="607" t="s">
        <v>727</v>
      </c>
      <c r="B100" s="434" t="s">
        <v>728</v>
      </c>
      <c r="D100" s="435" t="s">
        <v>483</v>
      </c>
      <c r="E100" s="436"/>
      <c r="F100" s="437"/>
      <c r="G100" s="437"/>
      <c r="H100" s="458">
        <f>CMS</f>
        <v>0</v>
      </c>
      <c r="I100" s="458">
        <f t="shared" ref="I100:M100" si="48">CMS</f>
        <v>0</v>
      </c>
      <c r="J100" s="458">
        <f t="shared" si="48"/>
        <v>0</v>
      </c>
      <c r="K100" s="458">
        <f t="shared" si="48"/>
        <v>0</v>
      </c>
      <c r="L100" s="458">
        <f t="shared" si="48"/>
        <v>0</v>
      </c>
      <c r="M100" s="458">
        <f t="shared" si="48"/>
        <v>0</v>
      </c>
      <c r="P100" s="438" t="s">
        <v>728</v>
      </c>
    </row>
    <row r="101" spans="1:17" s="402" customFormat="1" ht="27">
      <c r="A101" s="415" t="s">
        <v>739</v>
      </c>
      <c r="B101" s="415" t="s">
        <v>740</v>
      </c>
      <c r="D101" s="422" t="s">
        <v>483</v>
      </c>
      <c r="E101" s="404"/>
      <c r="F101" s="424"/>
      <c r="G101" s="424"/>
      <c r="H101" s="424"/>
      <c r="I101" s="457">
        <f>ROUND(IF(I102+$H$104&lt;I$102+1,I$102+1,I$102+$H$104),1)</f>
        <v>6</v>
      </c>
      <c r="J101" s="457">
        <f t="shared" ref="J101:O101" si="49">ROUND(IF(J102+$H$104&lt;J$102+1,J$102+1,J$102+$H$104),1)</f>
        <v>6</v>
      </c>
      <c r="K101" s="457">
        <f t="shared" si="49"/>
        <v>6</v>
      </c>
      <c r="L101" s="457">
        <f t="shared" si="49"/>
        <v>6</v>
      </c>
      <c r="M101" s="457">
        <f t="shared" si="49"/>
        <v>6</v>
      </c>
      <c r="N101" s="457">
        <f t="shared" si="49"/>
        <v>6</v>
      </c>
      <c r="O101" s="457">
        <f t="shared" si="49"/>
        <v>6</v>
      </c>
    </row>
    <row r="102" spans="1:17" s="136" customFormat="1" ht="27">
      <c r="A102" s="607" t="s">
        <v>743</v>
      </c>
      <c r="B102" s="434" t="s">
        <v>742</v>
      </c>
      <c r="D102" s="435" t="s">
        <v>483</v>
      </c>
      <c r="E102" s="436"/>
      <c r="F102" s="437"/>
      <c r="G102" s="437"/>
      <c r="H102" s="437"/>
      <c r="I102" s="458">
        <f>MAX(ROUND($H100,1),5)</f>
        <v>5</v>
      </c>
      <c r="J102" s="458">
        <f t="shared" ref="J102:M102" si="50">MAX(ROUND($H100,1),5)</f>
        <v>5</v>
      </c>
      <c r="K102" s="458">
        <f t="shared" si="50"/>
        <v>5</v>
      </c>
      <c r="L102" s="458">
        <f t="shared" si="50"/>
        <v>5</v>
      </c>
      <c r="M102" s="458">
        <f t="shared" si="50"/>
        <v>5</v>
      </c>
      <c r="N102" s="458">
        <f t="shared" ref="N102:O102" si="51">MAX(ROUND($H100,1),5)</f>
        <v>5</v>
      </c>
      <c r="O102" s="458">
        <f t="shared" si="51"/>
        <v>5</v>
      </c>
    </row>
    <row r="103" spans="1:17" s="402" customFormat="1" ht="27">
      <c r="A103" s="415" t="s">
        <v>741</v>
      </c>
      <c r="B103" s="415" t="s">
        <v>744</v>
      </c>
      <c r="D103" s="422" t="s">
        <v>483</v>
      </c>
      <c r="E103" s="404"/>
      <c r="F103" s="424"/>
      <c r="G103" s="424"/>
      <c r="H103" s="424"/>
      <c r="I103" s="457">
        <f>ROUND(IF(I102-$H$104&gt;I$102-1,I$102-1,I$102-$H$104),1)</f>
        <v>4</v>
      </c>
      <c r="J103" s="457">
        <f t="shared" ref="J103:M103" si="52">ROUND(IF(J102-$H$104&gt;J$102-1,J$102-1,J$102-$H$104),1)</f>
        <v>4</v>
      </c>
      <c r="K103" s="457">
        <f t="shared" si="52"/>
        <v>4</v>
      </c>
      <c r="L103" s="457">
        <f t="shared" si="52"/>
        <v>4</v>
      </c>
      <c r="M103" s="457">
        <f t="shared" si="52"/>
        <v>4</v>
      </c>
      <c r="N103" s="457">
        <f t="shared" ref="N103:O103" si="53">ROUND(IF(N102-$H$104&gt;N$102-1,N$102-1,N$102-$H$104),1)</f>
        <v>4</v>
      </c>
      <c r="O103" s="457">
        <f t="shared" si="53"/>
        <v>4</v>
      </c>
    </row>
    <row r="104" spans="1:17" s="402" customFormat="1" ht="27">
      <c r="A104" s="415" t="s">
        <v>729</v>
      </c>
      <c r="B104" s="415" t="s">
        <v>730</v>
      </c>
      <c r="D104" s="422" t="s">
        <v>483</v>
      </c>
      <c r="E104" s="404"/>
      <c r="F104" s="424"/>
      <c r="G104" s="424"/>
      <c r="H104" s="433">
        <f>CMSD</f>
        <v>0</v>
      </c>
      <c r="I104" s="416"/>
      <c r="J104" s="416"/>
      <c r="K104" s="416"/>
      <c r="L104" s="416"/>
      <c r="M104" s="416"/>
      <c r="P104" s="408" t="s">
        <v>730</v>
      </c>
    </row>
    <row r="105" spans="1:17" s="402" customFormat="1" ht="29">
      <c r="A105" s="606" t="s">
        <v>745</v>
      </c>
      <c r="B105" s="421" t="s">
        <v>693</v>
      </c>
      <c r="D105" s="423" t="s">
        <v>738</v>
      </c>
      <c r="E105" s="404"/>
      <c r="F105" s="404"/>
      <c r="G105" s="404"/>
      <c r="H105" s="404"/>
      <c r="I105" s="404"/>
      <c r="J105" s="401">
        <f>IF(H100&gt;=J102,0.3*(MIN(H100,J101)-J102)/(J101-J102),-0.3*(J102-MAX(H100,J103))/(J102-J103))</f>
        <v>-0.3</v>
      </c>
      <c r="K105" s="401">
        <f t="shared" ref="K105:O105" si="54">IF(I100&gt;=K102,0.3*(MIN(I100,K101)-K102)/(K101-K102),-0.3*(K102-MAX(I100,K103))/(K102-K103))</f>
        <v>-0.3</v>
      </c>
      <c r="L105" s="401">
        <f t="shared" si="54"/>
        <v>-0.3</v>
      </c>
      <c r="M105" s="599">
        <v>0</v>
      </c>
      <c r="N105" s="401">
        <f t="shared" si="54"/>
        <v>-0.3</v>
      </c>
      <c r="O105" s="401">
        <f t="shared" si="54"/>
        <v>-0.3</v>
      </c>
    </row>
    <row r="106" spans="1:17">
      <c r="K106" s="402"/>
      <c r="L106" s="402"/>
      <c r="M106" s="402"/>
    </row>
    <row r="107" spans="1:17">
      <c r="K107" s="402"/>
      <c r="L107" s="402"/>
      <c r="M107" s="402"/>
    </row>
  </sheetData>
  <pageMargins left="0.23622047244094491" right="0.15748031496062992" top="0.43307086614173229" bottom="0.59055118110236227" header="0.19685039370078741" footer="0.23622047244094491"/>
  <pageSetup paperSize="8" orientation="landscape" r:id="rId1"/>
  <headerFooter>
    <oddFooter>&amp;C&amp;D&amp;R&amp;F</oddFooter>
  </headerFooter>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1:AP237"/>
  <sheetViews>
    <sheetView showGridLines="0" zoomScale="85" zoomScaleNormal="85" workbookViewId="0">
      <pane xSplit="5" ySplit="10" topLeftCell="T11" activePane="bottomRight" state="frozenSplit"/>
      <selection pane="topRight"/>
      <selection pane="bottomLeft"/>
      <selection pane="bottomRight" activeCell="Y60" sqref="Y60"/>
    </sheetView>
  </sheetViews>
  <sheetFormatPr defaultColWidth="9" defaultRowHeight="13.5"/>
  <cols>
    <col min="1" max="1" width="35.15234375" style="402" customWidth="1"/>
    <col min="2" max="2" width="9" style="402"/>
    <col min="3" max="3" width="6.765625" style="402" customWidth="1"/>
    <col min="4" max="4" width="10.3828125" style="402" customWidth="1"/>
    <col min="5" max="5" width="8.4609375" style="402" customWidth="1"/>
    <col min="6" max="7" width="14.3828125" style="402" bestFit="1" customWidth="1"/>
    <col min="8" max="8" width="2.15234375" style="402" customWidth="1"/>
    <col min="9" max="10" width="14.3828125" style="402" bestFit="1" customWidth="1"/>
    <col min="11" max="11" width="1.84375" style="312" customWidth="1"/>
    <col min="12" max="13" width="14.3828125" style="402" bestFit="1" customWidth="1"/>
    <col min="14" max="14" width="2.15234375" style="402" customWidth="1"/>
    <col min="15" max="15" width="14.61328125" style="402" bestFit="1" customWidth="1"/>
    <col min="16" max="16" width="14.3828125" style="402" bestFit="1" customWidth="1"/>
    <col min="17" max="17" width="2.15234375" style="402" customWidth="1"/>
    <col min="18" max="18" width="16.61328125" style="402" bestFit="1" customWidth="1"/>
    <col min="19" max="19" width="14.3828125" style="402" bestFit="1" customWidth="1"/>
    <col min="20" max="20" width="1.84375" style="402" customWidth="1"/>
    <col min="21" max="22" width="14.3828125" style="402" customWidth="1"/>
    <col min="23" max="23" width="2.4609375" style="402" customWidth="1"/>
    <col min="24" max="25" width="14.3828125" style="402" customWidth="1"/>
    <col min="26" max="26" width="7.765625" style="402" bestFit="1" customWidth="1"/>
    <col min="27" max="28" width="14.3828125" style="402" customWidth="1"/>
    <col min="29" max="29" width="2.4609375" style="402" customWidth="1"/>
    <col min="30" max="31" width="14.3828125" style="402" customWidth="1"/>
    <col min="32" max="32" width="4.4609375" style="402" customWidth="1"/>
    <col min="33" max="33" width="14" style="402" customWidth="1"/>
    <col min="34" max="34" width="12.4609375" style="402" customWidth="1"/>
    <col min="35" max="35" width="4" style="402" customWidth="1"/>
    <col min="36" max="36" width="15.61328125" style="402" customWidth="1"/>
    <col min="37" max="37" width="12.61328125" style="402" customWidth="1"/>
    <col min="38" max="16384" width="9" style="402"/>
  </cols>
  <sheetData>
    <row r="1" spans="1:42" ht="15">
      <c r="A1" s="157" t="s">
        <v>916</v>
      </c>
      <c r="B1" s="148"/>
      <c r="C1" s="148"/>
    </row>
    <row r="2" spans="1:42" ht="15">
      <c r="A2" s="157" t="s">
        <v>1030</v>
      </c>
      <c r="B2" s="148"/>
      <c r="C2" s="148"/>
    </row>
    <row r="3" spans="1:42">
      <c r="A3" s="159" t="s">
        <v>1031</v>
      </c>
      <c r="B3" s="148"/>
      <c r="C3" s="148"/>
    </row>
    <row r="4" spans="1:42">
      <c r="A4" s="176"/>
      <c r="B4" s="176"/>
      <c r="C4" s="176"/>
    </row>
    <row r="5" spans="1:42" ht="17.5">
      <c r="A5" s="177" t="s">
        <v>372</v>
      </c>
      <c r="L5" s="406"/>
      <c r="M5" s="406"/>
      <c r="O5" s="406"/>
      <c r="P5" s="406"/>
      <c r="R5" s="406"/>
      <c r="S5" s="406"/>
      <c r="U5" s="406"/>
      <c r="V5" s="406"/>
      <c r="X5" s="406"/>
      <c r="Y5" s="406"/>
      <c r="AA5" s="406"/>
      <c r="AB5" s="406"/>
      <c r="AD5" s="406"/>
      <c r="AE5" s="406"/>
    </row>
    <row r="7" spans="1:42" ht="14.5">
      <c r="I7" s="138">
        <v>2014</v>
      </c>
      <c r="K7" s="402"/>
      <c r="L7" s="138">
        <v>2015</v>
      </c>
      <c r="O7" s="138">
        <v>2016</v>
      </c>
      <c r="R7" s="138">
        <v>2017</v>
      </c>
      <c r="U7" s="138">
        <v>2018</v>
      </c>
      <c r="X7" s="138">
        <v>2019</v>
      </c>
      <c r="AA7" s="138">
        <v>2020</v>
      </c>
      <c r="AD7" s="138">
        <v>2021</v>
      </c>
      <c r="AG7" s="600">
        <v>2022</v>
      </c>
      <c r="AJ7" s="600">
        <v>2022</v>
      </c>
    </row>
    <row r="8" spans="1:42">
      <c r="A8" s="402" t="s">
        <v>547</v>
      </c>
      <c r="I8" s="313">
        <f>I14+G14-F14</f>
        <v>894.05672839999988</v>
      </c>
      <c r="L8" s="313">
        <f>L14+J14-I14</f>
        <v>897.457399925196</v>
      </c>
      <c r="O8" s="313">
        <f>O14+M14-L14</f>
        <v>938.19322782177449</v>
      </c>
      <c r="R8" s="313">
        <f>R14+P14-O14</f>
        <v>1087.2784684496169</v>
      </c>
      <c r="U8" s="313">
        <f>U14+S14-R14</f>
        <v>15.488923449026515</v>
      </c>
      <c r="X8" s="313">
        <f>X14+V14-U14</f>
        <v>3.0138818556206641</v>
      </c>
      <c r="AA8" s="313">
        <f>AA14+Y14-X14</f>
        <v>1.5652028691194837</v>
      </c>
      <c r="AD8" s="313">
        <f>AD14+AB14-AA14</f>
        <v>1.5799842431327609</v>
      </c>
    </row>
    <row r="12" spans="1:42" ht="14.5">
      <c r="A12" s="314"/>
      <c r="B12" s="315"/>
      <c r="C12" s="315"/>
      <c r="D12" s="315"/>
      <c r="E12" s="315"/>
      <c r="F12" s="646" t="s">
        <v>753</v>
      </c>
      <c r="G12" s="646"/>
      <c r="H12" s="318"/>
      <c r="I12" s="642" t="s">
        <v>549</v>
      </c>
      <c r="J12" s="642"/>
      <c r="K12" s="530"/>
      <c r="L12" s="642" t="s">
        <v>550</v>
      </c>
      <c r="M12" s="642"/>
      <c r="O12" s="642" t="s">
        <v>551</v>
      </c>
      <c r="P12" s="642"/>
      <c r="R12" s="642" t="s">
        <v>552</v>
      </c>
      <c r="S12" s="642"/>
      <c r="U12" s="642" t="s">
        <v>553</v>
      </c>
      <c r="V12" s="642"/>
      <c r="X12" s="642" t="s">
        <v>554</v>
      </c>
      <c r="Y12" s="642"/>
      <c r="AA12" s="642" t="s">
        <v>555</v>
      </c>
      <c r="AB12" s="642"/>
      <c r="AD12" s="642" t="s">
        <v>556</v>
      </c>
      <c r="AE12" s="642"/>
    </row>
    <row r="13" spans="1:42" ht="14.5">
      <c r="A13" s="315"/>
      <c r="B13" s="315"/>
      <c r="C13" s="315"/>
      <c r="D13" s="315"/>
      <c r="E13" s="315"/>
      <c r="F13" s="138" t="s">
        <v>557</v>
      </c>
      <c r="G13" s="138" t="s">
        <v>558</v>
      </c>
      <c r="I13" s="138" t="s">
        <v>558</v>
      </c>
      <c r="J13" s="138" t="s">
        <v>559</v>
      </c>
      <c r="K13" s="319"/>
      <c r="L13" s="138" t="s">
        <v>559</v>
      </c>
      <c r="M13" s="138" t="s">
        <v>560</v>
      </c>
      <c r="O13" s="138" t="s">
        <v>560</v>
      </c>
      <c r="P13" s="138" t="s">
        <v>561</v>
      </c>
      <c r="R13" s="138" t="s">
        <v>561</v>
      </c>
      <c r="S13" s="138" t="s">
        <v>562</v>
      </c>
      <c r="U13" s="138" t="s">
        <v>562</v>
      </c>
      <c r="V13" s="138" t="s">
        <v>563</v>
      </c>
      <c r="X13" s="138" t="s">
        <v>563</v>
      </c>
      <c r="Y13" s="138" t="s">
        <v>564</v>
      </c>
      <c r="AA13" s="138" t="s">
        <v>564</v>
      </c>
      <c r="AB13" s="138" t="s">
        <v>565</v>
      </c>
      <c r="AD13" s="138" t="s">
        <v>565</v>
      </c>
      <c r="AE13" s="138" t="s">
        <v>566</v>
      </c>
    </row>
    <row r="14" spans="1:42" s="480" customFormat="1">
      <c r="A14" s="475" t="s">
        <v>382</v>
      </c>
      <c r="B14" s="475"/>
      <c r="C14" s="475"/>
      <c r="D14" s="475" t="s">
        <v>383</v>
      </c>
      <c r="E14" s="480" t="s">
        <v>985</v>
      </c>
      <c r="F14" s="326">
        <f>F36</f>
        <v>1575.45969083</v>
      </c>
      <c r="G14" s="326">
        <f>G36</f>
        <v>1575.45969083</v>
      </c>
      <c r="I14" s="326">
        <f>I36</f>
        <v>894.0567284</v>
      </c>
      <c r="J14" s="326">
        <f>J36</f>
        <v>895.53163309000001</v>
      </c>
      <c r="L14" s="326">
        <f>L36</f>
        <v>895.9824952351961</v>
      </c>
      <c r="M14" s="326">
        <f>M36</f>
        <v>902.69816276999995</v>
      </c>
      <c r="O14" s="326">
        <f>O36</f>
        <v>931.47756028697063</v>
      </c>
      <c r="P14" s="326">
        <f>P36</f>
        <v>930.07698785842558</v>
      </c>
      <c r="R14" s="326">
        <f>R36</f>
        <v>1088.6790408781619</v>
      </c>
      <c r="S14" s="326">
        <f>S36</f>
        <v>1101.2860111781617</v>
      </c>
      <c r="U14" s="326">
        <f>U52</f>
        <v>2.8819531490267658</v>
      </c>
      <c r="V14" s="326">
        <f>V52</f>
        <v>2.8819531490267658</v>
      </c>
      <c r="X14" s="326">
        <f>X65</f>
        <v>3.0138818556206641</v>
      </c>
      <c r="Y14" s="326">
        <f>Y65</f>
        <v>3.0138818556206641</v>
      </c>
      <c r="AA14" s="326">
        <f>AA79</f>
        <v>1.5652028691194839</v>
      </c>
      <c r="AB14" s="326">
        <f>AB79</f>
        <v>1.5652028691194839</v>
      </c>
      <c r="AD14" s="326">
        <f>AD79</f>
        <v>1.5799842431327609</v>
      </c>
      <c r="AE14" s="326">
        <f>AE79</f>
        <v>1.5799842431327609</v>
      </c>
    </row>
    <row r="15" spans="1:42" s="183" customFormat="1">
      <c r="A15" s="475"/>
      <c r="B15" s="325"/>
      <c r="C15" s="325"/>
      <c r="D15" s="325"/>
      <c r="F15" s="479"/>
      <c r="G15" s="479"/>
      <c r="H15" s="480"/>
      <c r="I15" s="479"/>
      <c r="J15" s="460"/>
      <c r="K15" s="460"/>
      <c r="L15" s="479"/>
      <c r="M15" s="479"/>
      <c r="N15" s="480"/>
      <c r="O15" s="479"/>
      <c r="P15" s="479"/>
      <c r="Q15" s="480"/>
      <c r="R15" s="479"/>
      <c r="S15" s="479"/>
      <c r="T15" s="480"/>
      <c r="U15" s="479"/>
      <c r="V15" s="479"/>
      <c r="W15" s="480"/>
      <c r="X15" s="479"/>
      <c r="Y15" s="479"/>
      <c r="Z15" s="480"/>
      <c r="AA15" s="479"/>
      <c r="AB15" s="479"/>
      <c r="AC15" s="480"/>
      <c r="AD15" s="479"/>
      <c r="AE15" s="479"/>
      <c r="AF15" s="480"/>
      <c r="AG15" s="480"/>
      <c r="AH15" s="480"/>
      <c r="AI15" s="480"/>
      <c r="AJ15" s="480"/>
      <c r="AK15" s="480"/>
      <c r="AL15" s="480"/>
      <c r="AM15" s="480"/>
      <c r="AN15" s="480"/>
      <c r="AO15" s="480"/>
      <c r="AP15" s="480"/>
    </row>
    <row r="16" spans="1:42" s="183" customFormat="1">
      <c r="A16" s="475"/>
      <c r="B16" s="325"/>
      <c r="C16" s="325"/>
      <c r="D16" s="325"/>
      <c r="F16" s="479"/>
      <c r="G16" s="479"/>
      <c r="H16" s="480"/>
      <c r="I16" s="479"/>
      <c r="J16" s="460"/>
      <c r="K16" s="460"/>
      <c r="L16" s="479"/>
      <c r="M16" s="479"/>
      <c r="N16" s="480"/>
      <c r="O16" s="479"/>
      <c r="P16" s="479"/>
      <c r="Q16" s="480"/>
      <c r="R16" s="479"/>
      <c r="S16" s="479"/>
      <c r="T16" s="480"/>
      <c r="U16" s="479"/>
      <c r="V16" s="479"/>
      <c r="W16" s="480"/>
      <c r="X16" s="479"/>
      <c r="Y16" s="479"/>
      <c r="Z16" s="480"/>
      <c r="AA16" s="479"/>
      <c r="AB16" s="479"/>
      <c r="AC16" s="480"/>
      <c r="AD16" s="479"/>
      <c r="AE16" s="479"/>
      <c r="AF16" s="480"/>
      <c r="AG16" s="480"/>
      <c r="AH16" s="480"/>
      <c r="AI16" s="480"/>
      <c r="AJ16" s="480"/>
      <c r="AK16" s="480"/>
      <c r="AL16" s="480"/>
      <c r="AM16" s="480"/>
      <c r="AN16" s="480"/>
      <c r="AO16" s="480"/>
      <c r="AP16" s="480"/>
    </row>
    <row r="17" spans="1:33" ht="14">
      <c r="A17" s="314" t="s">
        <v>548</v>
      </c>
      <c r="B17" s="315"/>
      <c r="C17" s="315"/>
      <c r="D17" s="315"/>
      <c r="E17" s="315"/>
      <c r="H17" s="315"/>
      <c r="V17" s="539"/>
    </row>
    <row r="18" spans="1:33" ht="14.5">
      <c r="A18" s="316" t="s">
        <v>530</v>
      </c>
      <c r="B18" s="315"/>
      <c r="C18" s="315"/>
      <c r="D18" s="315"/>
      <c r="E18" s="315"/>
      <c r="F18" s="261"/>
      <c r="G18" s="261"/>
      <c r="H18" s="315"/>
      <c r="I18" s="261"/>
      <c r="J18" s="261"/>
      <c r="K18" s="530"/>
      <c r="L18" s="261"/>
      <c r="M18" s="261"/>
      <c r="O18" s="261"/>
      <c r="P18" s="441"/>
      <c r="R18" s="261"/>
      <c r="S18" s="261"/>
      <c r="U18" s="261"/>
      <c r="V18" s="261"/>
      <c r="X18" s="261"/>
      <c r="Y18" s="261"/>
      <c r="AA18" s="261"/>
      <c r="AB18" s="261"/>
      <c r="AD18" s="261"/>
      <c r="AE18" s="261"/>
    </row>
    <row r="19" spans="1:33" ht="14.5">
      <c r="A19" s="316"/>
      <c r="B19" s="315"/>
      <c r="C19" s="315"/>
      <c r="D19" s="315"/>
      <c r="E19" s="315"/>
      <c r="F19" s="261"/>
      <c r="G19" s="261"/>
      <c r="H19" s="315"/>
      <c r="I19" s="261"/>
      <c r="J19" s="261"/>
      <c r="K19" s="530"/>
      <c r="L19" s="261"/>
      <c r="M19" s="261"/>
      <c r="O19" s="261"/>
      <c r="P19" s="441"/>
      <c r="R19" s="261"/>
      <c r="S19" s="261"/>
      <c r="U19" s="261"/>
      <c r="V19" s="261"/>
      <c r="X19" s="261"/>
      <c r="Y19" s="261"/>
      <c r="AA19" s="261"/>
      <c r="AB19" s="261"/>
      <c r="AD19" s="261"/>
      <c r="AE19" s="261"/>
    </row>
    <row r="20" spans="1:33" ht="14.5">
      <c r="A20" s="487" t="s">
        <v>823</v>
      </c>
      <c r="B20" s="488"/>
      <c r="C20" s="488"/>
      <c r="D20" s="488"/>
      <c r="E20" s="488"/>
      <c r="F20" s="261"/>
      <c r="G20" s="261"/>
      <c r="H20" s="315"/>
      <c r="I20" s="261"/>
      <c r="J20" s="261"/>
      <c r="K20" s="530"/>
      <c r="L20" s="261"/>
      <c r="M20" s="261"/>
      <c r="O20" s="261"/>
      <c r="P20" s="441"/>
      <c r="R20" s="261"/>
      <c r="S20" s="261"/>
      <c r="U20" s="261"/>
      <c r="V20" s="261"/>
      <c r="X20" s="261"/>
      <c r="Y20" s="261"/>
      <c r="AA20" s="261"/>
      <c r="AB20" s="261"/>
      <c r="AD20" s="261"/>
      <c r="AE20" s="261"/>
    </row>
    <row r="21" spans="1:33" ht="14.5">
      <c r="A21" s="466"/>
      <c r="B21" s="488"/>
      <c r="C21" s="488"/>
      <c r="D21" s="488"/>
      <c r="E21" s="488"/>
      <c r="F21" s="261"/>
      <c r="G21" s="261"/>
      <c r="H21" s="315"/>
      <c r="I21" s="261"/>
      <c r="J21" s="261"/>
      <c r="K21" s="530"/>
      <c r="L21" s="261"/>
      <c r="M21" s="261"/>
      <c r="O21" s="261"/>
      <c r="P21" s="441"/>
      <c r="R21" s="261"/>
      <c r="S21" s="261"/>
      <c r="U21" s="261"/>
      <c r="V21" s="261"/>
      <c r="X21" s="261"/>
      <c r="Y21" s="261"/>
      <c r="AA21" s="261"/>
      <c r="AB21" s="261"/>
      <c r="AD21" s="261"/>
      <c r="AE21" s="261"/>
    </row>
    <row r="22" spans="1:33" ht="14.5">
      <c r="A22" s="466"/>
      <c r="B22" s="488"/>
      <c r="C22" s="488"/>
      <c r="D22" s="488"/>
      <c r="E22" s="488"/>
      <c r="F22" s="646" t="s">
        <v>753</v>
      </c>
      <c r="G22" s="646"/>
      <c r="H22" s="318"/>
      <c r="I22" s="642" t="s">
        <v>549</v>
      </c>
      <c r="J22" s="642"/>
      <c r="K22" s="530"/>
      <c r="L22" s="642" t="s">
        <v>550</v>
      </c>
      <c r="M22" s="642"/>
      <c r="O22" s="642" t="s">
        <v>551</v>
      </c>
      <c r="P22" s="642"/>
      <c r="R22" s="642" t="s">
        <v>552</v>
      </c>
      <c r="S22" s="642"/>
      <c r="U22" s="644"/>
      <c r="V22" s="644"/>
      <c r="W22" s="312"/>
      <c r="X22" s="644"/>
      <c r="Y22" s="644"/>
      <c r="Z22" s="312"/>
      <c r="AA22" s="644"/>
      <c r="AB22" s="644"/>
      <c r="AC22" s="312"/>
      <c r="AD22" s="644"/>
      <c r="AE22" s="644"/>
      <c r="AF22" s="312"/>
    </row>
    <row r="23" spans="1:33" ht="14.5">
      <c r="A23" s="466"/>
      <c r="B23" s="488"/>
      <c r="C23" s="488"/>
      <c r="D23" s="488"/>
      <c r="E23" s="488"/>
      <c r="F23" s="138" t="s">
        <v>557</v>
      </c>
      <c r="G23" s="138" t="s">
        <v>558</v>
      </c>
      <c r="I23" s="138" t="s">
        <v>558</v>
      </c>
      <c r="J23" s="138" t="s">
        <v>559</v>
      </c>
      <c r="K23" s="319"/>
      <c r="L23" s="138" t="s">
        <v>559</v>
      </c>
      <c r="M23" s="138" t="s">
        <v>560</v>
      </c>
      <c r="O23" s="138" t="s">
        <v>560</v>
      </c>
      <c r="P23" s="138" t="s">
        <v>561</v>
      </c>
      <c r="R23" s="138" t="s">
        <v>561</v>
      </c>
      <c r="S23" s="138" t="s">
        <v>562</v>
      </c>
      <c r="U23" s="312"/>
    </row>
    <row r="24" spans="1:33">
      <c r="A24" s="459" t="s">
        <v>567</v>
      </c>
      <c r="B24" s="459"/>
      <c r="C24" s="459"/>
      <c r="D24" s="459" t="s">
        <v>373</v>
      </c>
      <c r="E24" s="265" t="s">
        <v>1</v>
      </c>
      <c r="F24" s="411">
        <f>'[9]R16 SO External Rev'!$F$24</f>
        <v>651.20509200000004</v>
      </c>
      <c r="G24" s="411">
        <f>'[9]R16 SO External Rev'!$G$24</f>
        <v>651.20509200000004</v>
      </c>
      <c r="H24" s="403"/>
      <c r="I24" s="411">
        <f>'[9]R16 SO External Rev'!$I$24</f>
        <v>411.13299999999998</v>
      </c>
      <c r="J24" s="411">
        <f>'[9]R16 SO External Rev'!$J$24</f>
        <v>412.39691499999998</v>
      </c>
      <c r="K24" s="322"/>
      <c r="L24" s="411">
        <f>'[9]R16 SO External Rev'!$L$24</f>
        <v>343.58538250219601</v>
      </c>
      <c r="M24" s="411">
        <f>'[9]R16 SO External Rev'!$M$24</f>
        <v>343.46800000000002</v>
      </c>
      <c r="O24" s="411">
        <f>'[9]R16 SO External Rev'!$O$24</f>
        <v>379.90690699999999</v>
      </c>
      <c r="P24" s="411">
        <f>'[9]R16 SO External Rev'!$P$24</f>
        <v>378.09705965000001</v>
      </c>
      <c r="R24" s="411">
        <f>'[9]R16 SO External Rev'!$R$24</f>
        <v>347.21039109999998</v>
      </c>
      <c r="S24" s="411">
        <f>'[9]R16 SO External Rev'!$S$24</f>
        <v>345.52699999999999</v>
      </c>
      <c r="U24" s="312"/>
    </row>
    <row r="25" spans="1:33">
      <c r="A25" s="459" t="s">
        <v>374</v>
      </c>
      <c r="B25" s="459"/>
      <c r="C25" s="459"/>
      <c r="D25" s="459" t="s">
        <v>375</v>
      </c>
      <c r="E25" s="265" t="s">
        <v>1</v>
      </c>
      <c r="F25" s="411">
        <f>'[9]R16 SO External Rev'!$F$25</f>
        <v>973.26010699999995</v>
      </c>
      <c r="G25" s="411">
        <f>'[9]R16 SO External Rev'!$G$25</f>
        <v>973.26010699999995</v>
      </c>
      <c r="H25" s="403"/>
      <c r="I25" s="411">
        <f>'[9]R16 SO External Rev'!$I$25</f>
        <v>456.09199999999998</v>
      </c>
      <c r="J25" s="411">
        <f>'[9]R16 SO External Rev'!$J$25</f>
        <v>459.36679279999998</v>
      </c>
      <c r="K25" s="322"/>
      <c r="L25" s="411">
        <f>'[9]R16 SO External Rev'!$L$25</f>
        <v>495.23285240000001</v>
      </c>
      <c r="M25" s="411">
        <f>'[9]R16 SO External Rev'!$M$25</f>
        <v>502.041833</v>
      </c>
      <c r="O25" s="411">
        <f>'[9]R16 SO External Rev'!$O$25</f>
        <v>487.14656944854516</v>
      </c>
      <c r="P25" s="411">
        <f>'[9]R16 SO External Rev'!$P$25</f>
        <v>488.42473706999999</v>
      </c>
      <c r="R25" s="411">
        <f>'[9]R16 SO External Rev'!$R$25</f>
        <v>652.66663860000006</v>
      </c>
      <c r="S25" s="411">
        <f>'[9]R16 SO External Rev'!$S$25</f>
        <v>666.09</v>
      </c>
      <c r="U25" s="312"/>
    </row>
    <row r="26" spans="1:33">
      <c r="A26" s="459" t="s">
        <v>568</v>
      </c>
      <c r="B26" s="459"/>
      <c r="C26" s="459"/>
      <c r="D26" s="459"/>
      <c r="E26" s="265" t="s">
        <v>1</v>
      </c>
      <c r="F26" s="566">
        <f>'[9]R16 SO External Rev'!$F$26</f>
        <v>-0.60762490000000002</v>
      </c>
      <c r="G26" s="566">
        <f>'[9]R16 SO External Rev'!$G$26</f>
        <v>-0.60762490000000002</v>
      </c>
      <c r="H26" s="569"/>
      <c r="I26" s="566">
        <f>'[9]R16 SO External Rev'!$I$26</f>
        <v>0</v>
      </c>
      <c r="J26" s="566">
        <f>'[9]R16 SO External Rev'!$J$26</f>
        <v>-2.6634660000000001E-2</v>
      </c>
      <c r="K26" s="573"/>
      <c r="L26" s="566">
        <f>'[9]R16 SO External Rev'!$L$26</f>
        <v>0</v>
      </c>
      <c r="M26" s="566">
        <f>'[9]R16 SO External Rev'!$M$26</f>
        <v>0</v>
      </c>
      <c r="N26" s="567"/>
      <c r="O26" s="566">
        <f>'[9]R16 SO External Rev'!$O$26</f>
        <v>0</v>
      </c>
      <c r="P26" s="566">
        <f>'[9]R16 SO External Rev'!$P$26</f>
        <v>0</v>
      </c>
      <c r="Q26" s="567"/>
      <c r="R26" s="566">
        <f>'[9]R16 SO External Rev'!$R$26</f>
        <v>0</v>
      </c>
      <c r="S26" s="566">
        <f>'[9]R16 SO External Rev'!$S$26</f>
        <v>0</v>
      </c>
      <c r="U26" s="312"/>
    </row>
    <row r="27" spans="1:33">
      <c r="A27" s="459" t="s">
        <v>376</v>
      </c>
      <c r="B27" s="459"/>
      <c r="C27" s="459"/>
      <c r="D27" s="459" t="s">
        <v>699</v>
      </c>
      <c r="E27" s="265" t="s">
        <v>1</v>
      </c>
      <c r="F27" s="324">
        <f>SUM(F158:F168)</f>
        <v>0.30118681000000003</v>
      </c>
      <c r="G27" s="324">
        <f>F27</f>
        <v>0.30118681000000003</v>
      </c>
      <c r="H27" s="403"/>
      <c r="I27" s="324">
        <f>SUM(I158:I168)</f>
        <v>0</v>
      </c>
      <c r="J27" s="324">
        <f>I27</f>
        <v>0</v>
      </c>
      <c r="K27" s="323"/>
      <c r="L27" s="324">
        <f>SUM(L158:L168)</f>
        <v>0</v>
      </c>
      <c r="M27" s="324">
        <f>L27</f>
        <v>0</v>
      </c>
      <c r="O27" s="324">
        <f>SUM(O158:O168)</f>
        <v>2.5323086000000035</v>
      </c>
      <c r="P27" s="324">
        <f>O27</f>
        <v>2.5323086000000035</v>
      </c>
      <c r="R27" s="324">
        <f>SUM(R158:R168)</f>
        <v>0</v>
      </c>
      <c r="S27" s="324">
        <f>R27</f>
        <v>0</v>
      </c>
      <c r="U27" s="312"/>
    </row>
    <row r="28" spans="1:33" s="403" customFormat="1">
      <c r="A28" s="459" t="s">
        <v>378</v>
      </c>
      <c r="B28" s="459"/>
      <c r="C28" s="459"/>
      <c r="D28" s="459" t="s">
        <v>379</v>
      </c>
      <c r="E28" s="265" t="s">
        <v>1</v>
      </c>
      <c r="F28" s="324">
        <f>F122</f>
        <v>0</v>
      </c>
      <c r="G28" s="324">
        <f>G122</f>
        <v>0</v>
      </c>
      <c r="I28" s="324">
        <f>I122</f>
        <v>0</v>
      </c>
      <c r="J28" s="324">
        <f>J122</f>
        <v>0</v>
      </c>
      <c r="L28" s="324">
        <f>L122</f>
        <v>0</v>
      </c>
      <c r="M28" s="324">
        <f>M122</f>
        <v>0</v>
      </c>
      <c r="O28" s="324">
        <f>O122</f>
        <v>0</v>
      </c>
      <c r="P28" s="324">
        <f>P122</f>
        <v>0</v>
      </c>
      <c r="R28" s="324">
        <f>R122</f>
        <v>0</v>
      </c>
      <c r="S28" s="324">
        <f>S122</f>
        <v>0</v>
      </c>
      <c r="U28" s="328"/>
    </row>
    <row r="29" spans="1:33" s="403" customFormat="1">
      <c r="A29" s="459" t="s">
        <v>380</v>
      </c>
      <c r="B29" s="459"/>
      <c r="C29" s="459"/>
      <c r="D29" s="459" t="s">
        <v>381</v>
      </c>
      <c r="E29" s="265" t="s">
        <v>1</v>
      </c>
      <c r="F29" s="324">
        <f>F95</f>
        <v>-50</v>
      </c>
      <c r="G29" s="324">
        <f>G95</f>
        <v>-50</v>
      </c>
      <c r="I29" s="324">
        <f>I95</f>
        <v>25</v>
      </c>
      <c r="J29" s="324">
        <f>J95</f>
        <v>22.059720550000009</v>
      </c>
      <c r="L29" s="324">
        <f>L95</f>
        <v>25</v>
      </c>
      <c r="M29" s="324">
        <f>M95</f>
        <v>25</v>
      </c>
      <c r="O29" s="324">
        <f>O95</f>
        <v>30</v>
      </c>
      <c r="P29" s="324">
        <f>P95</f>
        <v>30</v>
      </c>
      <c r="R29" s="324">
        <f>R95</f>
        <v>-30</v>
      </c>
      <c r="S29" s="324">
        <f>S95</f>
        <v>-30</v>
      </c>
      <c r="U29" s="328"/>
    </row>
    <row r="30" spans="1:33" s="403" customFormat="1">
      <c r="A30" s="459" t="s">
        <v>816</v>
      </c>
      <c r="B30" s="459"/>
      <c r="C30" s="459"/>
      <c r="D30" s="459" t="s">
        <v>817</v>
      </c>
      <c r="E30" s="265" t="s">
        <v>1</v>
      </c>
      <c r="F30" s="566">
        <f>'[9]R16 SO External Rev'!$F$30</f>
        <v>0</v>
      </c>
      <c r="G30" s="566">
        <f>'[9]R16 SO External Rev'!$G$30</f>
        <v>0</v>
      </c>
      <c r="H30" s="569"/>
      <c r="I30" s="566">
        <f>'[9]R16 SO External Rev'!$I$30</f>
        <v>0.498</v>
      </c>
      <c r="J30" s="566">
        <f>'[9]R16 SO External Rev'!$J$30</f>
        <v>0.401111</v>
      </c>
      <c r="K30" s="574"/>
      <c r="L30" s="566">
        <f>'[9]R16 SO External Rev'!$L$30</f>
        <v>0.82183985299999995</v>
      </c>
      <c r="M30" s="566">
        <f>'[9]R16 SO External Rev'!$M$30</f>
        <v>0.82484717000000007</v>
      </c>
      <c r="N30" s="569"/>
      <c r="O30" s="566">
        <f>'[9]R16 SO External Rev'!$O$30</f>
        <v>-0.26477200000000001</v>
      </c>
      <c r="P30" s="566">
        <f>'[9]R16 SO External Rev'!$P$30</f>
        <v>-0.19419</v>
      </c>
      <c r="Q30" s="569"/>
      <c r="R30" s="566">
        <f>'[9]R16 SO External Rev'!$R$30</f>
        <v>-6.6600000000000006E-2</v>
      </c>
      <c r="S30" s="566">
        <f>'[9]R16 SO External Rev'!$S$30</f>
        <v>-6.6600000000000006E-2</v>
      </c>
      <c r="U30" s="328"/>
      <c r="AG30" s="265"/>
    </row>
    <row r="31" spans="1:33" s="403" customFormat="1">
      <c r="A31" s="459" t="s">
        <v>818</v>
      </c>
      <c r="B31" s="459"/>
      <c r="C31" s="459"/>
      <c r="D31" s="459" t="s">
        <v>819</v>
      </c>
      <c r="E31" s="265" t="s">
        <v>1</v>
      </c>
      <c r="F31" s="186">
        <v>0</v>
      </c>
      <c r="G31" s="186">
        <v>0</v>
      </c>
      <c r="I31" s="186">
        <v>0</v>
      </c>
      <c r="J31" s="186">
        <v>0</v>
      </c>
      <c r="K31" s="322"/>
      <c r="L31" s="186">
        <v>0</v>
      </c>
      <c r="M31" s="186">
        <v>0</v>
      </c>
      <c r="O31" s="186">
        <v>0</v>
      </c>
      <c r="P31" s="186">
        <v>0</v>
      </c>
      <c r="R31" s="482">
        <v>0</v>
      </c>
      <c r="S31" s="186">
        <v>0</v>
      </c>
      <c r="U31" s="328"/>
      <c r="AG31" s="265"/>
    </row>
    <row r="32" spans="1:33" s="403" customFormat="1">
      <c r="A32" s="459" t="s">
        <v>820</v>
      </c>
      <c r="B32" s="459"/>
      <c r="C32" s="459"/>
      <c r="D32" s="459" t="s">
        <v>821</v>
      </c>
      <c r="E32" s="265" t="s">
        <v>1</v>
      </c>
      <c r="F32" s="324">
        <f>F124</f>
        <v>0</v>
      </c>
      <c r="G32" s="324">
        <f>G124</f>
        <v>0</v>
      </c>
      <c r="I32" s="324">
        <f>I124</f>
        <v>0</v>
      </c>
      <c r="J32" s="324">
        <f>J124</f>
        <v>0</v>
      </c>
      <c r="L32" s="324">
        <f>L124</f>
        <v>0</v>
      </c>
      <c r="M32" s="324">
        <f>M124</f>
        <v>0</v>
      </c>
      <c r="O32" s="324">
        <f>O124</f>
        <v>0</v>
      </c>
      <c r="P32" s="324">
        <f>P124</f>
        <v>0.47206485999999998</v>
      </c>
      <c r="R32" s="324">
        <f>R124</f>
        <v>0</v>
      </c>
      <c r="S32" s="324">
        <f>S124</f>
        <v>0</v>
      </c>
      <c r="U32" s="328"/>
      <c r="AG32" s="265"/>
    </row>
    <row r="33" spans="1:33" s="403" customFormat="1">
      <c r="A33" s="459" t="s">
        <v>465</v>
      </c>
      <c r="B33" s="459"/>
      <c r="C33" s="265"/>
      <c r="D33" s="459" t="s">
        <v>365</v>
      </c>
      <c r="E33" s="265" t="s">
        <v>1</v>
      </c>
      <c r="F33" s="324">
        <f>F235</f>
        <v>1.3009299200000002</v>
      </c>
      <c r="G33" s="324">
        <f>F33</f>
        <v>1.3009299200000002</v>
      </c>
      <c r="I33" s="324">
        <f>I235</f>
        <v>1.3337284</v>
      </c>
      <c r="J33" s="324">
        <f>I33</f>
        <v>1.3337284</v>
      </c>
      <c r="K33" s="323"/>
      <c r="L33" s="324">
        <f>L235</f>
        <v>1.3818940000000002</v>
      </c>
      <c r="M33" s="324">
        <f>L33</f>
        <v>1.3818940000000002</v>
      </c>
      <c r="O33" s="324">
        <f>O235</f>
        <v>1.4123896784255876</v>
      </c>
      <c r="P33" s="324">
        <f>O33</f>
        <v>1.4123896784255876</v>
      </c>
      <c r="R33" s="324">
        <f>R235</f>
        <v>1.3945849081619011</v>
      </c>
      <c r="S33" s="324">
        <f>R33</f>
        <v>1.3945849081619011</v>
      </c>
      <c r="U33" s="332"/>
      <c r="V33" s="332"/>
      <c r="W33" s="328"/>
      <c r="X33" s="332"/>
      <c r="Y33" s="332"/>
      <c r="Z33" s="328"/>
      <c r="AA33" s="332"/>
      <c r="AB33" s="332"/>
      <c r="AC33" s="328"/>
      <c r="AD33" s="332"/>
      <c r="AE33" s="332"/>
      <c r="AF33" s="328"/>
      <c r="AG33" s="265"/>
    </row>
    <row r="34" spans="1:33" s="403" customFormat="1">
      <c r="A34" s="459" t="s">
        <v>822</v>
      </c>
      <c r="B34" s="459"/>
      <c r="C34" s="459"/>
      <c r="D34" s="459" t="s">
        <v>464</v>
      </c>
      <c r="E34" s="265" t="s">
        <v>1</v>
      </c>
      <c r="F34" s="483"/>
      <c r="G34" s="324">
        <f>G206</f>
        <v>0</v>
      </c>
      <c r="I34" s="324">
        <f t="shared" ref="I34:S34" si="0">I206</f>
        <v>0</v>
      </c>
      <c r="J34" s="324">
        <f t="shared" si="0"/>
        <v>0</v>
      </c>
      <c r="K34" s="322"/>
      <c r="L34" s="324">
        <f t="shared" si="0"/>
        <v>0</v>
      </c>
      <c r="M34" s="324">
        <f t="shared" si="0"/>
        <v>-0.95193300000000003</v>
      </c>
      <c r="N34" s="322"/>
      <c r="O34" s="324">
        <f t="shared" si="0"/>
        <v>0</v>
      </c>
      <c r="P34" s="324">
        <f t="shared" si="0"/>
        <v>-1.4115401700000001</v>
      </c>
      <c r="Q34" s="322"/>
      <c r="R34" s="324">
        <f t="shared" si="0"/>
        <v>0</v>
      </c>
      <c r="S34" s="324">
        <f t="shared" si="0"/>
        <v>0</v>
      </c>
      <c r="T34" s="492"/>
      <c r="U34" s="332"/>
      <c r="V34" s="332"/>
      <c r="W34" s="328"/>
      <c r="X34" s="332"/>
      <c r="Y34" s="332"/>
      <c r="Z34" s="328"/>
      <c r="AA34" s="332"/>
      <c r="AB34" s="332"/>
      <c r="AC34" s="328"/>
      <c r="AD34" s="332"/>
      <c r="AE34" s="332"/>
      <c r="AF34" s="328"/>
      <c r="AG34" s="265"/>
    </row>
    <row r="35" spans="1:33" s="403" customFormat="1">
      <c r="A35" s="459" t="s">
        <v>569</v>
      </c>
      <c r="B35" s="459"/>
      <c r="C35" s="459"/>
      <c r="D35" s="459" t="s">
        <v>570</v>
      </c>
      <c r="E35" s="265" t="s">
        <v>1</v>
      </c>
      <c r="F35" s="182"/>
      <c r="I35" s="493"/>
      <c r="J35" s="493"/>
      <c r="K35" s="323"/>
      <c r="L35" s="411">
        <f>'[9]R16 SO External Rev'!$L$35</f>
        <v>29.960526479999999</v>
      </c>
      <c r="M35" s="411">
        <f>'[9]R16 SO External Rev'!$M$35</f>
        <v>30.933521599999999</v>
      </c>
      <c r="N35" s="402"/>
      <c r="O35" s="411">
        <f>'[9]R16 SO External Rev'!$O$35</f>
        <v>30.744157559999998</v>
      </c>
      <c r="P35" s="411">
        <f>'[9]R16 SO External Rev'!$P$35</f>
        <v>30.744158169999999</v>
      </c>
      <c r="Q35" s="402"/>
      <c r="R35" s="411">
        <f>'[9]R16 SO External Rev'!$R$35</f>
        <v>117.47402627</v>
      </c>
      <c r="S35" s="411">
        <f>'[9]R16 SO External Rev'!$S$35</f>
        <v>118.34102627</v>
      </c>
      <c r="U35" s="332"/>
      <c r="V35" s="332"/>
      <c r="W35" s="328"/>
      <c r="X35" s="332"/>
      <c r="Y35" s="332"/>
      <c r="Z35" s="328"/>
      <c r="AA35" s="332"/>
      <c r="AB35" s="332"/>
      <c r="AC35" s="328"/>
      <c r="AD35" s="332"/>
      <c r="AE35" s="332"/>
      <c r="AF35" s="328"/>
      <c r="AG35" s="265"/>
    </row>
    <row r="36" spans="1:33" s="183" customFormat="1">
      <c r="A36" s="475" t="s">
        <v>382</v>
      </c>
      <c r="B36" s="475"/>
      <c r="C36" s="475"/>
      <c r="D36" s="475" t="s">
        <v>383</v>
      </c>
      <c r="E36" s="480" t="s">
        <v>1</v>
      </c>
      <c r="F36" s="326">
        <f>SUM(F24:F35)</f>
        <v>1575.45969083</v>
      </c>
      <c r="G36" s="326">
        <f>SUM(G24:G35)</f>
        <v>1575.45969083</v>
      </c>
      <c r="I36" s="326">
        <f>SUM(I24:I35)</f>
        <v>894.0567284</v>
      </c>
      <c r="J36" s="401">
        <f>SUM(J24:J35)</f>
        <v>895.53163309000001</v>
      </c>
      <c r="K36" s="327"/>
      <c r="L36" s="326">
        <f>SUM(L24:L35)</f>
        <v>895.9824952351961</v>
      </c>
      <c r="M36" s="326">
        <f>SUM(M24:M35)</f>
        <v>902.69816276999995</v>
      </c>
      <c r="O36" s="326">
        <f>SUM(O24:O35)</f>
        <v>931.47756028697063</v>
      </c>
      <c r="P36" s="326">
        <f>SUM(P24:P35)</f>
        <v>930.07698785842558</v>
      </c>
      <c r="R36" s="326">
        <f>SUM(R24:R35)</f>
        <v>1088.6790408781619</v>
      </c>
      <c r="S36" s="326">
        <f>SUM(S24:S35)</f>
        <v>1101.2860111781617</v>
      </c>
      <c r="U36" s="479"/>
      <c r="V36" s="479"/>
      <c r="W36" s="462"/>
      <c r="X36" s="479"/>
      <c r="Y36" s="479"/>
      <c r="Z36" s="462"/>
      <c r="AA36" s="479"/>
      <c r="AB36" s="479"/>
      <c r="AC36" s="462"/>
      <c r="AD36" s="479"/>
      <c r="AE36" s="479"/>
      <c r="AF36" s="462"/>
      <c r="AG36" s="480"/>
    </row>
    <row r="37" spans="1:33" s="480" customFormat="1">
      <c r="A37" s="475"/>
      <c r="B37" s="475"/>
      <c r="C37" s="475"/>
      <c r="D37" s="475"/>
      <c r="F37" s="479"/>
      <c r="G37" s="479"/>
      <c r="I37" s="479"/>
      <c r="J37" s="460"/>
      <c r="K37" s="460"/>
      <c r="L37" s="479"/>
      <c r="M37" s="479"/>
      <c r="O37" s="479"/>
      <c r="P37" s="479"/>
      <c r="R37" s="479"/>
      <c r="S37" s="479"/>
      <c r="U37" s="479"/>
      <c r="V37" s="479"/>
      <c r="X37" s="479"/>
      <c r="Y37" s="479"/>
      <c r="AA37" s="479"/>
      <c r="AB37" s="479"/>
      <c r="AD37" s="479"/>
      <c r="AE37" s="479"/>
    </row>
    <row r="38" spans="1:33" ht="14.5">
      <c r="B38" s="315"/>
      <c r="C38" s="315"/>
      <c r="D38" s="315"/>
      <c r="E38" s="315"/>
      <c r="F38" s="261"/>
      <c r="G38" s="261"/>
      <c r="H38" s="315"/>
      <c r="I38" s="261"/>
      <c r="J38" s="261"/>
      <c r="K38" s="530"/>
      <c r="L38" s="261"/>
      <c r="M38" s="261"/>
      <c r="O38" s="261"/>
      <c r="P38" s="441"/>
      <c r="R38" s="261"/>
      <c r="S38" s="261"/>
      <c r="U38" s="261"/>
      <c r="V38" s="261"/>
      <c r="X38" s="261"/>
      <c r="Y38" s="261"/>
      <c r="AA38" s="261"/>
      <c r="AB38" s="261"/>
      <c r="AD38" s="261"/>
      <c r="AE38" s="261"/>
      <c r="AG38" s="302"/>
    </row>
    <row r="39" spans="1:33" ht="14.5">
      <c r="A39" s="481" t="s">
        <v>834</v>
      </c>
      <c r="B39" s="315"/>
      <c r="C39" s="315"/>
      <c r="D39" s="315"/>
      <c r="E39" s="315"/>
      <c r="F39" s="261"/>
      <c r="G39" s="261"/>
      <c r="H39" s="315"/>
      <c r="I39" s="261"/>
      <c r="J39" s="261"/>
      <c r="K39" s="530"/>
      <c r="L39" s="261"/>
      <c r="M39" s="261"/>
      <c r="O39" s="261"/>
      <c r="P39" s="441"/>
      <c r="R39" s="261"/>
      <c r="S39" s="261"/>
      <c r="U39" s="261"/>
      <c r="V39" s="261"/>
      <c r="X39" s="644"/>
      <c r="Y39" s="644"/>
      <c r="AA39" s="261"/>
      <c r="AB39" s="261"/>
      <c r="AD39" s="261"/>
      <c r="AE39" s="261"/>
      <c r="AG39" s="302"/>
    </row>
    <row r="40" spans="1:33" ht="14.5">
      <c r="A40" s="314"/>
      <c r="B40" s="315"/>
      <c r="C40" s="315"/>
      <c r="D40" s="315"/>
      <c r="E40" s="315"/>
      <c r="F40" s="643"/>
      <c r="G40" s="643"/>
      <c r="H40" s="330"/>
      <c r="I40" s="644"/>
      <c r="J40" s="644"/>
      <c r="K40" s="530"/>
      <c r="L40" s="644"/>
      <c r="M40" s="644"/>
      <c r="N40" s="312"/>
      <c r="O40" s="644"/>
      <c r="P40" s="644"/>
      <c r="Q40" s="312"/>
      <c r="R40" s="644"/>
      <c r="S40" s="644"/>
      <c r="U40" s="642" t="s">
        <v>553</v>
      </c>
      <c r="V40" s="642"/>
      <c r="X40" s="530"/>
      <c r="Y40" s="530"/>
      <c r="AB40" s="530"/>
      <c r="AC40" s="530"/>
      <c r="AE40" s="530"/>
      <c r="AF40" s="530"/>
      <c r="AG40" s="302"/>
    </row>
    <row r="41" spans="1:33" ht="14.5">
      <c r="A41" s="315"/>
      <c r="B41" s="315"/>
      <c r="C41" s="315"/>
      <c r="D41" s="315"/>
      <c r="E41" s="315"/>
      <c r="F41" s="530"/>
      <c r="G41" s="530"/>
      <c r="H41" s="312"/>
      <c r="I41" s="530"/>
      <c r="J41" s="530"/>
      <c r="K41" s="530"/>
      <c r="L41" s="530"/>
      <c r="M41" s="530"/>
      <c r="N41" s="312"/>
      <c r="O41" s="530"/>
      <c r="P41" s="530"/>
      <c r="Q41" s="312"/>
      <c r="R41" s="530"/>
      <c r="S41" s="530"/>
      <c r="U41" s="138" t="s">
        <v>562</v>
      </c>
      <c r="V41" s="138" t="s">
        <v>563</v>
      </c>
      <c r="X41" s="332"/>
      <c r="Y41" s="332"/>
      <c r="AB41" s="332"/>
      <c r="AC41" s="332"/>
      <c r="AE41" s="332"/>
      <c r="AF41" s="332"/>
      <c r="AG41" s="302"/>
    </row>
    <row r="42" spans="1:33">
      <c r="A42" s="459" t="s">
        <v>567</v>
      </c>
      <c r="B42" s="320"/>
      <c r="C42" s="320"/>
      <c r="D42" s="320" t="s">
        <v>373</v>
      </c>
      <c r="E42" s="403" t="s">
        <v>1</v>
      </c>
      <c r="F42" s="332"/>
      <c r="G42" s="332"/>
      <c r="H42" s="328"/>
      <c r="I42" s="332"/>
      <c r="J42" s="332"/>
      <c r="K42" s="332"/>
      <c r="L42" s="332"/>
      <c r="M42" s="332"/>
      <c r="N42" s="312"/>
      <c r="O42" s="332"/>
      <c r="P42" s="332"/>
      <c r="Q42" s="312"/>
      <c r="R42" s="332"/>
      <c r="S42" s="332"/>
      <c r="U42" s="565"/>
      <c r="V42" s="565"/>
      <c r="X42" s="332"/>
      <c r="Y42" s="332"/>
      <c r="AB42" s="332"/>
      <c r="AC42" s="332"/>
      <c r="AE42" s="332"/>
      <c r="AF42" s="332"/>
      <c r="AG42" s="302"/>
    </row>
    <row r="43" spans="1:33">
      <c r="A43" s="459" t="s">
        <v>374</v>
      </c>
      <c r="B43" s="320"/>
      <c r="C43" s="320"/>
      <c r="D43" s="320" t="s">
        <v>375</v>
      </c>
      <c r="E43" s="403" t="s">
        <v>1</v>
      </c>
      <c r="F43" s="332"/>
      <c r="G43" s="332"/>
      <c r="H43" s="328"/>
      <c r="I43" s="332"/>
      <c r="J43" s="332"/>
      <c r="K43" s="332"/>
      <c r="L43" s="332"/>
      <c r="M43" s="332"/>
      <c r="N43" s="312"/>
      <c r="O43" s="332"/>
      <c r="P43" s="332"/>
      <c r="Q43" s="312"/>
      <c r="R43" s="332"/>
      <c r="S43" s="332"/>
      <c r="U43" s="565"/>
      <c r="V43" s="565"/>
      <c r="X43" s="485"/>
      <c r="Y43" s="332"/>
      <c r="AB43" s="485"/>
      <c r="AC43" s="332"/>
      <c r="AE43" s="485"/>
      <c r="AF43" s="332"/>
      <c r="AG43" s="302"/>
    </row>
    <row r="44" spans="1:33">
      <c r="A44" s="459" t="s">
        <v>568</v>
      </c>
      <c r="B44" s="459"/>
      <c r="C44" s="459"/>
      <c r="D44" s="459"/>
      <c r="E44" s="265" t="s">
        <v>1</v>
      </c>
      <c r="F44" s="332"/>
      <c r="G44" s="332"/>
      <c r="H44" s="328"/>
      <c r="I44" s="332"/>
      <c r="J44" s="332"/>
      <c r="K44" s="332"/>
      <c r="L44" s="332"/>
      <c r="M44" s="332"/>
      <c r="N44" s="312"/>
      <c r="O44" s="332"/>
      <c r="P44" s="484"/>
      <c r="Q44" s="312"/>
      <c r="R44" s="485"/>
      <c r="S44" s="332"/>
      <c r="T44" s="302"/>
      <c r="U44" s="565"/>
      <c r="V44" s="565"/>
      <c r="X44" s="485"/>
      <c r="Y44" s="332"/>
      <c r="AB44" s="485"/>
      <c r="AC44" s="332"/>
      <c r="AE44" s="485"/>
      <c r="AF44" s="332"/>
      <c r="AG44" s="302"/>
    </row>
    <row r="45" spans="1:33">
      <c r="A45" s="459" t="s">
        <v>376</v>
      </c>
      <c r="B45" s="320"/>
      <c r="C45" s="320"/>
      <c r="D45" s="320" t="s">
        <v>699</v>
      </c>
      <c r="E45" s="403" t="s">
        <v>1</v>
      </c>
      <c r="F45" s="332"/>
      <c r="G45" s="332"/>
      <c r="H45" s="328"/>
      <c r="I45" s="332"/>
      <c r="J45" s="332"/>
      <c r="K45" s="332"/>
      <c r="L45" s="332"/>
      <c r="M45" s="332"/>
      <c r="N45" s="312"/>
      <c r="O45" s="332"/>
      <c r="P45" s="484"/>
      <c r="Q45" s="312"/>
      <c r="R45" s="324">
        <f>SUM(R158:R168)</f>
        <v>0</v>
      </c>
      <c r="S45" s="332"/>
      <c r="U45" s="324">
        <f>SUM(U158:U168)</f>
        <v>0</v>
      </c>
      <c r="V45" s="324">
        <f>U45</f>
        <v>0</v>
      </c>
      <c r="X45" s="485"/>
      <c r="Y45" s="332"/>
      <c r="AB45" s="485"/>
      <c r="AC45" s="332"/>
      <c r="AE45" s="485"/>
      <c r="AF45" s="332"/>
      <c r="AG45" s="302"/>
    </row>
    <row r="46" spans="1:33" s="403" customFormat="1">
      <c r="A46" s="459" t="s">
        <v>378</v>
      </c>
      <c r="B46" s="320"/>
      <c r="C46" s="320"/>
      <c r="D46" s="320" t="s">
        <v>379</v>
      </c>
      <c r="E46" s="403" t="s">
        <v>1</v>
      </c>
      <c r="F46" s="332"/>
      <c r="G46" s="332"/>
      <c r="H46" s="328"/>
      <c r="I46" s="332"/>
      <c r="J46" s="332"/>
      <c r="K46" s="332"/>
      <c r="L46" s="332"/>
      <c r="M46" s="332"/>
      <c r="N46" s="328"/>
      <c r="O46" s="332"/>
      <c r="P46" s="484"/>
      <c r="Q46" s="328"/>
      <c r="R46" s="324">
        <f>R136</f>
        <v>0</v>
      </c>
      <c r="S46" s="332"/>
      <c r="U46" s="324">
        <f>U136</f>
        <v>0</v>
      </c>
      <c r="V46" s="324">
        <f>V136</f>
        <v>0</v>
      </c>
      <c r="X46" s="332"/>
      <c r="Y46" s="332"/>
      <c r="AB46" s="332"/>
      <c r="AC46" s="332"/>
      <c r="AE46" s="332"/>
      <c r="AF46" s="332"/>
      <c r="AG46" s="265"/>
    </row>
    <row r="47" spans="1:33" s="403" customFormat="1">
      <c r="A47" s="459" t="s">
        <v>380</v>
      </c>
      <c r="B47" s="320"/>
      <c r="C47" s="320"/>
      <c r="D47" s="320" t="s">
        <v>381</v>
      </c>
      <c r="E47" s="403" t="s">
        <v>1</v>
      </c>
      <c r="F47" s="332"/>
      <c r="G47" s="332"/>
      <c r="H47" s="328"/>
      <c r="I47" s="332"/>
      <c r="J47" s="486"/>
      <c r="K47" s="332"/>
      <c r="L47" s="332"/>
      <c r="M47" s="332"/>
      <c r="N47" s="328"/>
      <c r="O47" s="332"/>
      <c r="P47" s="484"/>
      <c r="Q47" s="328"/>
      <c r="R47" s="324">
        <f>R103</f>
        <v>0</v>
      </c>
      <c r="S47" s="332"/>
      <c r="U47" s="324">
        <f>U103</f>
        <v>0</v>
      </c>
      <c r="V47" s="324">
        <f>V103</f>
        <v>0</v>
      </c>
      <c r="X47" s="332"/>
      <c r="Y47" s="332"/>
      <c r="AB47" s="332"/>
      <c r="AC47" s="332"/>
      <c r="AE47" s="332"/>
      <c r="AF47" s="332"/>
      <c r="AG47" s="265"/>
    </row>
    <row r="48" spans="1:33" s="265" customFormat="1">
      <c r="A48" s="459" t="s">
        <v>765</v>
      </c>
      <c r="B48" s="459"/>
      <c r="C48" s="459"/>
      <c r="D48" s="459" t="s">
        <v>766</v>
      </c>
      <c r="E48" s="265" t="s">
        <v>1</v>
      </c>
      <c r="F48" s="332"/>
      <c r="G48" s="332"/>
      <c r="H48" s="328"/>
      <c r="I48" s="332"/>
      <c r="J48" s="486"/>
      <c r="K48" s="332"/>
      <c r="L48" s="332"/>
      <c r="M48" s="332"/>
      <c r="N48" s="328"/>
      <c r="O48" s="332"/>
      <c r="P48" s="484"/>
      <c r="Q48" s="328"/>
      <c r="R48" s="324">
        <f>R175</f>
        <v>0</v>
      </c>
      <c r="S48" s="332"/>
      <c r="T48" s="403"/>
      <c r="U48" s="324">
        <f>U175</f>
        <v>0</v>
      </c>
      <c r="V48" s="324">
        <f>V175</f>
        <v>0</v>
      </c>
      <c r="W48" s="403"/>
      <c r="X48" s="332"/>
      <c r="Y48" s="332"/>
      <c r="Z48" s="403"/>
      <c r="AA48" s="403"/>
      <c r="AB48" s="332"/>
      <c r="AC48" s="332"/>
      <c r="AD48" s="403"/>
      <c r="AE48" s="332"/>
      <c r="AF48" s="332"/>
    </row>
    <row r="49" spans="1:33" s="403" customFormat="1">
      <c r="A49" s="459" t="s">
        <v>768</v>
      </c>
      <c r="B49" s="320"/>
      <c r="C49" s="320"/>
      <c r="D49" s="320" t="s">
        <v>767</v>
      </c>
      <c r="E49" s="403" t="s">
        <v>1</v>
      </c>
      <c r="F49" s="332"/>
      <c r="G49" s="332"/>
      <c r="H49" s="328"/>
      <c r="I49" s="332"/>
      <c r="J49" s="486"/>
      <c r="K49" s="332"/>
      <c r="L49" s="332"/>
      <c r="M49" s="332"/>
      <c r="N49" s="328"/>
      <c r="O49" s="332"/>
      <c r="P49" s="484"/>
      <c r="Q49" s="328"/>
      <c r="R49" s="324">
        <f>R191</f>
        <v>0</v>
      </c>
      <c r="S49" s="332"/>
      <c r="U49" s="324">
        <f>U191</f>
        <v>0</v>
      </c>
      <c r="V49" s="324">
        <f>V191</f>
        <v>0</v>
      </c>
      <c r="X49" s="462"/>
      <c r="Y49" s="479"/>
      <c r="AB49" s="462"/>
      <c r="AC49" s="479"/>
      <c r="AE49" s="462"/>
      <c r="AF49" s="479"/>
      <c r="AG49" s="265"/>
    </row>
    <row r="50" spans="1:33" s="403" customFormat="1">
      <c r="A50" s="459" t="s">
        <v>770</v>
      </c>
      <c r="B50" s="320"/>
      <c r="C50" s="320"/>
      <c r="D50" s="320" t="s">
        <v>769</v>
      </c>
      <c r="E50" s="403" t="s">
        <v>1</v>
      </c>
      <c r="F50" s="332"/>
      <c r="G50" s="332"/>
      <c r="H50" s="328"/>
      <c r="I50" s="332"/>
      <c r="J50" s="332"/>
      <c r="K50" s="332"/>
      <c r="L50" s="332"/>
      <c r="M50" s="332"/>
      <c r="N50" s="328"/>
      <c r="O50" s="332"/>
      <c r="P50" s="332"/>
      <c r="Q50" s="328"/>
      <c r="R50" s="324">
        <f>R207</f>
        <v>-1.9419491838099063E-2</v>
      </c>
      <c r="S50" s="332"/>
      <c r="U50" s="324">
        <f>U207</f>
        <v>2.8819531490267658</v>
      </c>
      <c r="V50" s="324">
        <f>V207</f>
        <v>2.8819531490267658</v>
      </c>
      <c r="X50" s="462"/>
      <c r="Y50" s="479"/>
      <c r="AB50" s="462"/>
      <c r="AC50" s="479"/>
      <c r="AE50" s="462"/>
      <c r="AF50" s="479"/>
      <c r="AG50" s="265"/>
    </row>
    <row r="51" spans="1:33" s="403" customFormat="1" ht="14.5">
      <c r="A51" s="459" t="s">
        <v>569</v>
      </c>
      <c r="B51" s="459"/>
      <c r="C51" s="459"/>
      <c r="D51" s="459" t="s">
        <v>570</v>
      </c>
      <c r="E51" s="265" t="s">
        <v>1</v>
      </c>
      <c r="F51" s="328"/>
      <c r="G51" s="328"/>
      <c r="H51" s="328"/>
      <c r="I51" s="332"/>
      <c r="J51" s="332"/>
      <c r="K51" s="332"/>
      <c r="L51" s="332"/>
      <c r="M51" s="332"/>
      <c r="N51" s="328"/>
      <c r="O51" s="332"/>
      <c r="P51" s="332"/>
      <c r="Q51" s="328"/>
      <c r="R51" s="411">
        <f>'[9]R16 SO External Rev'!$R$51</f>
        <v>117.47402627</v>
      </c>
      <c r="S51" s="332"/>
      <c r="U51" s="565"/>
      <c r="V51" s="565"/>
      <c r="X51" s="462"/>
      <c r="Y51" s="479"/>
      <c r="AA51" s="261"/>
      <c r="AB51" s="261"/>
      <c r="AC51" s="402"/>
      <c r="AD51" s="261"/>
      <c r="AE51" s="261"/>
      <c r="AF51" s="479"/>
      <c r="AG51" s="265"/>
    </row>
    <row r="52" spans="1:33" s="183" customFormat="1" ht="14.5">
      <c r="A52" s="475" t="s">
        <v>382</v>
      </c>
      <c r="B52" s="325"/>
      <c r="C52" s="325"/>
      <c r="D52" s="325" t="s">
        <v>383</v>
      </c>
      <c r="E52" s="183" t="s">
        <v>1</v>
      </c>
      <c r="F52" s="479"/>
      <c r="G52" s="479"/>
      <c r="H52" s="462"/>
      <c r="I52" s="479"/>
      <c r="J52" s="460"/>
      <c r="K52" s="460"/>
      <c r="L52" s="479"/>
      <c r="M52" s="479"/>
      <c r="N52" s="462"/>
      <c r="O52" s="479"/>
      <c r="P52" s="479"/>
      <c r="Q52" s="462"/>
      <c r="R52" s="326">
        <f>SUM(R42:R51)</f>
        <v>117.4546067781619</v>
      </c>
      <c r="S52" s="479"/>
      <c r="U52" s="326">
        <f>SUM(U42:U51)</f>
        <v>2.8819531490267658</v>
      </c>
      <c r="V52" s="326">
        <f>SUM(V42:V51)</f>
        <v>2.8819531490267658</v>
      </c>
      <c r="X52" s="462"/>
      <c r="Y52" s="479"/>
      <c r="Z52" s="479"/>
      <c r="AA52" s="261"/>
      <c r="AB52" s="261"/>
      <c r="AC52" s="402"/>
      <c r="AD52" s="261"/>
      <c r="AE52" s="261"/>
      <c r="AF52" s="462"/>
      <c r="AG52" s="480"/>
    </row>
    <row r="53" spans="1:33" s="462" customFormat="1" ht="14.5">
      <c r="A53" s="461"/>
      <c r="B53" s="461"/>
      <c r="C53" s="461"/>
      <c r="D53" s="461"/>
      <c r="F53" s="479"/>
      <c r="G53" s="479"/>
      <c r="I53" s="479"/>
      <c r="J53" s="460"/>
      <c r="K53" s="460"/>
      <c r="L53" s="479"/>
      <c r="M53" s="479"/>
      <c r="O53" s="479"/>
      <c r="P53" s="479"/>
      <c r="R53" s="479"/>
      <c r="S53" s="479"/>
      <c r="U53" s="463"/>
      <c r="V53" s="463"/>
      <c r="X53" s="261"/>
      <c r="Y53" s="261"/>
      <c r="AA53" s="261"/>
      <c r="AB53" s="261"/>
      <c r="AC53" s="402"/>
      <c r="AD53" s="261"/>
      <c r="AE53" s="261"/>
    </row>
    <row r="54" spans="1:33" ht="14.5">
      <c r="A54" s="481" t="s">
        <v>919</v>
      </c>
      <c r="B54" s="315"/>
      <c r="C54" s="315"/>
      <c r="D54" s="315"/>
      <c r="E54" s="315"/>
      <c r="F54" s="261"/>
      <c r="G54" s="261"/>
      <c r="H54" s="315"/>
      <c r="I54" s="261"/>
      <c r="J54" s="261"/>
      <c r="K54" s="530"/>
      <c r="L54" s="261"/>
      <c r="M54" s="261"/>
      <c r="O54" s="261"/>
      <c r="P54" s="441"/>
      <c r="R54" s="261"/>
      <c r="S54" s="261"/>
      <c r="U54" s="261"/>
      <c r="V54" s="261"/>
      <c r="X54" s="261"/>
      <c r="Y54" s="261"/>
      <c r="AA54" s="261"/>
      <c r="AB54" s="261"/>
      <c r="AD54" s="261"/>
      <c r="AE54" s="261"/>
      <c r="AG54" s="302"/>
    </row>
    <row r="55" spans="1:33" ht="14.5">
      <c r="A55" s="314"/>
      <c r="B55" s="315"/>
      <c r="C55" s="315"/>
      <c r="D55" s="315"/>
      <c r="E55" s="315"/>
      <c r="F55" s="643"/>
      <c r="G55" s="643"/>
      <c r="H55" s="330"/>
      <c r="I55" s="644"/>
      <c r="J55" s="644"/>
      <c r="K55" s="530"/>
      <c r="L55" s="644"/>
      <c r="M55" s="644"/>
      <c r="N55" s="312"/>
      <c r="O55" s="644"/>
      <c r="P55" s="644"/>
      <c r="Q55" s="312"/>
      <c r="R55" s="644"/>
      <c r="S55" s="644"/>
      <c r="U55" s="644"/>
      <c r="V55" s="644"/>
      <c r="X55" s="642" t="s">
        <v>554</v>
      </c>
      <c r="Y55" s="642"/>
      <c r="AA55" s="642"/>
      <c r="AB55" s="642"/>
      <c r="AD55" s="642"/>
      <c r="AE55" s="642"/>
      <c r="AG55" s="302"/>
    </row>
    <row r="56" spans="1:33" ht="14.5">
      <c r="A56" s="315"/>
      <c r="B56" s="315"/>
      <c r="C56" s="315"/>
      <c r="D56" s="315"/>
      <c r="E56" s="315"/>
      <c r="F56" s="530"/>
      <c r="G56" s="530"/>
      <c r="H56" s="312"/>
      <c r="I56" s="530"/>
      <c r="J56" s="530"/>
      <c r="K56" s="530"/>
      <c r="L56" s="530"/>
      <c r="M56" s="530"/>
      <c r="N56" s="312"/>
      <c r="O56" s="530"/>
      <c r="P56" s="530"/>
      <c r="Q56" s="312"/>
      <c r="R56" s="530"/>
      <c r="S56" s="530"/>
      <c r="U56" s="530"/>
      <c r="V56" s="530"/>
      <c r="X56" s="138" t="s">
        <v>563</v>
      </c>
      <c r="Y56" s="138" t="s">
        <v>564</v>
      </c>
      <c r="AG56" s="302"/>
    </row>
    <row r="57" spans="1:33">
      <c r="A57" s="459" t="s">
        <v>567</v>
      </c>
      <c r="B57" s="320"/>
      <c r="C57" s="320"/>
      <c r="D57" s="320" t="s">
        <v>373</v>
      </c>
      <c r="E57" s="403" t="s">
        <v>1</v>
      </c>
      <c r="F57" s="332"/>
      <c r="G57" s="332"/>
      <c r="H57" s="328"/>
      <c r="I57" s="332"/>
      <c r="J57" s="332"/>
      <c r="K57" s="332"/>
      <c r="L57" s="332"/>
      <c r="M57" s="332"/>
      <c r="N57" s="312"/>
      <c r="O57" s="332"/>
      <c r="P57" s="332"/>
      <c r="Q57" s="312"/>
      <c r="R57" s="332"/>
      <c r="S57" s="332"/>
      <c r="U57" s="332"/>
      <c r="V57" s="332"/>
      <c r="X57" s="565"/>
      <c r="Y57" s="411"/>
      <c r="Z57" s="588"/>
      <c r="AG57" s="302"/>
    </row>
    <row r="58" spans="1:33">
      <c r="A58" s="459" t="s">
        <v>374</v>
      </c>
      <c r="B58" s="320"/>
      <c r="C58" s="320"/>
      <c r="D58" s="320" t="s">
        <v>375</v>
      </c>
      <c r="E58" s="403" t="s">
        <v>1</v>
      </c>
      <c r="F58" s="332"/>
      <c r="G58" s="332"/>
      <c r="H58" s="328"/>
      <c r="I58" s="332"/>
      <c r="J58" s="332"/>
      <c r="K58" s="332"/>
      <c r="L58" s="332"/>
      <c r="M58" s="332"/>
      <c r="N58" s="312"/>
      <c r="O58" s="332"/>
      <c r="P58" s="332"/>
      <c r="Q58" s="312"/>
      <c r="R58" s="332"/>
      <c r="S58" s="332"/>
      <c r="U58" s="332"/>
      <c r="V58" s="332"/>
      <c r="X58" s="565"/>
      <c r="Y58" s="411"/>
      <c r="Z58" s="588"/>
      <c r="AG58" s="302"/>
    </row>
    <row r="59" spans="1:33">
      <c r="A59" s="459" t="s">
        <v>568</v>
      </c>
      <c r="B59" s="459"/>
      <c r="C59" s="459"/>
      <c r="D59" s="459"/>
      <c r="E59" s="265" t="s">
        <v>1</v>
      </c>
      <c r="F59" s="332"/>
      <c r="G59" s="332"/>
      <c r="H59" s="328"/>
      <c r="I59" s="332"/>
      <c r="J59" s="332"/>
      <c r="K59" s="332"/>
      <c r="L59" s="332"/>
      <c r="M59" s="332"/>
      <c r="N59" s="312"/>
      <c r="O59" s="332"/>
      <c r="P59" s="484"/>
      <c r="Q59" s="312"/>
      <c r="R59" s="485"/>
      <c r="S59" s="332"/>
      <c r="T59" s="302"/>
      <c r="U59" s="485"/>
      <c r="V59" s="332"/>
      <c r="X59" s="565"/>
      <c r="Y59" s="565"/>
      <c r="Z59" s="588"/>
      <c r="AG59" s="302"/>
    </row>
    <row r="60" spans="1:33">
      <c r="A60" s="459" t="s">
        <v>376</v>
      </c>
      <c r="B60" s="320"/>
      <c r="C60" s="320"/>
      <c r="D60" s="320" t="s">
        <v>699</v>
      </c>
      <c r="E60" s="403" t="s">
        <v>1</v>
      </c>
      <c r="F60" s="332"/>
      <c r="G60" s="332"/>
      <c r="H60" s="328"/>
      <c r="I60" s="332"/>
      <c r="J60" s="332"/>
      <c r="K60" s="332"/>
      <c r="L60" s="332"/>
      <c r="M60" s="332"/>
      <c r="N60" s="312"/>
      <c r="O60" s="332"/>
      <c r="P60" s="484"/>
      <c r="Q60" s="312"/>
      <c r="R60" s="485"/>
      <c r="S60" s="332"/>
      <c r="U60" s="485"/>
      <c r="V60" s="332"/>
      <c r="X60" s="324">
        <f>SUM(X158:X168)</f>
        <v>0</v>
      </c>
      <c r="Y60" s="324">
        <f>X60</f>
        <v>0</v>
      </c>
      <c r="Z60" s="588"/>
      <c r="AG60" s="302"/>
    </row>
    <row r="61" spans="1:33" s="403" customFormat="1">
      <c r="A61" s="459" t="s">
        <v>378</v>
      </c>
      <c r="B61" s="320"/>
      <c r="C61" s="320"/>
      <c r="D61" s="320" t="s">
        <v>379</v>
      </c>
      <c r="E61" s="403" t="s">
        <v>1</v>
      </c>
      <c r="F61" s="332"/>
      <c r="G61" s="332"/>
      <c r="H61" s="328"/>
      <c r="I61" s="332"/>
      <c r="J61" s="332"/>
      <c r="K61" s="332"/>
      <c r="L61" s="332"/>
      <c r="M61" s="332"/>
      <c r="N61" s="328"/>
      <c r="O61" s="332"/>
      <c r="P61" s="484"/>
      <c r="Q61" s="328"/>
      <c r="R61" s="485"/>
      <c r="S61" s="332"/>
      <c r="U61" s="485"/>
      <c r="V61" s="332"/>
      <c r="X61" s="324">
        <f>X136</f>
        <v>0</v>
      </c>
      <c r="Y61" s="324">
        <f>Y136</f>
        <v>0</v>
      </c>
      <c r="Z61" s="588"/>
      <c r="AG61" s="265"/>
    </row>
    <row r="62" spans="1:33" s="403" customFormat="1">
      <c r="A62" s="459" t="s">
        <v>380</v>
      </c>
      <c r="B62" s="320"/>
      <c r="C62" s="320"/>
      <c r="D62" s="320" t="s">
        <v>381</v>
      </c>
      <c r="E62" s="403" t="s">
        <v>1</v>
      </c>
      <c r="F62" s="332"/>
      <c r="G62" s="332"/>
      <c r="H62" s="328"/>
      <c r="I62" s="332"/>
      <c r="J62" s="486"/>
      <c r="K62" s="332"/>
      <c r="L62" s="332"/>
      <c r="M62" s="332"/>
      <c r="N62" s="328"/>
      <c r="O62" s="332"/>
      <c r="P62" s="484"/>
      <c r="Q62" s="328"/>
      <c r="R62" s="332"/>
      <c r="S62" s="332"/>
      <c r="U62" s="332"/>
      <c r="V62" s="332"/>
      <c r="X62" s="324">
        <f>X106</f>
        <v>0</v>
      </c>
      <c r="Y62" s="324">
        <f>Y106</f>
        <v>0</v>
      </c>
      <c r="Z62" s="588"/>
      <c r="AG62" s="265"/>
    </row>
    <row r="63" spans="1:33" s="265" customFormat="1">
      <c r="A63" s="459" t="s">
        <v>765</v>
      </c>
      <c r="B63" s="459"/>
      <c r="C63" s="459"/>
      <c r="D63" s="459" t="s">
        <v>766</v>
      </c>
      <c r="E63" s="265" t="s">
        <v>1</v>
      </c>
      <c r="F63" s="332"/>
      <c r="G63" s="332"/>
      <c r="H63" s="328"/>
      <c r="I63" s="332"/>
      <c r="J63" s="486"/>
      <c r="K63" s="332"/>
      <c r="L63" s="332"/>
      <c r="M63" s="332"/>
      <c r="N63" s="328"/>
      <c r="O63" s="332"/>
      <c r="P63" s="484"/>
      <c r="Q63" s="328"/>
      <c r="R63" s="332"/>
      <c r="S63" s="332"/>
      <c r="T63" s="403"/>
      <c r="U63" s="332"/>
      <c r="V63" s="332"/>
      <c r="W63" s="403"/>
      <c r="X63" s="324">
        <f>X175</f>
        <v>0</v>
      </c>
      <c r="Y63" s="324">
        <f>Y175</f>
        <v>0</v>
      </c>
      <c r="Z63" s="588"/>
    </row>
    <row r="64" spans="1:33" s="403" customFormat="1">
      <c r="A64" s="459" t="s">
        <v>770</v>
      </c>
      <c r="B64" s="320"/>
      <c r="C64" s="320"/>
      <c r="D64" s="320" t="s">
        <v>769</v>
      </c>
      <c r="E64" s="403" t="s">
        <v>1</v>
      </c>
      <c r="F64" s="332"/>
      <c r="G64" s="332"/>
      <c r="H64" s="328"/>
      <c r="I64" s="332"/>
      <c r="J64" s="332"/>
      <c r="K64" s="332"/>
      <c r="L64" s="332"/>
      <c r="M64" s="332"/>
      <c r="N64" s="328"/>
      <c r="O64" s="332"/>
      <c r="P64" s="332"/>
      <c r="Q64" s="328"/>
      <c r="R64" s="332"/>
      <c r="S64" s="332"/>
      <c r="U64" s="332"/>
      <c r="V64" s="332"/>
      <c r="X64" s="324">
        <f>X207</f>
        <v>3.0138818556206641</v>
      </c>
      <c r="Y64" s="324">
        <f>Y207</f>
        <v>3.0138818556206641</v>
      </c>
      <c r="Z64" s="588"/>
      <c r="AG64" s="265"/>
    </row>
    <row r="65" spans="1:33" s="183" customFormat="1">
      <c r="A65" s="475" t="s">
        <v>382</v>
      </c>
      <c r="B65" s="325"/>
      <c r="C65" s="325"/>
      <c r="D65" s="325" t="s">
        <v>383</v>
      </c>
      <c r="E65" s="183" t="s">
        <v>1</v>
      </c>
      <c r="F65" s="479"/>
      <c r="G65" s="479"/>
      <c r="H65" s="462"/>
      <c r="I65" s="479"/>
      <c r="J65" s="460"/>
      <c r="K65" s="460"/>
      <c r="L65" s="479"/>
      <c r="M65" s="479"/>
      <c r="N65" s="462"/>
      <c r="O65" s="479"/>
      <c r="P65" s="479"/>
      <c r="Q65" s="462"/>
      <c r="R65" s="479"/>
      <c r="S65" s="479"/>
      <c r="U65" s="462"/>
      <c r="V65" s="479"/>
      <c r="W65" s="479"/>
      <c r="X65" s="326">
        <f>SUM(X57:X64)</f>
        <v>3.0138818556206641</v>
      </c>
      <c r="Y65" s="326">
        <f>SUM(Y57:Y64)</f>
        <v>3.0138818556206641</v>
      </c>
      <c r="Z65" s="588"/>
      <c r="AG65" s="480"/>
    </row>
    <row r="66" spans="1:33" s="462" customFormat="1" ht="14.5">
      <c r="A66" s="461"/>
      <c r="B66" s="461"/>
      <c r="C66" s="461"/>
      <c r="D66" s="461"/>
      <c r="F66" s="479"/>
      <c r="G66" s="479"/>
      <c r="I66" s="479"/>
      <c r="J66" s="460"/>
      <c r="K66" s="460"/>
      <c r="L66" s="479"/>
      <c r="M66" s="479"/>
      <c r="O66" s="479"/>
      <c r="P66" s="479"/>
      <c r="R66" s="479"/>
      <c r="S66" s="479"/>
      <c r="U66" s="463"/>
      <c r="V66" s="463"/>
      <c r="X66" s="261"/>
      <c r="Y66" s="261"/>
      <c r="AA66" s="261"/>
      <c r="AB66" s="261"/>
      <c r="AC66" s="402"/>
      <c r="AD66" s="261"/>
      <c r="AE66" s="261"/>
    </row>
    <row r="67" spans="1:33" ht="14.5">
      <c r="A67" s="481" t="s">
        <v>910</v>
      </c>
      <c r="B67" s="315"/>
      <c r="C67" s="315"/>
      <c r="D67" s="315"/>
      <c r="E67" s="315"/>
      <c r="F67" s="261"/>
      <c r="G67" s="261"/>
      <c r="H67" s="315"/>
      <c r="I67" s="261"/>
      <c r="J67" s="261"/>
      <c r="K67" s="530"/>
      <c r="L67" s="261"/>
      <c r="M67" s="261"/>
      <c r="O67" s="261"/>
      <c r="P67" s="441"/>
      <c r="R67" s="261"/>
      <c r="S67" s="261"/>
      <c r="U67" s="261"/>
      <c r="V67" s="261"/>
      <c r="X67" s="261"/>
      <c r="Y67" s="261"/>
      <c r="AA67" s="261"/>
      <c r="AB67" s="261"/>
      <c r="AD67" s="261"/>
      <c r="AE67" s="261"/>
      <c r="AG67" s="302"/>
    </row>
    <row r="68" spans="1:33" ht="14.5">
      <c r="A68" s="314"/>
      <c r="B68" s="315"/>
      <c r="C68" s="315"/>
      <c r="D68" s="315"/>
      <c r="E68" s="315"/>
      <c r="F68" s="643"/>
      <c r="G68" s="643"/>
      <c r="H68" s="330"/>
      <c r="I68" s="644"/>
      <c r="J68" s="644"/>
      <c r="K68" s="530"/>
      <c r="L68" s="644"/>
      <c r="M68" s="644"/>
      <c r="N68" s="312"/>
      <c r="O68" s="644"/>
      <c r="P68" s="644"/>
      <c r="Q68" s="312"/>
      <c r="R68" s="644"/>
      <c r="S68" s="644"/>
      <c r="U68" s="644"/>
      <c r="V68" s="644"/>
      <c r="X68" s="645"/>
      <c r="Y68" s="645"/>
      <c r="AA68" s="642" t="s">
        <v>555</v>
      </c>
      <c r="AB68" s="642"/>
      <c r="AD68" s="642" t="s">
        <v>556</v>
      </c>
      <c r="AE68" s="642"/>
      <c r="AG68" s="302"/>
    </row>
    <row r="69" spans="1:33" ht="14.5">
      <c r="A69" s="315"/>
      <c r="B69" s="315"/>
      <c r="C69" s="315"/>
      <c r="D69" s="315"/>
      <c r="E69" s="315"/>
      <c r="F69" s="530"/>
      <c r="G69" s="530"/>
      <c r="H69" s="312"/>
      <c r="I69" s="530"/>
      <c r="J69" s="530"/>
      <c r="K69" s="530"/>
      <c r="L69" s="530"/>
      <c r="M69" s="530"/>
      <c r="N69" s="312"/>
      <c r="O69" s="530"/>
      <c r="P69" s="530"/>
      <c r="Q69" s="312"/>
      <c r="R69" s="530"/>
      <c r="S69" s="530"/>
      <c r="U69" s="530"/>
      <c r="V69" s="530"/>
      <c r="W69" s="549"/>
      <c r="X69" s="549"/>
      <c r="Y69" s="549"/>
      <c r="AA69" s="138" t="s">
        <v>564</v>
      </c>
      <c r="AB69" s="138" t="s">
        <v>565</v>
      </c>
      <c r="AD69" s="138" t="s">
        <v>565</v>
      </c>
      <c r="AE69" s="138" t="s">
        <v>566</v>
      </c>
      <c r="AG69" s="302"/>
    </row>
    <row r="70" spans="1:33" ht="14.5">
      <c r="A70" s="459" t="s">
        <v>567</v>
      </c>
      <c r="B70" s="320"/>
      <c r="C70" s="320"/>
      <c r="D70" s="320" t="s">
        <v>373</v>
      </c>
      <c r="E70" s="403" t="s">
        <v>1</v>
      </c>
      <c r="F70" s="332"/>
      <c r="G70" s="332"/>
      <c r="H70" s="328"/>
      <c r="I70" s="332"/>
      <c r="J70" s="332"/>
      <c r="K70" s="332"/>
      <c r="L70" s="332"/>
      <c r="M70" s="332"/>
      <c r="N70" s="312"/>
      <c r="O70" s="332"/>
      <c r="P70" s="332"/>
      <c r="Q70" s="312"/>
      <c r="R70" s="332"/>
      <c r="S70" s="332"/>
      <c r="U70" s="332"/>
      <c r="V70" s="549"/>
      <c r="W70" s="549"/>
      <c r="X70" s="549"/>
      <c r="Y70" s="549"/>
      <c r="AA70" s="411"/>
      <c r="AB70" s="411"/>
      <c r="AD70" s="411"/>
      <c r="AE70" s="411"/>
      <c r="AG70" s="302"/>
    </row>
    <row r="71" spans="1:33">
      <c r="A71" s="459" t="s">
        <v>374</v>
      </c>
      <c r="B71" s="320"/>
      <c r="C71" s="320"/>
      <c r="D71" s="320" t="s">
        <v>375</v>
      </c>
      <c r="E71" s="403" t="s">
        <v>1</v>
      </c>
      <c r="F71" s="332"/>
      <c r="G71" s="332"/>
      <c r="H71" s="328"/>
      <c r="I71" s="332"/>
      <c r="J71" s="332"/>
      <c r="K71" s="332"/>
      <c r="L71" s="332"/>
      <c r="M71" s="332"/>
      <c r="N71" s="312"/>
      <c r="O71" s="332"/>
      <c r="P71" s="332"/>
      <c r="Q71" s="312"/>
      <c r="R71" s="332"/>
      <c r="S71" s="332"/>
      <c r="U71" s="332"/>
      <c r="V71" s="332"/>
      <c r="X71" s="332"/>
      <c r="Y71" s="332"/>
      <c r="AA71" s="411"/>
      <c r="AB71" s="411"/>
      <c r="AD71" s="411"/>
      <c r="AE71" s="411"/>
      <c r="AG71" s="302"/>
    </row>
    <row r="72" spans="1:33">
      <c r="A72" s="459" t="s">
        <v>568</v>
      </c>
      <c r="B72" s="459"/>
      <c r="C72" s="459"/>
      <c r="D72" s="459"/>
      <c r="E72" s="265" t="s">
        <v>1</v>
      </c>
      <c r="F72" s="332"/>
      <c r="G72" s="332"/>
      <c r="H72" s="328"/>
      <c r="I72" s="332"/>
      <c r="J72" s="332"/>
      <c r="K72" s="332"/>
      <c r="L72" s="332"/>
      <c r="M72" s="332"/>
      <c r="N72" s="312"/>
      <c r="O72" s="332"/>
      <c r="P72" s="484"/>
      <c r="Q72" s="312"/>
      <c r="R72" s="485"/>
      <c r="S72" s="332"/>
      <c r="T72" s="302"/>
      <c r="U72" s="485"/>
      <c r="V72" s="332"/>
      <c r="X72" s="332"/>
      <c r="Y72" s="332"/>
      <c r="AA72" s="565"/>
      <c r="AB72" s="411"/>
      <c r="AD72" s="411"/>
      <c r="AE72" s="411"/>
      <c r="AG72" s="302"/>
    </row>
    <row r="73" spans="1:33">
      <c r="A73" s="459" t="s">
        <v>376</v>
      </c>
      <c r="B73" s="320"/>
      <c r="C73" s="320"/>
      <c r="D73" s="320" t="s">
        <v>699</v>
      </c>
      <c r="E73" s="403" t="s">
        <v>1</v>
      </c>
      <c r="F73" s="332"/>
      <c r="G73" s="332"/>
      <c r="H73" s="328"/>
      <c r="I73" s="332"/>
      <c r="J73" s="332"/>
      <c r="K73" s="332"/>
      <c r="L73" s="332"/>
      <c r="M73" s="332"/>
      <c r="N73" s="312"/>
      <c r="O73" s="332"/>
      <c r="P73" s="484"/>
      <c r="Q73" s="312"/>
      <c r="R73" s="485"/>
      <c r="S73" s="332"/>
      <c r="U73" s="485"/>
      <c r="V73" s="332"/>
      <c r="X73" s="332"/>
      <c r="Y73" s="332"/>
      <c r="AA73" s="324">
        <f>SUM(AA158:AA168)</f>
        <v>0</v>
      </c>
      <c r="AB73" s="324">
        <f>AA73</f>
        <v>0</v>
      </c>
      <c r="AD73" s="324">
        <f>SUM(AD158:AD168)</f>
        <v>0</v>
      </c>
      <c r="AE73" s="324">
        <f>AD73</f>
        <v>0</v>
      </c>
      <c r="AG73" s="302"/>
    </row>
    <row r="74" spans="1:33" s="403" customFormat="1">
      <c r="A74" s="459" t="s">
        <v>378</v>
      </c>
      <c r="B74" s="320"/>
      <c r="C74" s="320"/>
      <c r="D74" s="320" t="s">
        <v>379</v>
      </c>
      <c r="E74" s="403" t="s">
        <v>1</v>
      </c>
      <c r="F74" s="332"/>
      <c r="G74" s="332"/>
      <c r="H74" s="328"/>
      <c r="I74" s="332"/>
      <c r="J74" s="332"/>
      <c r="K74" s="332"/>
      <c r="L74" s="332"/>
      <c r="M74" s="332"/>
      <c r="N74" s="328"/>
      <c r="O74" s="332"/>
      <c r="P74" s="484"/>
      <c r="Q74" s="328"/>
      <c r="R74" s="485"/>
      <c r="S74" s="332"/>
      <c r="U74" s="485"/>
      <c r="V74" s="332"/>
      <c r="X74" s="332"/>
      <c r="Y74" s="332"/>
      <c r="AA74" s="324">
        <f>AA136</f>
        <v>0</v>
      </c>
      <c r="AB74" s="324">
        <f>AB136</f>
        <v>0</v>
      </c>
      <c r="AD74" s="324">
        <f>AD136</f>
        <v>0</v>
      </c>
      <c r="AE74" s="324">
        <f>AE136</f>
        <v>0</v>
      </c>
      <c r="AG74" s="265"/>
    </row>
    <row r="75" spans="1:33" s="403" customFormat="1">
      <c r="A75" s="459" t="s">
        <v>380</v>
      </c>
      <c r="B75" s="320"/>
      <c r="C75" s="320"/>
      <c r="D75" s="320" t="s">
        <v>381</v>
      </c>
      <c r="E75" s="403" t="s">
        <v>1</v>
      </c>
      <c r="F75" s="332"/>
      <c r="G75" s="332"/>
      <c r="H75" s="328"/>
      <c r="I75" s="332"/>
      <c r="J75" s="486"/>
      <c r="K75" s="332"/>
      <c r="L75" s="332"/>
      <c r="M75" s="332"/>
      <c r="N75" s="328"/>
      <c r="O75" s="332"/>
      <c r="P75" s="484"/>
      <c r="Q75" s="328"/>
      <c r="R75" s="332"/>
      <c r="S75" s="332"/>
      <c r="U75" s="332"/>
      <c r="V75" s="332"/>
      <c r="X75" s="332"/>
      <c r="Y75" s="332"/>
      <c r="AA75" s="324">
        <f>AA106</f>
        <v>0</v>
      </c>
      <c r="AB75" s="324">
        <f>AB106</f>
        <v>0</v>
      </c>
      <c r="AD75" s="324">
        <f>AD106</f>
        <v>0</v>
      </c>
      <c r="AE75" s="324">
        <f>AE106</f>
        <v>0</v>
      </c>
      <c r="AG75" s="265"/>
    </row>
    <row r="76" spans="1:33" s="403" customFormat="1">
      <c r="A76" s="459" t="s">
        <v>891</v>
      </c>
      <c r="B76" s="320"/>
      <c r="C76" s="320"/>
      <c r="D76" s="320" t="s">
        <v>890</v>
      </c>
      <c r="E76" s="403" t="s">
        <v>1</v>
      </c>
      <c r="F76" s="332"/>
      <c r="G76" s="332"/>
      <c r="H76" s="328"/>
      <c r="I76" s="332"/>
      <c r="J76" s="486"/>
      <c r="K76" s="332"/>
      <c r="L76" s="332"/>
      <c r="M76" s="332"/>
      <c r="N76" s="328"/>
      <c r="O76" s="332"/>
      <c r="P76" s="484"/>
      <c r="Q76" s="328"/>
      <c r="R76" s="332"/>
      <c r="S76" s="332"/>
      <c r="U76" s="332"/>
      <c r="V76" s="332"/>
      <c r="X76" s="332"/>
      <c r="Y76" s="332"/>
      <c r="AA76" s="324">
        <f>AA109</f>
        <v>0</v>
      </c>
      <c r="AB76" s="324">
        <f>AB109</f>
        <v>0</v>
      </c>
      <c r="AD76" s="324">
        <f>AD109</f>
        <v>0</v>
      </c>
      <c r="AE76" s="324">
        <f>AE109</f>
        <v>0</v>
      </c>
      <c r="AG76" s="265"/>
    </row>
    <row r="77" spans="1:33" s="265" customFormat="1">
      <c r="A77" s="459" t="s">
        <v>765</v>
      </c>
      <c r="B77" s="459"/>
      <c r="C77" s="459"/>
      <c r="D77" s="459" t="s">
        <v>766</v>
      </c>
      <c r="E77" s="265" t="s">
        <v>1</v>
      </c>
      <c r="F77" s="332"/>
      <c r="G77" s="332"/>
      <c r="H77" s="328"/>
      <c r="I77" s="332"/>
      <c r="J77" s="486"/>
      <c r="K77" s="332"/>
      <c r="L77" s="332"/>
      <c r="M77" s="332"/>
      <c r="N77" s="328"/>
      <c r="O77" s="332"/>
      <c r="P77" s="484"/>
      <c r="Q77" s="328"/>
      <c r="R77" s="332"/>
      <c r="S77" s="332"/>
      <c r="T77" s="403"/>
      <c r="U77" s="332"/>
      <c r="V77" s="332"/>
      <c r="W77" s="403"/>
      <c r="X77" s="332"/>
      <c r="Y77" s="332"/>
      <c r="Z77" s="403"/>
      <c r="AA77" s="324">
        <f>AA175</f>
        <v>0</v>
      </c>
      <c r="AB77" s="324">
        <f>AB175</f>
        <v>0</v>
      </c>
      <c r="AC77" s="403"/>
      <c r="AD77" s="324">
        <f>AD175</f>
        <v>0</v>
      </c>
      <c r="AE77" s="324">
        <f>AE175</f>
        <v>0</v>
      </c>
    </row>
    <row r="78" spans="1:33" s="403" customFormat="1">
      <c r="A78" s="459" t="s">
        <v>770</v>
      </c>
      <c r="B78" s="320"/>
      <c r="C78" s="320"/>
      <c r="D78" s="320" t="s">
        <v>769</v>
      </c>
      <c r="E78" s="403" t="s">
        <v>1</v>
      </c>
      <c r="F78" s="332"/>
      <c r="G78" s="332"/>
      <c r="H78" s="328"/>
      <c r="I78" s="332"/>
      <c r="J78" s="332"/>
      <c r="K78" s="332"/>
      <c r="L78" s="332"/>
      <c r="M78" s="332"/>
      <c r="N78" s="328"/>
      <c r="O78" s="332"/>
      <c r="P78" s="332"/>
      <c r="Q78" s="328"/>
      <c r="R78" s="332"/>
      <c r="S78" s="332"/>
      <c r="U78" s="332"/>
      <c r="V78" s="332"/>
      <c r="X78" s="332"/>
      <c r="Y78" s="332"/>
      <c r="AA78" s="324">
        <f>AA207</f>
        <v>1.5652028691194839</v>
      </c>
      <c r="AB78" s="324">
        <f>AB207</f>
        <v>1.5652028691194839</v>
      </c>
      <c r="AD78" s="324">
        <f>AD207</f>
        <v>1.5799842431327609</v>
      </c>
      <c r="AE78" s="324">
        <f>AE207</f>
        <v>1.5799842431327609</v>
      </c>
      <c r="AG78" s="265"/>
    </row>
    <row r="79" spans="1:33" s="183" customFormat="1">
      <c r="A79" s="475" t="s">
        <v>382</v>
      </c>
      <c r="B79" s="325"/>
      <c r="C79" s="325"/>
      <c r="D79" s="325" t="s">
        <v>383</v>
      </c>
      <c r="E79" s="183" t="s">
        <v>1</v>
      </c>
      <c r="F79" s="479"/>
      <c r="G79" s="479"/>
      <c r="H79" s="462"/>
      <c r="I79" s="479"/>
      <c r="J79" s="460"/>
      <c r="K79" s="460"/>
      <c r="L79" s="479"/>
      <c r="M79" s="479"/>
      <c r="N79" s="462"/>
      <c r="O79" s="479"/>
      <c r="P79" s="479"/>
      <c r="Q79" s="462"/>
      <c r="R79" s="479"/>
      <c r="S79" s="479"/>
      <c r="U79" s="462"/>
      <c r="V79" s="479"/>
      <c r="W79" s="479"/>
      <c r="X79" s="479"/>
      <c r="Y79" s="479"/>
      <c r="AA79" s="326">
        <f>SUM(AA70:AA78)</f>
        <v>1.5652028691194839</v>
      </c>
      <c r="AB79" s="326">
        <f>SUM(AB70:AB78)</f>
        <v>1.5652028691194839</v>
      </c>
      <c r="AD79" s="326">
        <f>SUM(AD70:AD78)</f>
        <v>1.5799842431327609</v>
      </c>
      <c r="AE79" s="326">
        <f>SUM(AE70:AE78)</f>
        <v>1.5799842431327609</v>
      </c>
      <c r="AG79" s="480"/>
    </row>
    <row r="80" spans="1:33" s="462" customFormat="1">
      <c r="A80" s="461"/>
      <c r="B80" s="461"/>
      <c r="C80" s="461"/>
      <c r="D80" s="461"/>
      <c r="F80" s="479"/>
      <c r="G80" s="479"/>
      <c r="I80" s="479"/>
      <c r="J80" s="460"/>
      <c r="K80" s="460"/>
      <c r="L80" s="479"/>
      <c r="M80" s="479"/>
      <c r="O80" s="479"/>
      <c r="P80" s="479"/>
      <c r="R80" s="479"/>
      <c r="S80" s="479"/>
      <c r="V80" s="479"/>
      <c r="W80" s="479"/>
      <c r="X80" s="479"/>
      <c r="Y80" s="479"/>
      <c r="AA80" s="463"/>
      <c r="AB80" s="463"/>
      <c r="AD80" s="463"/>
      <c r="AE80" s="463"/>
    </row>
    <row r="81" spans="1:33" s="265" customFormat="1">
      <c r="J81" s="468"/>
      <c r="K81" s="328"/>
      <c r="P81" s="469"/>
      <c r="R81" s="470"/>
      <c r="V81" s="470"/>
    </row>
    <row r="82" spans="1:33" s="403" customFormat="1" ht="14.5">
      <c r="A82" s="329" t="s">
        <v>384</v>
      </c>
      <c r="B82" s="318"/>
      <c r="C82" s="318"/>
      <c r="D82" s="318"/>
      <c r="E82" s="318"/>
      <c r="H82" s="318"/>
      <c r="K82" s="328"/>
      <c r="R82" s="432"/>
      <c r="AG82" s="265"/>
    </row>
    <row r="83" spans="1:33" s="403" customFormat="1">
      <c r="A83" s="316" t="s">
        <v>771</v>
      </c>
      <c r="B83" s="318"/>
      <c r="C83" s="318"/>
      <c r="D83" s="318"/>
      <c r="E83" s="318"/>
      <c r="F83" s="318"/>
      <c r="G83" s="318"/>
      <c r="H83" s="318"/>
      <c r="I83" s="318"/>
      <c r="J83" s="318"/>
      <c r="K83" s="330"/>
      <c r="N83" s="406"/>
      <c r="R83" s="432"/>
      <c r="AG83" s="265"/>
    </row>
    <row r="84" spans="1:33" s="403" customFormat="1">
      <c r="A84" s="316"/>
      <c r="B84" s="318"/>
      <c r="C84" s="318"/>
      <c r="D84" s="318"/>
      <c r="E84" s="318"/>
      <c r="F84" s="318"/>
      <c r="G84" s="318"/>
      <c r="H84" s="318"/>
      <c r="I84" s="318"/>
      <c r="J84" s="318"/>
      <c r="K84" s="330"/>
      <c r="N84" s="406"/>
      <c r="R84" s="432"/>
      <c r="AG84" s="265"/>
    </row>
    <row r="85" spans="1:33" s="403" customFormat="1">
      <c r="A85" s="320" t="s">
        <v>828</v>
      </c>
      <c r="B85" s="318"/>
      <c r="C85" s="318"/>
      <c r="D85" s="320" t="s">
        <v>385</v>
      </c>
      <c r="E85" s="318" t="s">
        <v>122</v>
      </c>
      <c r="F85" s="490">
        <v>0.25</v>
      </c>
      <c r="G85" s="490">
        <v>0.25</v>
      </c>
      <c r="H85" s="318"/>
      <c r="I85" s="490">
        <v>0.25</v>
      </c>
      <c r="J85" s="490">
        <v>0.25</v>
      </c>
      <c r="K85" s="318"/>
      <c r="L85" s="490">
        <v>0.25</v>
      </c>
      <c r="M85" s="490">
        <v>0.25</v>
      </c>
      <c r="N85" s="318"/>
      <c r="O85" s="490">
        <v>0.3</v>
      </c>
      <c r="P85" s="490">
        <v>0.3</v>
      </c>
      <c r="Q85" s="318"/>
      <c r="R85" s="490">
        <v>0.3</v>
      </c>
      <c r="S85" s="490">
        <v>0.3</v>
      </c>
      <c r="T85" s="318"/>
      <c r="U85" s="490">
        <v>0.1</v>
      </c>
      <c r="V85" s="490">
        <v>0.1</v>
      </c>
      <c r="W85" s="318"/>
      <c r="X85" s="490">
        <v>0.1</v>
      </c>
      <c r="Y85" s="490">
        <v>0.1</v>
      </c>
      <c r="Z85" s="318"/>
      <c r="AA85" s="490">
        <v>0.1</v>
      </c>
      <c r="AB85" s="490">
        <v>0.1</v>
      </c>
      <c r="AC85" s="318"/>
      <c r="AD85" s="490">
        <v>0.1</v>
      </c>
      <c r="AE85" s="490">
        <v>0.1</v>
      </c>
      <c r="AF85" s="318"/>
      <c r="AG85" s="265"/>
    </row>
    <row r="86" spans="1:33" s="403" customFormat="1">
      <c r="A86" s="320" t="s">
        <v>829</v>
      </c>
      <c r="B86" s="318"/>
      <c r="C86" s="318"/>
      <c r="D86" s="320" t="s">
        <v>389</v>
      </c>
      <c r="E86" s="403" t="s">
        <v>1</v>
      </c>
      <c r="F86" s="491">
        <v>50</v>
      </c>
      <c r="G86" s="491">
        <v>50</v>
      </c>
      <c r="H86" s="318"/>
      <c r="I86" s="491">
        <v>25</v>
      </c>
      <c r="J86" s="491">
        <v>25</v>
      </c>
      <c r="K86" s="318"/>
      <c r="L86" s="491">
        <v>25</v>
      </c>
      <c r="M86" s="491">
        <v>25</v>
      </c>
      <c r="N86" s="318"/>
      <c r="O86" s="491">
        <v>30</v>
      </c>
      <c r="P86" s="491">
        <v>30</v>
      </c>
      <c r="Q86" s="318"/>
      <c r="R86" s="491">
        <v>30</v>
      </c>
      <c r="S86" s="491">
        <v>30</v>
      </c>
      <c r="T86" s="318"/>
      <c r="U86" s="491">
        <v>10</v>
      </c>
      <c r="V86" s="491">
        <v>10</v>
      </c>
      <c r="W86" s="318"/>
      <c r="X86" s="491">
        <v>10</v>
      </c>
      <c r="Y86" s="491">
        <v>10</v>
      </c>
      <c r="Z86" s="318"/>
      <c r="AA86" s="491">
        <v>10</v>
      </c>
      <c r="AB86" s="491">
        <v>10</v>
      </c>
      <c r="AC86" s="318"/>
      <c r="AD86" s="491">
        <v>10</v>
      </c>
      <c r="AE86" s="491">
        <v>10</v>
      </c>
      <c r="AF86" s="318"/>
      <c r="AG86" s="265"/>
    </row>
    <row r="87" spans="1:33" s="403" customFormat="1">
      <c r="A87" s="320" t="s">
        <v>830</v>
      </c>
      <c r="B87" s="318"/>
      <c r="C87" s="318"/>
      <c r="D87" s="320" t="s">
        <v>389</v>
      </c>
      <c r="E87" s="403" t="s">
        <v>1</v>
      </c>
      <c r="F87" s="491">
        <v>-50</v>
      </c>
      <c r="G87" s="491">
        <v>-50</v>
      </c>
      <c r="H87" s="318"/>
      <c r="I87" s="491">
        <v>-25</v>
      </c>
      <c r="J87" s="491">
        <v>-25</v>
      </c>
      <c r="K87" s="318"/>
      <c r="L87" s="491">
        <v>-25</v>
      </c>
      <c r="M87" s="491">
        <v>-25</v>
      </c>
      <c r="N87" s="318"/>
      <c r="O87" s="491">
        <v>-30</v>
      </c>
      <c r="P87" s="491">
        <v>-30</v>
      </c>
      <c r="Q87" s="318"/>
      <c r="R87" s="491">
        <v>-30</v>
      </c>
      <c r="S87" s="491">
        <v>-30</v>
      </c>
      <c r="T87" s="318"/>
      <c r="U87" s="491">
        <v>-10</v>
      </c>
      <c r="V87" s="491">
        <v>-10</v>
      </c>
      <c r="W87" s="318"/>
      <c r="X87" s="491">
        <v>-10</v>
      </c>
      <c r="Y87" s="491">
        <v>-10</v>
      </c>
      <c r="Z87" s="318"/>
      <c r="AA87" s="491">
        <v>-10</v>
      </c>
      <c r="AB87" s="491">
        <v>-10</v>
      </c>
      <c r="AC87" s="318"/>
      <c r="AD87" s="491">
        <v>-10</v>
      </c>
      <c r="AE87" s="491">
        <v>-10</v>
      </c>
      <c r="AF87" s="318"/>
      <c r="AG87" s="265"/>
    </row>
    <row r="88" spans="1:33" s="403" customFormat="1">
      <c r="A88" s="316"/>
      <c r="B88" s="318"/>
      <c r="C88" s="318"/>
      <c r="D88" s="318"/>
      <c r="E88" s="318"/>
      <c r="F88" s="318"/>
      <c r="G88" s="318"/>
      <c r="H88" s="318"/>
      <c r="I88" s="318"/>
      <c r="J88" s="318"/>
      <c r="K88" s="330"/>
      <c r="N88" s="406"/>
      <c r="R88" s="432"/>
      <c r="AG88" s="265"/>
    </row>
    <row r="89" spans="1:33" s="403" customFormat="1" ht="14">
      <c r="A89" s="487" t="s">
        <v>823</v>
      </c>
      <c r="B89" s="318"/>
      <c r="C89" s="318"/>
      <c r="D89" s="318"/>
      <c r="E89" s="318"/>
      <c r="F89" s="318"/>
      <c r="G89" s="318"/>
      <c r="H89" s="318"/>
      <c r="I89" s="318"/>
      <c r="J89" s="318"/>
      <c r="K89" s="330"/>
      <c r="N89" s="406"/>
      <c r="R89" s="432"/>
      <c r="AG89" s="265"/>
    </row>
    <row r="90" spans="1:33" s="403" customFormat="1">
      <c r="A90" s="459" t="s">
        <v>772</v>
      </c>
      <c r="B90" s="459"/>
      <c r="C90" s="459"/>
      <c r="D90" s="459" t="s">
        <v>385</v>
      </c>
      <c r="E90" s="265" t="s">
        <v>1</v>
      </c>
      <c r="F90" s="324">
        <f>IF(F126&lt;F155,0,IF(F126&lt;F147,F85,IF(F126=F147,0,IF(F126&lt;F154,F85,0))))</f>
        <v>0</v>
      </c>
      <c r="G90" s="324">
        <f>IF(G126&lt;G155,0,IF(G126&lt;G147,G85,IF(G126=G147,0,IF(G126&lt;G154,G85,0))))</f>
        <v>0</v>
      </c>
      <c r="I90" s="324">
        <f>IF(I126&lt;I155,0,IF(I126&lt;I147,I85,IF(I126=I147,0,IF(I126&lt;I154,I85,0))))</f>
        <v>0</v>
      </c>
      <c r="J90" s="324">
        <f>IF(J126&lt;J155,0,IF(J126&lt;J147,J85,IF(J126=J147,0,IF(J126&lt;J154,J85,0))))</f>
        <v>0.25</v>
      </c>
      <c r="L90" s="324">
        <f>IF(L126&lt;L155,0,IF(L126&lt;L147,L85,IF(L126=L147,0,IF(L126&lt;L154,L85,0))))</f>
        <v>0</v>
      </c>
      <c r="M90" s="324">
        <f>IF(M126&lt;M155,0,IF(M126&lt;M147,M85,IF(M126=M147,0,IF(M126&lt;M154,M85,0))))</f>
        <v>0</v>
      </c>
      <c r="O90" s="324">
        <f>IF(O126&lt;O155,0,IF(O126&lt;O147,O85,IF(O126=O147,0,IF(O126&lt;O154,O85,0))))</f>
        <v>0</v>
      </c>
      <c r="P90" s="324">
        <f>IF(P126&lt;P155,0,IF(P126&lt;P147,P85,IF(P126=P147,0,IF(P126&lt;P154,P85,0))))</f>
        <v>0</v>
      </c>
      <c r="R90" s="324">
        <f>IF(R126&lt;R155,0,IF(R126&lt;R147,R85,IF(R126=R147,0,IF(R126&lt;R154,R85,0))))</f>
        <v>0</v>
      </c>
      <c r="S90" s="324">
        <f>IF(S126&lt;S155,0,IF(S126&lt;S147,S85,IF(S126=S147,0,IF(S126&lt;S154,S85,0))))</f>
        <v>0</v>
      </c>
      <c r="AG90" s="265"/>
    </row>
    <row r="91" spans="1:33" s="403" customFormat="1">
      <c r="A91" s="459" t="s">
        <v>773</v>
      </c>
      <c r="B91" s="459"/>
      <c r="C91" s="459"/>
      <c r="D91" s="459" t="s">
        <v>386</v>
      </c>
      <c r="E91" s="265" t="s">
        <v>1</v>
      </c>
      <c r="F91" s="324">
        <f>IF(F126&lt;F155,0,IF(F126&lt;F147,F147,IF(F126=F147,F126,IF(F126&lt;F154,F147,0))))</f>
        <v>0</v>
      </c>
      <c r="G91" s="324">
        <f>IF(G126&lt;G155,0,IF(G126&lt;G147,G147,IF(G126=G147,G126,IF(G126&lt;G154,G147,0))))</f>
        <v>0</v>
      </c>
      <c r="I91" s="324">
        <f>IF(I126&lt;I155,0,IF(I126&lt;I147,I147,IF(I126=I147,I126,IF(I126&lt;I154,I147,0))))</f>
        <v>0</v>
      </c>
      <c r="J91" s="324">
        <f>IF(J126&lt;J155,0,IF(J126&lt;J147,J147,IF(J126=J147,J126,IF(J126&lt;J154,J147,0))))</f>
        <v>960.00259000000005</v>
      </c>
      <c r="L91" s="324">
        <f>IF(L126&lt;L155,0,IF(L126&lt;L147,L147,IF(L126=L147,L126,IF(L126&lt;L154,L147,0))))</f>
        <v>0</v>
      </c>
      <c r="M91" s="324">
        <f>IF(M126&lt;M155,0,IF(M126&lt;M147,M147,IF(M126=M147,M126,IF(M126&lt;M154,M147,0))))</f>
        <v>0</v>
      </c>
      <c r="O91" s="324">
        <f>IF(O126&lt;O155,0,IF(O126&lt;O147,O147,IF(O126=O147,O126,IF(O126&lt;O154,O147,0))))</f>
        <v>0</v>
      </c>
      <c r="P91" s="324">
        <f>IF(P126&lt;P155,0,IF(P126&lt;P147,P147,IF(P126=P147,P126,IF(P126&lt;P154,P147,0))))</f>
        <v>0</v>
      </c>
      <c r="R91" s="324">
        <f>IF(R126&lt;R155,0,IF(R126&lt;R147,R147,IF(R126=R147,R126,IF(R126&lt;R154,R147,0))))</f>
        <v>0</v>
      </c>
      <c r="S91" s="324">
        <f>IF(S126&lt;S155,0,IF(S126&lt;S147,S147,IF(S126=S147,S126,IF(S126&lt;S154,S147,0))))</f>
        <v>0</v>
      </c>
      <c r="AG91" s="265"/>
    </row>
    <row r="92" spans="1:33" s="403" customFormat="1">
      <c r="A92" s="459" t="s">
        <v>387</v>
      </c>
      <c r="B92" s="459"/>
      <c r="C92" s="459"/>
      <c r="D92" s="459" t="s">
        <v>388</v>
      </c>
      <c r="E92" s="403" t="s">
        <v>1</v>
      </c>
      <c r="F92" s="324">
        <f>F126</f>
        <v>1624.465199</v>
      </c>
      <c r="G92" s="324">
        <f>G126</f>
        <v>1624.465199</v>
      </c>
      <c r="I92" s="324">
        <f>I126</f>
        <v>867.22499999999991</v>
      </c>
      <c r="J92" s="324">
        <f>J126</f>
        <v>871.76370780000002</v>
      </c>
      <c r="L92" s="324">
        <f>L126</f>
        <v>838.81823490219608</v>
      </c>
      <c r="M92" s="324">
        <f>M126</f>
        <v>845.50983300000007</v>
      </c>
      <c r="O92" s="324">
        <f>O126</f>
        <v>867.0534764485451</v>
      </c>
      <c r="P92" s="324">
        <f>P126</f>
        <v>866.04973185999995</v>
      </c>
      <c r="R92" s="324">
        <f>R126</f>
        <v>999.87702970000009</v>
      </c>
      <c r="S92" s="324">
        <f>S126</f>
        <v>1011.617</v>
      </c>
      <c r="AG92" s="265"/>
    </row>
    <row r="93" spans="1:33" s="403" customFormat="1">
      <c r="A93" s="459" t="s">
        <v>775</v>
      </c>
      <c r="B93" s="459"/>
      <c r="C93" s="459"/>
      <c r="D93" s="459" t="s">
        <v>389</v>
      </c>
      <c r="E93" s="265" t="s">
        <v>1</v>
      </c>
      <c r="F93" s="324">
        <f>IF(F126&lt;F155,F86,IF(F126&lt;F147,0,IF(F126=F147,0,IF(F126&lt;F154,0,F87))))</f>
        <v>-50</v>
      </c>
      <c r="G93" s="324">
        <f>IF(G126&lt;G155,G86,IF(G126&lt;G147,0,IF(G126=G147,0,IF(G126&lt;G154,0,G87))))</f>
        <v>-50</v>
      </c>
      <c r="I93" s="324">
        <f>IF(I126&lt;I155,I86,IF(I126&lt;I147,0,IF(I126=I147,0,IF(I126&lt;I154,0,I87))))</f>
        <v>25</v>
      </c>
      <c r="J93" s="324">
        <f>IF(J126&lt;J155,J86,IF(J126&lt;J147,0,IF(J126=J147,0,IF(J126&lt;J154,0,J87))))</f>
        <v>0</v>
      </c>
      <c r="L93" s="324">
        <f>IF(L126&lt;L155,L86,IF(L126&lt;L147,0,IF(L126=L147,0,IF(L126&lt;L154,0,L87))))</f>
        <v>25</v>
      </c>
      <c r="M93" s="324">
        <f>IF(M126&lt;M155,M86,IF(M126&lt;M147,0,IF(M126=M147,0,IF(M126&lt;M154,0,M87))))</f>
        <v>25</v>
      </c>
      <c r="O93" s="324">
        <f>IF(O126&lt;O155,O86,IF(O126&lt;O147,0,IF(O126=O147,0,IF(O126&lt;O154,0,O87))))</f>
        <v>30</v>
      </c>
      <c r="P93" s="324">
        <f>IF(P126&lt;P155,P86,IF(P126&lt;P147,0,IF(P126=P147,0,IF(P126&lt;P154,0,P87))))</f>
        <v>30</v>
      </c>
      <c r="R93" s="324">
        <f>IF(R126&lt;R155,R86,IF(R126&lt;R147,0,IF(R126=R147,0,IF(R126&lt;R154,0,R87))))</f>
        <v>-30</v>
      </c>
      <c r="S93" s="324">
        <f>IF(S126&lt;S155,S86,IF(S126&lt;S147,0,IF(S126=S147,0,IF(S126&lt;S154,0,S87))))</f>
        <v>-30</v>
      </c>
      <c r="AG93" s="265"/>
    </row>
    <row r="94" spans="1:33" s="403" customFormat="1" ht="14">
      <c r="A94" s="459"/>
      <c r="B94" s="459"/>
      <c r="C94" s="459"/>
      <c r="D94" s="459"/>
      <c r="E94" s="331"/>
      <c r="H94" s="331"/>
      <c r="K94" s="328"/>
      <c r="R94" s="366"/>
      <c r="AG94" s="265"/>
    </row>
    <row r="95" spans="1:33" s="403" customFormat="1">
      <c r="A95" s="459" t="s">
        <v>380</v>
      </c>
      <c r="B95" s="459"/>
      <c r="C95" s="459"/>
      <c r="D95" s="459" t="s">
        <v>381</v>
      </c>
      <c r="E95" s="403" t="s">
        <v>1</v>
      </c>
      <c r="F95" s="326">
        <f>IF((F91-F92)&lt;0,F90*(F91-F92+5)+F93,F90*(F91-F92-5)+F93)</f>
        <v>-50</v>
      </c>
      <c r="G95" s="326">
        <f>IF((G91-G92)&lt;0,G90*(G91-G92+5)+G93,G90*(G91-G92-5)+G93)</f>
        <v>-50</v>
      </c>
      <c r="I95" s="326">
        <f>I90*(I91-I92)+I93</f>
        <v>25</v>
      </c>
      <c r="J95" s="326">
        <f>J90*(J91-J92)+J93</f>
        <v>22.059720550000009</v>
      </c>
      <c r="K95" s="327"/>
      <c r="L95" s="326">
        <f t="shared" ref="L95:M95" si="1">L90*(L91-L92)+L93</f>
        <v>25</v>
      </c>
      <c r="M95" s="326">
        <f t="shared" si="1"/>
        <v>25</v>
      </c>
      <c r="O95" s="326">
        <f t="shared" ref="O95:P95" si="2">O90*(O91-O92)+O93</f>
        <v>30</v>
      </c>
      <c r="P95" s="326">
        <f t="shared" si="2"/>
        <v>30</v>
      </c>
      <c r="R95" s="326">
        <f t="shared" ref="R95:S95" si="3">R90*(R91-R92)+R93</f>
        <v>-30</v>
      </c>
      <c r="S95" s="326">
        <f t="shared" si="3"/>
        <v>-30</v>
      </c>
      <c r="AG95" s="265"/>
    </row>
    <row r="96" spans="1:33" s="403" customFormat="1">
      <c r="A96" s="489"/>
      <c r="B96" s="489"/>
      <c r="C96" s="489"/>
      <c r="D96" s="489"/>
      <c r="E96" s="489"/>
      <c r="H96" s="318"/>
      <c r="K96" s="328"/>
      <c r="R96" s="432"/>
      <c r="AG96" s="265"/>
    </row>
    <row r="97" spans="1:33" s="403" customFormat="1" ht="14">
      <c r="A97" s="487" t="s">
        <v>834</v>
      </c>
      <c r="B97" s="489"/>
      <c r="C97" s="489"/>
      <c r="D97" s="489"/>
      <c r="E97" s="318"/>
      <c r="H97" s="318"/>
      <c r="K97" s="328"/>
      <c r="R97" s="432"/>
      <c r="Y97" s="432"/>
      <c r="AB97" s="432"/>
      <c r="AE97" s="432"/>
      <c r="AG97" s="265"/>
    </row>
    <row r="98" spans="1:33" s="403" customFormat="1">
      <c r="A98" s="459" t="s">
        <v>772</v>
      </c>
      <c r="B98" s="459"/>
      <c r="C98" s="459"/>
      <c r="D98" s="459" t="s">
        <v>385</v>
      </c>
      <c r="E98" s="403" t="s">
        <v>1</v>
      </c>
      <c r="H98" s="318"/>
      <c r="K98" s="328"/>
      <c r="R98" s="432"/>
      <c r="U98" s="324">
        <f>IF(U138&lt;U155,0,IF(U138&lt;U151,U85,IF(U138=U151,0,IF(U138&lt;U154,U85,0))))</f>
        <v>0</v>
      </c>
      <c r="V98" s="324">
        <f>IF(V138&lt;V155,0,IF(V138&lt;V151,V85,IF(V138=V151,0,IF(V138&lt;V154,V85,0))))</f>
        <v>0</v>
      </c>
      <c r="Y98" s="432"/>
      <c r="AB98" s="432"/>
      <c r="AE98" s="432"/>
      <c r="AG98" s="265"/>
    </row>
    <row r="99" spans="1:33" s="403" customFormat="1">
      <c r="A99" s="459" t="s">
        <v>773</v>
      </c>
      <c r="B99" s="459"/>
      <c r="C99" s="459"/>
      <c r="D99" s="459" t="s">
        <v>386</v>
      </c>
      <c r="E99" s="403" t="s">
        <v>1</v>
      </c>
      <c r="H99" s="318"/>
      <c r="K99" s="328"/>
      <c r="R99" s="432"/>
      <c r="U99" s="324">
        <f>IF(U138&lt;U155,0,IF(U138&lt;U151,U151,IF(U138=U151,U138,IF(U138&lt;U154,U151,0))))</f>
        <v>0</v>
      </c>
      <c r="V99" s="324">
        <f>IF(V138&lt;V155,0,IF(V138&lt;V151,V151,IF(V138=V151,V138,IF(V138&lt;V154,V151,0))))</f>
        <v>0</v>
      </c>
      <c r="Y99" s="432"/>
      <c r="AB99" s="432"/>
      <c r="AE99" s="432"/>
      <c r="AG99" s="265"/>
    </row>
    <row r="100" spans="1:33" s="403" customFormat="1">
      <c r="A100" s="459" t="s">
        <v>387</v>
      </c>
      <c r="B100" s="459"/>
      <c r="C100" s="459"/>
      <c r="D100" s="459" t="s">
        <v>388</v>
      </c>
      <c r="E100" s="265" t="s">
        <v>1</v>
      </c>
      <c r="H100" s="318"/>
      <c r="K100" s="328"/>
      <c r="R100" s="432"/>
      <c r="U100" s="324">
        <f>U138</f>
        <v>0</v>
      </c>
      <c r="V100" s="324">
        <f>V138</f>
        <v>0</v>
      </c>
      <c r="Y100" s="432"/>
      <c r="AB100" s="432"/>
      <c r="AE100" s="432"/>
      <c r="AG100" s="265"/>
    </row>
    <row r="101" spans="1:33" s="403" customFormat="1">
      <c r="A101" s="459" t="s">
        <v>775</v>
      </c>
      <c r="B101" s="459"/>
      <c r="C101" s="459"/>
      <c r="D101" s="459" t="s">
        <v>389</v>
      </c>
      <c r="E101" s="403" t="s">
        <v>1</v>
      </c>
      <c r="H101" s="318"/>
      <c r="K101" s="328"/>
      <c r="R101" s="432"/>
      <c r="U101" s="324">
        <f>IF(U138&lt;U155,10,IF(U138&lt;U151,0,IF(U138=U151,0,IF(U138&lt;U154,0,-10))))</f>
        <v>0</v>
      </c>
      <c r="V101" s="324">
        <f>IF(V138&lt;V155,10,IF(V138&lt;V151,0,IF(V138=V151,0,IF(V138&lt;V154,0,-10))))</f>
        <v>0</v>
      </c>
      <c r="Y101" s="432"/>
      <c r="AB101" s="432"/>
      <c r="AE101" s="432"/>
      <c r="AG101" s="265"/>
    </row>
    <row r="102" spans="1:33" s="403" customFormat="1" ht="14">
      <c r="A102" s="459"/>
      <c r="B102" s="459"/>
      <c r="C102" s="459"/>
      <c r="D102" s="459"/>
      <c r="E102" s="331"/>
      <c r="H102" s="318"/>
      <c r="K102" s="328"/>
      <c r="R102" s="432"/>
      <c r="Y102" s="432"/>
      <c r="AB102" s="432"/>
      <c r="AE102" s="432"/>
      <c r="AG102" s="265"/>
    </row>
    <row r="103" spans="1:33" s="403" customFormat="1">
      <c r="A103" s="459" t="s">
        <v>380</v>
      </c>
      <c r="B103" s="459"/>
      <c r="C103" s="459"/>
      <c r="D103" s="459" t="s">
        <v>381</v>
      </c>
      <c r="E103" s="403" t="s">
        <v>1</v>
      </c>
      <c r="H103" s="318"/>
      <c r="K103" s="328"/>
      <c r="R103" s="432"/>
      <c r="U103" s="326">
        <f t="shared" ref="U103:V103" si="4">U98*(U99-U100)+U101</f>
        <v>0</v>
      </c>
      <c r="V103" s="326">
        <f t="shared" si="4"/>
        <v>0</v>
      </c>
      <c r="Y103" s="432"/>
      <c r="AB103" s="432"/>
      <c r="AE103" s="432"/>
      <c r="AG103" s="265"/>
    </row>
    <row r="104" spans="1:33" s="265" customFormat="1">
      <c r="A104" s="489"/>
      <c r="B104" s="489"/>
      <c r="C104" s="489"/>
      <c r="D104" s="489"/>
      <c r="E104" s="489"/>
      <c r="H104" s="489"/>
      <c r="K104" s="328"/>
      <c r="R104" s="470"/>
      <c r="U104" s="479"/>
      <c r="V104" s="479"/>
      <c r="X104" s="403"/>
      <c r="Y104" s="432"/>
      <c r="AA104" s="403"/>
      <c r="AB104" s="432"/>
      <c r="AD104" s="403"/>
      <c r="AE104" s="432"/>
    </row>
    <row r="105" spans="1:33" s="403" customFormat="1" ht="14">
      <c r="A105" s="487" t="s">
        <v>833</v>
      </c>
      <c r="B105" s="489"/>
      <c r="C105" s="489"/>
      <c r="D105" s="489"/>
      <c r="E105" s="318"/>
      <c r="H105" s="318"/>
      <c r="K105" s="328"/>
      <c r="R105" s="432"/>
      <c r="V105" s="432"/>
      <c r="Y105" s="432"/>
      <c r="AB105" s="432"/>
      <c r="AE105" s="432"/>
      <c r="AG105" s="265"/>
    </row>
    <row r="106" spans="1:33" s="403" customFormat="1">
      <c r="A106" s="459" t="s">
        <v>380</v>
      </c>
      <c r="B106" s="459"/>
      <c r="C106" s="459"/>
      <c r="D106" s="459" t="s">
        <v>381</v>
      </c>
      <c r="E106" s="403" t="s">
        <v>1</v>
      </c>
      <c r="H106" s="318"/>
      <c r="K106" s="328"/>
      <c r="R106" s="432"/>
      <c r="V106" s="432"/>
      <c r="X106" s="411"/>
      <c r="Y106" s="411"/>
      <c r="AA106" s="411"/>
      <c r="AB106" s="411"/>
      <c r="AD106" s="411"/>
      <c r="AE106" s="411"/>
      <c r="AG106" s="265"/>
    </row>
    <row r="107" spans="1:33" s="403" customFormat="1">
      <c r="A107" s="459"/>
      <c r="B107" s="459"/>
      <c r="C107" s="459"/>
      <c r="D107" s="459"/>
      <c r="H107" s="318"/>
      <c r="K107" s="328"/>
      <c r="R107" s="432"/>
      <c r="V107" s="432"/>
      <c r="X107" s="332"/>
      <c r="Y107" s="332"/>
      <c r="AG107" s="265"/>
    </row>
    <row r="108" spans="1:33" s="403" customFormat="1" ht="14">
      <c r="A108" s="487" t="s">
        <v>910</v>
      </c>
      <c r="B108" s="459"/>
      <c r="C108" s="459"/>
      <c r="D108" s="459"/>
      <c r="H108" s="318"/>
      <c r="K108" s="328"/>
      <c r="R108" s="432"/>
      <c r="V108" s="432"/>
      <c r="X108" s="332"/>
      <c r="Y108" s="332"/>
      <c r="AG108" s="265"/>
    </row>
    <row r="109" spans="1:33" s="403" customFormat="1">
      <c r="A109" s="459" t="s">
        <v>891</v>
      </c>
      <c r="B109" s="459"/>
      <c r="C109" s="459"/>
      <c r="D109" s="320" t="s">
        <v>890</v>
      </c>
      <c r="E109" s="403" t="s">
        <v>1</v>
      </c>
      <c r="H109" s="318"/>
      <c r="K109" s="328"/>
      <c r="R109" s="432"/>
      <c r="V109" s="432"/>
      <c r="X109" s="411"/>
      <c r="Y109" s="411"/>
      <c r="AA109" s="411"/>
      <c r="AB109" s="411"/>
      <c r="AD109" s="411"/>
      <c r="AE109" s="411"/>
      <c r="AG109" s="265"/>
    </row>
    <row r="110" spans="1:33" s="403" customFormat="1">
      <c r="A110" s="459"/>
      <c r="B110" s="459"/>
      <c r="C110" s="459"/>
      <c r="D110" s="459"/>
      <c r="H110" s="318"/>
      <c r="K110" s="328"/>
      <c r="R110" s="432"/>
      <c r="V110" s="432"/>
      <c r="X110" s="265"/>
      <c r="Y110" s="265"/>
      <c r="AG110" s="265"/>
    </row>
    <row r="111" spans="1:33" s="403" customFormat="1" ht="14.5">
      <c r="A111" s="329" t="s">
        <v>417</v>
      </c>
      <c r="B111" s="318"/>
      <c r="C111" s="318"/>
      <c r="D111" s="318"/>
      <c r="E111" s="318"/>
      <c r="H111" s="318"/>
      <c r="K111" s="328"/>
      <c r="R111" s="432"/>
      <c r="V111" s="432"/>
      <c r="AG111" s="265"/>
    </row>
    <row r="112" spans="1:33" s="403" customFormat="1">
      <c r="A112" s="316" t="s">
        <v>774</v>
      </c>
      <c r="B112" s="318"/>
      <c r="C112" s="318"/>
      <c r="D112" s="318"/>
      <c r="E112" s="318"/>
      <c r="H112" s="318"/>
      <c r="K112" s="328"/>
      <c r="R112" s="432"/>
      <c r="AG112" s="265"/>
    </row>
    <row r="113" spans="1:33" s="403" customFormat="1">
      <c r="A113" s="316"/>
      <c r="B113" s="318"/>
      <c r="C113" s="318"/>
      <c r="D113" s="318"/>
      <c r="E113" s="318"/>
      <c r="H113" s="318"/>
      <c r="K113" s="328"/>
      <c r="R113" s="432"/>
      <c r="AG113" s="265"/>
    </row>
    <row r="114" spans="1:33" s="403" customFormat="1" ht="14">
      <c r="A114" s="487" t="s">
        <v>823</v>
      </c>
      <c r="B114" s="318"/>
      <c r="C114" s="318"/>
      <c r="D114" s="318"/>
      <c r="E114" s="318"/>
      <c r="H114" s="318"/>
      <c r="K114" s="328"/>
      <c r="R114" s="432"/>
      <c r="AG114" s="265"/>
    </row>
    <row r="115" spans="1:33" s="403" customFormat="1">
      <c r="A115" s="316"/>
      <c r="B115" s="318"/>
      <c r="C115" s="318"/>
      <c r="D115" s="318"/>
      <c r="E115" s="318"/>
      <c r="H115" s="318"/>
      <c r="K115" s="328"/>
      <c r="R115" s="432"/>
      <c r="AG115" s="265"/>
    </row>
    <row r="116" spans="1:33" s="403" customFormat="1">
      <c r="A116" s="459" t="s">
        <v>390</v>
      </c>
      <c r="B116" s="459"/>
      <c r="C116" s="459"/>
      <c r="D116" s="459" t="s">
        <v>373</v>
      </c>
      <c r="E116" s="265" t="s">
        <v>1</v>
      </c>
      <c r="F116" s="324">
        <f>F24</f>
        <v>651.20509200000004</v>
      </c>
      <c r="G116" s="324">
        <f>G24</f>
        <v>651.20509200000004</v>
      </c>
      <c r="I116" s="324">
        <f>I24</f>
        <v>411.13299999999998</v>
      </c>
      <c r="J116" s="324">
        <f>J24</f>
        <v>412.39691499999998</v>
      </c>
      <c r="L116" s="324">
        <f>L24</f>
        <v>343.58538250219601</v>
      </c>
      <c r="M116" s="324">
        <f>M24</f>
        <v>343.46800000000002</v>
      </c>
      <c r="O116" s="324">
        <f>O24</f>
        <v>379.90690699999999</v>
      </c>
      <c r="P116" s="324">
        <f>P24</f>
        <v>378.09705965000001</v>
      </c>
      <c r="R116" s="324">
        <f>R24</f>
        <v>347.21039109999998</v>
      </c>
      <c r="S116" s="324">
        <f>S24</f>
        <v>345.52699999999999</v>
      </c>
      <c r="AG116" s="265"/>
    </row>
    <row r="117" spans="1:33" s="403" customFormat="1">
      <c r="A117" s="459" t="s">
        <v>391</v>
      </c>
      <c r="B117" s="459"/>
      <c r="C117" s="459"/>
      <c r="D117" s="459" t="s">
        <v>375</v>
      </c>
      <c r="E117" s="265" t="s">
        <v>1</v>
      </c>
      <c r="F117" s="324">
        <f>F25</f>
        <v>973.26010699999995</v>
      </c>
      <c r="G117" s="324">
        <f>G25</f>
        <v>973.26010699999995</v>
      </c>
      <c r="I117" s="324">
        <f>I25</f>
        <v>456.09199999999998</v>
      </c>
      <c r="J117" s="324">
        <f>J25</f>
        <v>459.36679279999998</v>
      </c>
      <c r="L117" s="324">
        <f>L25</f>
        <v>495.23285240000001</v>
      </c>
      <c r="M117" s="324">
        <f>M25</f>
        <v>502.041833</v>
      </c>
      <c r="O117" s="324">
        <f>O25</f>
        <v>487.14656944854516</v>
      </c>
      <c r="P117" s="324">
        <f>P25</f>
        <v>488.42473706999999</v>
      </c>
      <c r="R117" s="324">
        <f>R25</f>
        <v>652.66663860000006</v>
      </c>
      <c r="S117" s="324">
        <f>S25</f>
        <v>666.09</v>
      </c>
      <c r="AG117" s="265"/>
    </row>
    <row r="118" spans="1:33" s="403" customFormat="1">
      <c r="A118" s="459" t="s">
        <v>827</v>
      </c>
      <c r="B118" s="459"/>
      <c r="C118" s="459"/>
      <c r="D118" s="459" t="s">
        <v>825</v>
      </c>
      <c r="E118" s="265" t="s">
        <v>1</v>
      </c>
      <c r="F118" s="411">
        <v>0</v>
      </c>
      <c r="G118" s="324">
        <f>F118</f>
        <v>0</v>
      </c>
      <c r="K118" s="332"/>
      <c r="R118" s="366"/>
      <c r="AG118" s="265"/>
    </row>
    <row r="119" spans="1:33" s="403" customFormat="1">
      <c r="A119" s="459"/>
      <c r="B119" s="459"/>
      <c r="C119" s="459"/>
      <c r="D119" s="459"/>
      <c r="E119" s="489"/>
      <c r="H119" s="318"/>
      <c r="K119" s="328"/>
      <c r="R119" s="432"/>
      <c r="AG119" s="265"/>
    </row>
    <row r="120" spans="1:33" s="403" customFormat="1">
      <c r="A120" s="459" t="s">
        <v>392</v>
      </c>
      <c r="B120" s="459"/>
      <c r="C120" s="459"/>
      <c r="D120" s="459" t="s">
        <v>393</v>
      </c>
      <c r="E120" s="265" t="s">
        <v>1</v>
      </c>
      <c r="F120" s="566">
        <v>0</v>
      </c>
      <c r="G120" s="566">
        <v>0</v>
      </c>
      <c r="H120" s="569"/>
      <c r="I120" s="566">
        <v>0</v>
      </c>
      <c r="J120" s="566">
        <v>0</v>
      </c>
      <c r="K120" s="574"/>
      <c r="L120" s="566">
        <v>0</v>
      </c>
      <c r="M120" s="566">
        <v>0</v>
      </c>
      <c r="N120" s="569"/>
      <c r="O120" s="566">
        <v>0</v>
      </c>
      <c r="P120" s="566">
        <v>0</v>
      </c>
      <c r="Q120" s="569"/>
      <c r="R120" s="566"/>
      <c r="S120" s="566"/>
      <c r="AG120" s="265"/>
    </row>
    <row r="121" spans="1:33" s="403" customFormat="1">
      <c r="A121" s="459"/>
      <c r="B121" s="459"/>
      <c r="C121" s="459"/>
      <c r="D121" s="459"/>
      <c r="E121" s="489"/>
      <c r="F121" s="569"/>
      <c r="G121" s="569"/>
      <c r="H121" s="575"/>
      <c r="I121" s="569"/>
      <c r="J121" s="569"/>
      <c r="K121" s="571"/>
      <c r="L121" s="569"/>
      <c r="M121" s="569"/>
      <c r="N121" s="569"/>
      <c r="O121" s="569"/>
      <c r="P121" s="569"/>
      <c r="Q121" s="569"/>
      <c r="R121" s="569"/>
      <c r="S121" s="569"/>
      <c r="AG121" s="265"/>
    </row>
    <row r="122" spans="1:33" s="403" customFormat="1">
      <c r="A122" s="459" t="s">
        <v>394</v>
      </c>
      <c r="B122" s="459"/>
      <c r="C122" s="459"/>
      <c r="D122" s="459" t="s">
        <v>379</v>
      </c>
      <c r="E122" s="265" t="s">
        <v>1</v>
      </c>
      <c r="F122" s="566">
        <v>0</v>
      </c>
      <c r="G122" s="566">
        <v>0</v>
      </c>
      <c r="H122" s="569"/>
      <c r="I122" s="566">
        <v>0</v>
      </c>
      <c r="J122" s="566">
        <v>0</v>
      </c>
      <c r="K122" s="574"/>
      <c r="L122" s="566">
        <v>0</v>
      </c>
      <c r="M122" s="566">
        <v>0</v>
      </c>
      <c r="N122" s="569"/>
      <c r="O122" s="566">
        <v>0</v>
      </c>
      <c r="P122" s="566">
        <v>0</v>
      </c>
      <c r="Q122" s="569"/>
      <c r="R122" s="566"/>
      <c r="S122" s="566"/>
      <c r="AG122" s="265"/>
    </row>
    <row r="123" spans="1:33" s="403" customFormat="1">
      <c r="A123" s="459"/>
      <c r="B123" s="459"/>
      <c r="C123" s="459"/>
      <c r="D123" s="459"/>
      <c r="E123" s="489"/>
      <c r="F123" s="569"/>
      <c r="G123" s="569"/>
      <c r="H123" s="575"/>
      <c r="I123" s="569"/>
      <c r="J123" s="569"/>
      <c r="K123" s="571"/>
      <c r="L123" s="569"/>
      <c r="M123" s="569"/>
      <c r="N123" s="569"/>
      <c r="O123" s="569"/>
      <c r="P123" s="569"/>
      <c r="Q123" s="569"/>
      <c r="R123" s="569"/>
      <c r="S123" s="569"/>
      <c r="AG123" s="265"/>
    </row>
    <row r="124" spans="1:33" s="403" customFormat="1">
      <c r="A124" s="265" t="s">
        <v>826</v>
      </c>
      <c r="B124" s="265"/>
      <c r="C124" s="265"/>
      <c r="D124" s="265" t="s">
        <v>821</v>
      </c>
      <c r="E124" s="265" t="s">
        <v>1</v>
      </c>
      <c r="F124" s="566">
        <v>0</v>
      </c>
      <c r="G124" s="566">
        <v>0</v>
      </c>
      <c r="H124" s="569"/>
      <c r="I124" s="566">
        <v>0</v>
      </c>
      <c r="J124" s="566">
        <v>0</v>
      </c>
      <c r="K124" s="574"/>
      <c r="L124" s="566">
        <v>0</v>
      </c>
      <c r="M124" s="566">
        <v>0</v>
      </c>
      <c r="N124" s="569"/>
      <c r="O124" s="566">
        <v>0</v>
      </c>
      <c r="P124" s="566">
        <v>0.47206485999999998</v>
      </c>
      <c r="Q124" s="569"/>
      <c r="R124" s="566"/>
      <c r="S124" s="566"/>
      <c r="AG124" s="265"/>
    </row>
    <row r="125" spans="1:33" s="403" customFormat="1">
      <c r="A125" s="265"/>
      <c r="B125" s="265"/>
      <c r="C125" s="265"/>
      <c r="D125" s="265"/>
      <c r="E125" s="265"/>
      <c r="K125" s="328"/>
      <c r="R125" s="432"/>
      <c r="AG125" s="265"/>
    </row>
    <row r="126" spans="1:33" s="403" customFormat="1">
      <c r="A126" s="459" t="s">
        <v>395</v>
      </c>
      <c r="B126" s="459"/>
      <c r="C126" s="459"/>
      <c r="D126" s="459" t="s">
        <v>388</v>
      </c>
      <c r="E126" s="265" t="s">
        <v>1</v>
      </c>
      <c r="F126" s="267">
        <f>F116+F117+F118-F120-F122-F124</f>
        <v>1624.465199</v>
      </c>
      <c r="G126" s="267">
        <f>G116+G117+G118-G120-G122-G124</f>
        <v>1624.465199</v>
      </c>
      <c r="I126" s="267">
        <f>I116+I117+I118-I120-I122-I124</f>
        <v>867.22499999999991</v>
      </c>
      <c r="J126" s="267">
        <f>J116+J117+J118-J120-J122-J124</f>
        <v>871.76370780000002</v>
      </c>
      <c r="K126" s="333"/>
      <c r="L126" s="267">
        <f>L116+L117+L118-L120-L122-L124</f>
        <v>838.81823490219608</v>
      </c>
      <c r="M126" s="267">
        <f>M116+M117+M118-M120-M122-M124</f>
        <v>845.50983300000007</v>
      </c>
      <c r="O126" s="267">
        <f>O116+O117+O118-O120-O122-O124</f>
        <v>867.0534764485451</v>
      </c>
      <c r="P126" s="267">
        <f>P116+P117+P118-P120-P122-P124</f>
        <v>866.04973185999995</v>
      </c>
      <c r="R126" s="267">
        <f>R116+R117+R118-R120-R122-R124</f>
        <v>999.87702970000009</v>
      </c>
      <c r="S126" s="267">
        <f>S116+S117+S118-S120-S122-S124</f>
        <v>1011.617</v>
      </c>
      <c r="AG126" s="265"/>
    </row>
    <row r="127" spans="1:33" s="265" customFormat="1">
      <c r="A127" s="459"/>
      <c r="B127" s="459"/>
      <c r="C127" s="459"/>
      <c r="D127" s="459"/>
      <c r="F127" s="464"/>
      <c r="G127" s="464"/>
      <c r="I127" s="464"/>
      <c r="J127" s="464"/>
      <c r="K127" s="464"/>
      <c r="L127" s="464"/>
      <c r="M127" s="464"/>
      <c r="O127" s="464"/>
      <c r="P127" s="464"/>
      <c r="R127" s="464"/>
      <c r="S127" s="464"/>
      <c r="U127" s="464"/>
      <c r="V127" s="464"/>
      <c r="X127" s="464"/>
      <c r="Y127" s="464"/>
      <c r="AA127" s="464"/>
      <c r="AB127" s="464"/>
      <c r="AD127" s="464"/>
      <c r="AE127" s="464"/>
    </row>
    <row r="128" spans="1:33" s="265" customFormat="1">
      <c r="A128" s="459"/>
      <c r="B128" s="459"/>
      <c r="C128" s="459"/>
      <c r="D128" s="459"/>
      <c r="F128" s="464"/>
      <c r="G128" s="464"/>
      <c r="I128" s="464"/>
      <c r="J128" s="464"/>
      <c r="K128" s="464"/>
      <c r="L128" s="464"/>
      <c r="M128" s="464"/>
      <c r="O128" s="464"/>
      <c r="P128" s="464"/>
      <c r="R128" s="464"/>
      <c r="S128" s="464"/>
      <c r="U128" s="464"/>
      <c r="V128" s="464"/>
      <c r="X128" s="464"/>
      <c r="Y128" s="464"/>
      <c r="AA128" s="464"/>
      <c r="AB128" s="464"/>
      <c r="AD128" s="464"/>
      <c r="AE128" s="464"/>
    </row>
    <row r="129" spans="1:33" s="403" customFormat="1" ht="14">
      <c r="A129" s="481" t="s">
        <v>824</v>
      </c>
      <c r="B129" s="318"/>
      <c r="C129" s="318"/>
      <c r="D129" s="318"/>
      <c r="E129" s="318"/>
      <c r="H129" s="318"/>
      <c r="K129" s="328"/>
      <c r="R129" s="432"/>
      <c r="AG129" s="265"/>
    </row>
    <row r="130" spans="1:33" s="403" customFormat="1" ht="14">
      <c r="A130" s="481"/>
      <c r="B130" s="318"/>
      <c r="C130" s="318"/>
      <c r="D130" s="318"/>
      <c r="E130" s="318"/>
      <c r="H130" s="318"/>
      <c r="K130" s="328"/>
      <c r="R130" s="432"/>
      <c r="AG130" s="265"/>
    </row>
    <row r="131" spans="1:33" s="403" customFormat="1">
      <c r="A131" s="320" t="s">
        <v>390</v>
      </c>
      <c r="B131" s="320"/>
      <c r="C131" s="320"/>
      <c r="D131" s="320" t="s">
        <v>373</v>
      </c>
      <c r="E131" s="403" t="s">
        <v>1</v>
      </c>
      <c r="F131" s="332"/>
      <c r="G131" s="332"/>
      <c r="H131" s="328"/>
      <c r="I131" s="332"/>
      <c r="J131" s="332"/>
      <c r="K131" s="332"/>
      <c r="L131" s="332"/>
      <c r="M131" s="332"/>
      <c r="N131" s="225"/>
      <c r="O131" s="332"/>
      <c r="P131" s="332"/>
      <c r="Q131" s="328"/>
      <c r="R131" s="332"/>
      <c r="S131" s="332"/>
      <c r="U131" s="324">
        <f>U42</f>
        <v>0</v>
      </c>
      <c r="V131" s="324">
        <f>V42</f>
        <v>0</v>
      </c>
      <c r="X131" s="324">
        <f>X57</f>
        <v>0</v>
      </c>
      <c r="Y131" s="324">
        <f>Y42</f>
        <v>0</v>
      </c>
      <c r="AA131" s="324">
        <f>AA42</f>
        <v>0</v>
      </c>
      <c r="AB131" s="324">
        <f>AB42</f>
        <v>0</v>
      </c>
      <c r="AD131" s="324">
        <f>AD42</f>
        <v>0</v>
      </c>
      <c r="AE131" s="324">
        <f>AE42</f>
        <v>0</v>
      </c>
      <c r="AG131" s="265"/>
    </row>
    <row r="132" spans="1:33" s="403" customFormat="1">
      <c r="A132" s="320" t="s">
        <v>391</v>
      </c>
      <c r="B132" s="320"/>
      <c r="C132" s="320"/>
      <c r="D132" s="320" t="s">
        <v>375</v>
      </c>
      <c r="E132" s="403" t="s">
        <v>1</v>
      </c>
      <c r="F132" s="332"/>
      <c r="G132" s="332"/>
      <c r="H132" s="328"/>
      <c r="I132" s="332"/>
      <c r="J132" s="332"/>
      <c r="K132" s="332"/>
      <c r="L132" s="332"/>
      <c r="M132" s="332"/>
      <c r="N132" s="328"/>
      <c r="O132" s="332"/>
      <c r="P132" s="332"/>
      <c r="Q132" s="328"/>
      <c r="R132" s="332"/>
      <c r="S132" s="332"/>
      <c r="U132" s="324">
        <f>U43</f>
        <v>0</v>
      </c>
      <c r="V132" s="324">
        <f>V43</f>
        <v>0</v>
      </c>
      <c r="X132" s="324">
        <f>X58</f>
        <v>0</v>
      </c>
      <c r="Y132" s="324">
        <f>Y43</f>
        <v>0</v>
      </c>
      <c r="AA132" s="324">
        <f>AA43</f>
        <v>0</v>
      </c>
      <c r="AB132" s="324">
        <f>AB43</f>
        <v>0</v>
      </c>
      <c r="AD132" s="324">
        <f>AD43</f>
        <v>0</v>
      </c>
      <c r="AE132" s="324">
        <f>AE43</f>
        <v>0</v>
      </c>
      <c r="AG132" s="265"/>
    </row>
    <row r="133" spans="1:33" s="403" customFormat="1">
      <c r="A133" s="320"/>
      <c r="B133" s="320"/>
      <c r="C133" s="320"/>
      <c r="D133" s="320"/>
      <c r="E133" s="318"/>
      <c r="F133" s="328"/>
      <c r="G133" s="328"/>
      <c r="H133" s="330"/>
      <c r="I133" s="328"/>
      <c r="J133" s="328"/>
      <c r="K133" s="328"/>
      <c r="L133" s="328"/>
      <c r="M133" s="328"/>
      <c r="N133" s="328"/>
      <c r="O133" s="328"/>
      <c r="P133" s="328"/>
      <c r="Q133" s="328"/>
      <c r="R133" s="485"/>
      <c r="S133" s="328"/>
      <c r="AG133" s="265"/>
    </row>
    <row r="134" spans="1:33" s="403" customFormat="1">
      <c r="A134" s="320" t="s">
        <v>392</v>
      </c>
      <c r="B134" s="320"/>
      <c r="C134" s="320"/>
      <c r="D134" s="320" t="s">
        <v>393</v>
      </c>
      <c r="E134" s="403" t="s">
        <v>1</v>
      </c>
      <c r="F134" s="332"/>
      <c r="G134" s="332"/>
      <c r="H134" s="328"/>
      <c r="I134" s="332"/>
      <c r="J134" s="332"/>
      <c r="K134" s="332"/>
      <c r="L134" s="332"/>
      <c r="M134" s="332"/>
      <c r="N134" s="328"/>
      <c r="O134" s="332"/>
      <c r="P134" s="332"/>
      <c r="Q134" s="328"/>
      <c r="R134" s="332"/>
      <c r="S134" s="332"/>
      <c r="U134" s="566"/>
      <c r="V134" s="566"/>
      <c r="X134" s="566"/>
      <c r="Y134" s="566"/>
      <c r="Z134" s="569"/>
      <c r="AA134" s="566"/>
      <c r="AB134" s="411"/>
      <c r="AD134" s="411"/>
      <c r="AE134" s="411"/>
      <c r="AG134" s="265"/>
    </row>
    <row r="135" spans="1:33" s="403" customFormat="1">
      <c r="A135" s="320"/>
      <c r="B135" s="320"/>
      <c r="C135" s="320"/>
      <c r="D135" s="320"/>
      <c r="E135" s="318"/>
      <c r="F135" s="328"/>
      <c r="G135" s="328"/>
      <c r="H135" s="330"/>
      <c r="I135" s="328"/>
      <c r="J135" s="328"/>
      <c r="K135" s="328"/>
      <c r="L135" s="328"/>
      <c r="M135" s="328"/>
      <c r="N135" s="328"/>
      <c r="O135" s="328"/>
      <c r="P135" s="328"/>
      <c r="Q135" s="328"/>
      <c r="R135" s="485"/>
      <c r="S135" s="328"/>
      <c r="U135" s="569"/>
      <c r="V135" s="569"/>
      <c r="X135" s="569"/>
      <c r="Y135" s="569"/>
      <c r="Z135" s="569"/>
      <c r="AA135" s="569"/>
      <c r="AG135" s="265"/>
    </row>
    <row r="136" spans="1:33" s="403" customFormat="1">
      <c r="A136" s="320" t="s">
        <v>394</v>
      </c>
      <c r="B136" s="320"/>
      <c r="C136" s="320"/>
      <c r="D136" s="320" t="s">
        <v>379</v>
      </c>
      <c r="E136" s="403" t="s">
        <v>1</v>
      </c>
      <c r="F136" s="332"/>
      <c r="G136" s="332"/>
      <c r="H136" s="328"/>
      <c r="I136" s="332"/>
      <c r="J136" s="332"/>
      <c r="K136" s="332"/>
      <c r="L136" s="332"/>
      <c r="M136" s="332"/>
      <c r="N136" s="328"/>
      <c r="O136" s="332"/>
      <c r="P136" s="332"/>
      <c r="Q136" s="328"/>
      <c r="R136" s="485"/>
      <c r="S136" s="332"/>
      <c r="U136" s="566"/>
      <c r="V136" s="566"/>
      <c r="X136" s="566"/>
      <c r="Y136" s="566"/>
      <c r="Z136" s="569"/>
      <c r="AA136" s="566"/>
      <c r="AB136" s="411"/>
      <c r="AD136" s="411"/>
      <c r="AE136" s="411"/>
      <c r="AG136" s="265"/>
    </row>
    <row r="137" spans="1:33" s="403" customFormat="1">
      <c r="A137" s="320"/>
      <c r="B137" s="320"/>
      <c r="C137" s="320"/>
      <c r="D137" s="320"/>
      <c r="E137" s="318"/>
      <c r="F137" s="328"/>
      <c r="G137" s="328"/>
      <c r="H137" s="330"/>
      <c r="I137" s="328"/>
      <c r="J137" s="328"/>
      <c r="K137" s="328"/>
      <c r="L137" s="328"/>
      <c r="M137" s="328"/>
      <c r="N137" s="328"/>
      <c r="O137" s="328"/>
      <c r="P137" s="328"/>
      <c r="Q137" s="328"/>
      <c r="R137" s="485"/>
      <c r="S137" s="328"/>
      <c r="AG137" s="265"/>
    </row>
    <row r="138" spans="1:33" s="403" customFormat="1">
      <c r="A138" s="320" t="s">
        <v>395</v>
      </c>
      <c r="B138" s="320"/>
      <c r="C138" s="320"/>
      <c r="D138" s="320" t="s">
        <v>388</v>
      </c>
      <c r="E138" s="403" t="s">
        <v>1</v>
      </c>
      <c r="F138" s="464"/>
      <c r="G138" s="464"/>
      <c r="H138" s="328"/>
      <c r="I138" s="464"/>
      <c r="J138" s="464"/>
      <c r="K138" s="464"/>
      <c r="L138" s="464"/>
      <c r="M138" s="464"/>
      <c r="N138" s="328"/>
      <c r="O138" s="464"/>
      <c r="P138" s="464"/>
      <c r="Q138" s="328"/>
      <c r="R138" s="464"/>
      <c r="S138" s="464"/>
      <c r="U138" s="267">
        <f>U131+U132-U134-U136</f>
        <v>0</v>
      </c>
      <c r="V138" s="267">
        <f>V131+V132-V134-V136</f>
        <v>0</v>
      </c>
      <c r="X138" s="267">
        <f>X131+X132-X134-X136</f>
        <v>0</v>
      </c>
      <c r="Y138" s="267">
        <f>Y131+Y132-Y134-Y136</f>
        <v>0</v>
      </c>
      <c r="AA138" s="267">
        <f>AA131+AA132-AA134-AA136</f>
        <v>0</v>
      </c>
      <c r="AB138" s="267">
        <f>AB131+AB132-AB134-AB136</f>
        <v>0</v>
      </c>
      <c r="AD138" s="267">
        <f>AD131+AD132-AD134-AD136</f>
        <v>0</v>
      </c>
      <c r="AE138" s="267">
        <f>AE131+AE132-AE134-AE136</f>
        <v>0</v>
      </c>
      <c r="AG138" s="265"/>
    </row>
    <row r="139" spans="1:33" s="265" customFormat="1">
      <c r="A139" s="459"/>
      <c r="B139" s="459"/>
      <c r="C139" s="459"/>
      <c r="D139" s="459"/>
      <c r="F139" s="464"/>
      <c r="G139" s="464"/>
      <c r="I139" s="464"/>
      <c r="J139" s="464"/>
      <c r="K139" s="464"/>
      <c r="L139" s="464"/>
      <c r="M139" s="464"/>
      <c r="O139" s="464"/>
      <c r="P139" s="464"/>
      <c r="R139" s="464"/>
      <c r="S139" s="464"/>
      <c r="U139" s="464"/>
      <c r="V139" s="464"/>
      <c r="X139" s="464"/>
      <c r="Y139" s="464"/>
      <c r="AA139" s="464"/>
      <c r="AB139" s="464"/>
      <c r="AD139" s="464"/>
      <c r="AE139" s="464"/>
    </row>
    <row r="140" spans="1:33" s="403" customFormat="1">
      <c r="K140" s="328"/>
      <c r="R140" s="432"/>
      <c r="AG140" s="265"/>
    </row>
    <row r="141" spans="1:33" s="403" customFormat="1">
      <c r="A141" s="465" t="s">
        <v>418</v>
      </c>
      <c r="K141" s="328"/>
      <c r="R141" s="432"/>
      <c r="AG141" s="265"/>
    </row>
    <row r="142" spans="1:33" s="403" customFormat="1">
      <c r="A142" s="466" t="s">
        <v>831</v>
      </c>
      <c r="K142" s="328"/>
      <c r="R142" s="432"/>
      <c r="AG142" s="265"/>
    </row>
    <row r="143" spans="1:33" s="403" customFormat="1">
      <c r="A143" s="466"/>
      <c r="K143" s="328"/>
      <c r="R143" s="432"/>
      <c r="AG143" s="265"/>
    </row>
    <row r="144" spans="1:33" s="403" customFormat="1" ht="14">
      <c r="A144" s="487" t="s">
        <v>823</v>
      </c>
      <c r="K144" s="328"/>
      <c r="R144" s="432"/>
      <c r="AG144" s="265"/>
    </row>
    <row r="145" spans="1:33" s="403" customFormat="1">
      <c r="A145" s="265" t="s">
        <v>419</v>
      </c>
      <c r="D145" s="403" t="s">
        <v>420</v>
      </c>
      <c r="E145" s="403" t="s">
        <v>1</v>
      </c>
      <c r="F145" s="411">
        <v>1503.18926388</v>
      </c>
      <c r="G145" s="411">
        <v>1503.18926388</v>
      </c>
      <c r="I145" s="411">
        <v>1073.5239999999999</v>
      </c>
      <c r="J145" s="411">
        <v>938.9525900000001</v>
      </c>
      <c r="K145" s="339"/>
      <c r="L145" s="411">
        <v>957.09576869907301</v>
      </c>
      <c r="M145" s="411">
        <v>934.7</v>
      </c>
      <c r="N145" s="406"/>
      <c r="O145" s="411">
        <v>1073.0651776744601</v>
      </c>
      <c r="P145" s="411">
        <v>1073.0650000000001</v>
      </c>
      <c r="R145" s="411"/>
      <c r="S145" s="411"/>
      <c r="U145" s="495"/>
      <c r="V145" s="332"/>
      <c r="W145" s="328"/>
      <c r="X145" s="495"/>
      <c r="Y145" s="332"/>
      <c r="Z145" s="328"/>
      <c r="AA145" s="495"/>
      <c r="AB145" s="332"/>
      <c r="AC145" s="328"/>
      <c r="AD145" s="495"/>
      <c r="AE145" s="332"/>
      <c r="AG145" s="265"/>
    </row>
    <row r="146" spans="1:33" s="403" customFormat="1">
      <c r="A146" s="265" t="s">
        <v>422</v>
      </c>
      <c r="D146" s="403" t="s">
        <v>421</v>
      </c>
      <c r="E146" s="403" t="s">
        <v>1</v>
      </c>
      <c r="F146" s="411"/>
      <c r="G146" s="411"/>
      <c r="I146" s="411">
        <v>21.05</v>
      </c>
      <c r="J146" s="411">
        <v>21.05</v>
      </c>
      <c r="K146" s="322"/>
      <c r="L146" s="411">
        <v>21.45</v>
      </c>
      <c r="M146" s="411">
        <v>21.45</v>
      </c>
      <c r="O146" s="411">
        <v>22.35</v>
      </c>
      <c r="P146" s="411">
        <v>22.35</v>
      </c>
      <c r="R146" s="411"/>
      <c r="S146" s="411"/>
      <c r="U146" s="332"/>
      <c r="V146" s="332"/>
      <c r="W146" s="328"/>
      <c r="X146" s="332"/>
      <c r="Y146" s="332"/>
      <c r="Z146" s="328"/>
      <c r="AA146" s="332"/>
      <c r="AB146" s="332"/>
      <c r="AC146" s="328"/>
      <c r="AD146" s="332"/>
      <c r="AE146" s="332"/>
      <c r="AG146" s="265"/>
    </row>
    <row r="147" spans="1:33" s="403" customFormat="1">
      <c r="A147" s="265" t="s">
        <v>418</v>
      </c>
      <c r="D147" s="403" t="s">
        <v>150</v>
      </c>
      <c r="E147" s="403" t="s">
        <v>1</v>
      </c>
      <c r="F147" s="267">
        <f>F145+F146</f>
        <v>1503.18926388</v>
      </c>
      <c r="G147" s="267">
        <f>G145+G146</f>
        <v>1503.18926388</v>
      </c>
      <c r="I147" s="267">
        <f>I145+I146</f>
        <v>1094.5739999999998</v>
      </c>
      <c r="J147" s="267">
        <f>J145+J146</f>
        <v>960.00259000000005</v>
      </c>
      <c r="K147" s="333"/>
      <c r="L147" s="267">
        <f>L145+L146</f>
        <v>978.54576869907305</v>
      </c>
      <c r="M147" s="267">
        <f>M145+M146</f>
        <v>956.15000000000009</v>
      </c>
      <c r="O147" s="267">
        <f>O145+O146</f>
        <v>1095.41517767446</v>
      </c>
      <c r="P147" s="267">
        <f>P145+P146</f>
        <v>1095.415</v>
      </c>
      <c r="R147" s="267">
        <f>R145+R146</f>
        <v>0</v>
      </c>
      <c r="S147" s="267">
        <f>S145+S146</f>
        <v>0</v>
      </c>
      <c r="U147" s="182"/>
      <c r="V147" s="182"/>
      <c r="W147" s="182"/>
      <c r="X147" s="182"/>
      <c r="Y147" s="182"/>
      <c r="Z147" s="182"/>
      <c r="AA147" s="182"/>
      <c r="AB147" s="182"/>
      <c r="AC147" s="182"/>
      <c r="AD147" s="182"/>
      <c r="AE147" s="182"/>
      <c r="AG147" s="265"/>
    </row>
    <row r="148" spans="1:33" s="265" customFormat="1">
      <c r="F148" s="464"/>
      <c r="G148" s="464"/>
      <c r="I148" s="464"/>
      <c r="J148" s="464"/>
      <c r="K148" s="464"/>
      <c r="L148" s="464"/>
      <c r="M148" s="464"/>
      <c r="O148" s="464"/>
      <c r="P148" s="464"/>
      <c r="R148" s="464"/>
      <c r="S148" s="464"/>
      <c r="U148" s="332"/>
      <c r="V148" s="332"/>
      <c r="W148" s="328"/>
      <c r="X148" s="332"/>
      <c r="Y148" s="332"/>
      <c r="Z148" s="328"/>
      <c r="AA148" s="332"/>
      <c r="AB148" s="332"/>
      <c r="AC148" s="328"/>
      <c r="AD148" s="332"/>
      <c r="AE148" s="332"/>
    </row>
    <row r="149" spans="1:33" s="265" customFormat="1">
      <c r="F149" s="464"/>
      <c r="G149" s="464"/>
      <c r="I149" s="464"/>
      <c r="J149" s="464"/>
      <c r="K149" s="464"/>
      <c r="L149" s="464"/>
      <c r="M149" s="464"/>
      <c r="O149" s="464"/>
      <c r="P149" s="464"/>
      <c r="R149" s="464"/>
      <c r="S149" s="464"/>
      <c r="U149" s="332"/>
      <c r="V149" s="332"/>
      <c r="X149" s="332"/>
      <c r="Y149" s="332"/>
      <c r="AA149" s="332"/>
      <c r="AB149" s="332"/>
      <c r="AD149" s="332"/>
      <c r="AE149" s="332"/>
    </row>
    <row r="150" spans="1:33" s="265" customFormat="1" ht="14">
      <c r="A150" s="481" t="s">
        <v>824</v>
      </c>
      <c r="F150" s="464"/>
      <c r="G150" s="464"/>
      <c r="I150" s="464"/>
      <c r="J150" s="464"/>
      <c r="K150" s="464"/>
      <c r="L150" s="464"/>
      <c r="M150" s="464"/>
      <c r="O150" s="464"/>
      <c r="P150" s="464"/>
      <c r="R150" s="464"/>
      <c r="S150" s="464"/>
      <c r="U150" s="332"/>
      <c r="V150" s="332"/>
      <c r="X150" s="332"/>
      <c r="Y150" s="332"/>
      <c r="AA150" s="332"/>
      <c r="AB150" s="332"/>
      <c r="AD150" s="332"/>
      <c r="AE150" s="332"/>
    </row>
    <row r="151" spans="1:33" s="265" customFormat="1">
      <c r="A151" s="265" t="s">
        <v>418</v>
      </c>
      <c r="B151" s="403"/>
      <c r="C151" s="403"/>
      <c r="D151" s="403" t="s">
        <v>150</v>
      </c>
      <c r="E151" s="403" t="s">
        <v>1</v>
      </c>
      <c r="F151" s="464"/>
      <c r="G151" s="464"/>
      <c r="I151" s="464"/>
      <c r="J151" s="464"/>
      <c r="K151" s="464"/>
      <c r="L151" s="464"/>
      <c r="M151" s="464"/>
      <c r="O151" s="464"/>
      <c r="P151" s="464"/>
      <c r="R151" s="464"/>
      <c r="S151" s="464"/>
      <c r="U151" s="411"/>
      <c r="V151" s="411"/>
      <c r="W151" s="403"/>
      <c r="X151" s="565"/>
      <c r="Y151" s="565"/>
      <c r="Z151" s="403"/>
      <c r="AA151" s="565"/>
      <c r="AB151" s="411"/>
      <c r="AC151" s="403"/>
      <c r="AD151" s="411"/>
      <c r="AE151" s="411"/>
    </row>
    <row r="152" spans="1:33" s="265" customFormat="1">
      <c r="F152" s="464"/>
      <c r="G152" s="464"/>
      <c r="I152" s="464"/>
      <c r="J152" s="464"/>
      <c r="K152" s="464"/>
      <c r="L152" s="464"/>
      <c r="M152" s="464"/>
      <c r="O152" s="464"/>
      <c r="P152" s="464"/>
      <c r="R152" s="464"/>
      <c r="S152" s="464"/>
      <c r="U152" s="332"/>
      <c r="V152" s="332"/>
      <c r="X152" s="332"/>
      <c r="Y152" s="332"/>
      <c r="AA152" s="332"/>
      <c r="AB152" s="332"/>
      <c r="AD152" s="332"/>
      <c r="AE152" s="332"/>
    </row>
    <row r="153" spans="1:33" s="403" customFormat="1">
      <c r="K153" s="328"/>
      <c r="R153" s="366"/>
      <c r="AG153" s="265"/>
    </row>
    <row r="154" spans="1:33" s="403" customFormat="1">
      <c r="A154" s="403" t="s">
        <v>423</v>
      </c>
      <c r="E154" s="403" t="s">
        <v>1</v>
      </c>
      <c r="F154" s="267">
        <f>F147+100</f>
        <v>1603.18926388</v>
      </c>
      <c r="G154" s="267">
        <f>G147+100</f>
        <v>1603.18926388</v>
      </c>
      <c r="I154" s="267">
        <f>I147+100</f>
        <v>1194.5739999999998</v>
      </c>
      <c r="J154" s="267">
        <f>J147+100</f>
        <v>1060.0025900000001</v>
      </c>
      <c r="K154" s="333"/>
      <c r="L154" s="267">
        <f>L147+100</f>
        <v>1078.5457686990731</v>
      </c>
      <c r="M154" s="267">
        <f>M147+100</f>
        <v>1056.1500000000001</v>
      </c>
      <c r="O154" s="267">
        <f>O147+100</f>
        <v>1195.41517767446</v>
      </c>
      <c r="P154" s="267">
        <f>P147+100</f>
        <v>1195.415</v>
      </c>
      <c r="R154" s="267">
        <f>R147+100</f>
        <v>100</v>
      </c>
      <c r="S154" s="267">
        <f>S147+100</f>
        <v>100</v>
      </c>
      <c r="U154" s="267">
        <f>U151+100</f>
        <v>100</v>
      </c>
      <c r="V154" s="267">
        <f>V151+100</f>
        <v>100</v>
      </c>
      <c r="X154" s="267">
        <f>X151+100</f>
        <v>100</v>
      </c>
      <c r="Y154" s="267">
        <f>Y151+100</f>
        <v>100</v>
      </c>
      <c r="AA154" s="267">
        <f>AA151+100</f>
        <v>100</v>
      </c>
      <c r="AB154" s="267">
        <f>AB151+100</f>
        <v>100</v>
      </c>
      <c r="AD154" s="267">
        <f>AD151+100</f>
        <v>100</v>
      </c>
      <c r="AE154" s="267">
        <f>AE151+100</f>
        <v>100</v>
      </c>
      <c r="AG154" s="265"/>
    </row>
    <row r="155" spans="1:33" s="403" customFormat="1">
      <c r="A155" s="403" t="s">
        <v>424</v>
      </c>
      <c r="E155" s="403" t="s">
        <v>1</v>
      </c>
      <c r="F155" s="267">
        <f>F147-100</f>
        <v>1403.18926388</v>
      </c>
      <c r="G155" s="267">
        <f>G147-100</f>
        <v>1403.18926388</v>
      </c>
      <c r="I155" s="267">
        <f>I147-100</f>
        <v>994.57399999999984</v>
      </c>
      <c r="J155" s="267">
        <f>J147-100</f>
        <v>860.00259000000005</v>
      </c>
      <c r="K155" s="333"/>
      <c r="L155" s="267">
        <f>L147-100</f>
        <v>878.54576869907305</v>
      </c>
      <c r="M155" s="267">
        <f>M147-100</f>
        <v>856.15000000000009</v>
      </c>
      <c r="O155" s="267">
        <f>O147-100</f>
        <v>995.41517767445998</v>
      </c>
      <c r="P155" s="267">
        <f>P147-100</f>
        <v>995.41499999999996</v>
      </c>
      <c r="R155" s="267">
        <f>R147-100</f>
        <v>-100</v>
      </c>
      <c r="S155" s="267">
        <f>S147-100</f>
        <v>-100</v>
      </c>
      <c r="U155" s="267">
        <f>U151-100</f>
        <v>-100</v>
      </c>
      <c r="V155" s="267">
        <f>V151-100</f>
        <v>-100</v>
      </c>
      <c r="X155" s="267">
        <f>X151-100</f>
        <v>-100</v>
      </c>
      <c r="Y155" s="267">
        <f>Y151-100</f>
        <v>-100</v>
      </c>
      <c r="AA155" s="267">
        <f>AA151-100</f>
        <v>-100</v>
      </c>
      <c r="AB155" s="267">
        <f>AB151-100</f>
        <v>-100</v>
      </c>
      <c r="AD155" s="267">
        <f>AD151-100</f>
        <v>-100</v>
      </c>
      <c r="AE155" s="267">
        <f>AE151-100</f>
        <v>-100</v>
      </c>
      <c r="AG155" s="265"/>
    </row>
    <row r="156" spans="1:33" s="403" customFormat="1">
      <c r="K156" s="328"/>
      <c r="AG156" s="265"/>
    </row>
    <row r="157" spans="1:33" s="403" customFormat="1">
      <c r="A157" s="510" t="s">
        <v>376</v>
      </c>
      <c r="D157" s="403" t="s">
        <v>377</v>
      </c>
      <c r="E157" s="403" t="s">
        <v>1</v>
      </c>
      <c r="K157" s="328"/>
      <c r="AG157" s="265"/>
    </row>
    <row r="158" spans="1:33" s="403" customFormat="1">
      <c r="A158" s="459" t="s">
        <v>573</v>
      </c>
      <c r="F158" s="411">
        <v>0.30118681000000003</v>
      </c>
      <c r="I158" s="565">
        <v>0</v>
      </c>
      <c r="K158" s="328"/>
      <c r="L158" s="565">
        <v>0</v>
      </c>
      <c r="O158" s="411">
        <v>0.58859912999999997</v>
      </c>
      <c r="R158" s="565"/>
      <c r="U158" s="411"/>
      <c r="X158" s="565"/>
      <c r="AA158" s="565"/>
      <c r="AD158" s="411"/>
      <c r="AG158" s="265"/>
    </row>
    <row r="159" spans="1:33" s="403" customFormat="1">
      <c r="A159" s="265" t="s">
        <v>574</v>
      </c>
      <c r="I159" s="565">
        <v>0</v>
      </c>
      <c r="K159" s="328"/>
      <c r="L159" s="565">
        <v>0</v>
      </c>
      <c r="O159" s="565">
        <v>0</v>
      </c>
      <c r="R159" s="565"/>
      <c r="U159" s="411"/>
      <c r="X159" s="411"/>
      <c r="AA159" s="565"/>
      <c r="AD159" s="411"/>
      <c r="AG159" s="265"/>
    </row>
    <row r="160" spans="1:33" s="403" customFormat="1">
      <c r="A160" s="265" t="s">
        <v>575</v>
      </c>
      <c r="K160" s="328"/>
      <c r="L160" s="565">
        <v>0</v>
      </c>
      <c r="O160" s="411">
        <v>1.1199084600000031</v>
      </c>
      <c r="R160" s="565"/>
      <c r="U160" s="411"/>
      <c r="X160" s="411"/>
      <c r="AA160" s="565"/>
      <c r="AD160" s="411"/>
      <c r="AG160" s="265"/>
    </row>
    <row r="161" spans="1:35">
      <c r="A161" s="265" t="s">
        <v>576</v>
      </c>
      <c r="F161" s="403"/>
      <c r="G161" s="403"/>
      <c r="H161" s="403"/>
      <c r="I161" s="403"/>
      <c r="K161" s="402"/>
      <c r="O161" s="411">
        <v>0.82380101000000039</v>
      </c>
      <c r="R161" s="565"/>
      <c r="U161" s="411"/>
      <c r="X161" s="411"/>
      <c r="AA161" s="565"/>
      <c r="AD161" s="411"/>
      <c r="AG161" s="302"/>
    </row>
    <row r="162" spans="1:35">
      <c r="A162" s="302" t="s">
        <v>577</v>
      </c>
      <c r="F162" s="403"/>
      <c r="G162" s="403"/>
      <c r="H162" s="403"/>
      <c r="I162" s="403"/>
      <c r="K162" s="402"/>
      <c r="R162" s="565"/>
      <c r="U162" s="411"/>
      <c r="X162" s="411"/>
      <c r="AA162" s="411"/>
      <c r="AD162" s="411"/>
      <c r="AG162" s="302"/>
    </row>
    <row r="163" spans="1:35">
      <c r="A163" s="302" t="s">
        <v>578</v>
      </c>
      <c r="U163" s="411"/>
      <c r="X163" s="411"/>
      <c r="AA163" s="411"/>
      <c r="AD163" s="411"/>
      <c r="AG163" s="302"/>
    </row>
    <row r="164" spans="1:35">
      <c r="A164" s="302" t="s">
        <v>579</v>
      </c>
      <c r="X164" s="411"/>
      <c r="AA164" s="411"/>
      <c r="AD164" s="411"/>
      <c r="AG164" s="302"/>
    </row>
    <row r="165" spans="1:35">
      <c r="A165" s="302" t="s">
        <v>580</v>
      </c>
      <c r="AA165" s="411"/>
      <c r="AD165" s="411"/>
      <c r="AG165" s="302"/>
    </row>
    <row r="166" spans="1:35">
      <c r="A166" s="302" t="s">
        <v>581</v>
      </c>
      <c r="AD166" s="411"/>
      <c r="AG166" s="302"/>
    </row>
    <row r="167" spans="1:35">
      <c r="A167" s="302"/>
      <c r="AG167" s="302"/>
    </row>
    <row r="168" spans="1:35">
      <c r="A168" s="402" t="s">
        <v>701</v>
      </c>
      <c r="D168" s="402" t="s">
        <v>700</v>
      </c>
      <c r="E168" s="403" t="s">
        <v>1</v>
      </c>
      <c r="F168" s="566">
        <v>0</v>
      </c>
      <c r="G168" s="567"/>
      <c r="H168" s="567"/>
      <c r="I168" s="566">
        <v>0</v>
      </c>
      <c r="J168" s="567"/>
      <c r="K168" s="568"/>
      <c r="L168" s="566">
        <v>0</v>
      </c>
      <c r="M168" s="567"/>
      <c r="N168" s="567"/>
      <c r="O168" s="566">
        <v>0</v>
      </c>
      <c r="P168" s="567"/>
      <c r="Q168" s="567"/>
      <c r="R168" s="566"/>
      <c r="S168" s="567"/>
      <c r="T168" s="567"/>
      <c r="U168" s="566"/>
      <c r="V168" s="567"/>
      <c r="W168" s="567"/>
      <c r="X168" s="566"/>
      <c r="AA168" s="565"/>
      <c r="AD168" s="411"/>
      <c r="AG168" s="302"/>
    </row>
    <row r="169" spans="1:35">
      <c r="E169" s="403"/>
      <c r="F169" s="332"/>
      <c r="G169" s="302"/>
      <c r="H169" s="302"/>
      <c r="I169" s="332"/>
      <c r="J169" s="302"/>
      <c r="L169" s="332"/>
      <c r="M169" s="302"/>
      <c r="N169" s="302"/>
      <c r="O169" s="332"/>
      <c r="P169" s="302"/>
      <c r="Q169" s="302"/>
      <c r="R169" s="332"/>
      <c r="S169" s="302"/>
      <c r="T169" s="302"/>
      <c r="U169" s="332"/>
      <c r="V169" s="302"/>
      <c r="W169" s="302"/>
      <c r="X169" s="332"/>
      <c r="Y169" s="302"/>
      <c r="Z169" s="302"/>
      <c r="AA169" s="332"/>
      <c r="AB169" s="302"/>
      <c r="AC169" s="302"/>
      <c r="AD169" s="332"/>
      <c r="AE169" s="302"/>
      <c r="AF169" s="302"/>
      <c r="AG169" s="302"/>
      <c r="AH169" s="302"/>
      <c r="AI169" s="302"/>
    </row>
    <row r="170" spans="1:35" s="403" customFormat="1">
      <c r="K170" s="328"/>
      <c r="R170" s="432"/>
      <c r="AG170" s="265"/>
    </row>
    <row r="171" spans="1:35" s="403" customFormat="1">
      <c r="A171" s="465" t="s">
        <v>776</v>
      </c>
      <c r="B171" s="265"/>
      <c r="C171" s="265"/>
      <c r="D171" s="265"/>
      <c r="K171" s="328"/>
      <c r="R171" s="432"/>
      <c r="AG171" s="265"/>
    </row>
    <row r="172" spans="1:35" s="403" customFormat="1">
      <c r="A172" s="466" t="s">
        <v>777</v>
      </c>
      <c r="K172" s="328"/>
      <c r="R172" s="432"/>
      <c r="AG172" s="265"/>
    </row>
    <row r="173" spans="1:35" s="403" customFormat="1">
      <c r="A173" s="265" t="s">
        <v>778</v>
      </c>
      <c r="D173" s="403" t="s">
        <v>421</v>
      </c>
      <c r="E173" s="403" t="s">
        <v>1</v>
      </c>
      <c r="F173" s="332"/>
      <c r="G173" s="332"/>
      <c r="H173" s="328"/>
      <c r="I173" s="332"/>
      <c r="J173" s="332"/>
      <c r="K173" s="494"/>
      <c r="L173" s="332"/>
      <c r="M173" s="332"/>
      <c r="N173" s="225"/>
      <c r="O173" s="495"/>
      <c r="P173" s="332"/>
      <c r="Q173" s="328"/>
      <c r="R173" s="496"/>
      <c r="S173" s="332"/>
      <c r="U173" s="565"/>
      <c r="V173" s="565"/>
      <c r="X173" s="565"/>
      <c r="Y173" s="411"/>
      <c r="AA173" s="340"/>
      <c r="AB173" s="411"/>
      <c r="AD173" s="340"/>
      <c r="AE173" s="411"/>
      <c r="AG173" s="265"/>
    </row>
    <row r="174" spans="1:35" s="403" customFormat="1">
      <c r="A174" s="265" t="s">
        <v>780</v>
      </c>
      <c r="D174" s="403" t="s">
        <v>779</v>
      </c>
      <c r="E174" s="403" t="s">
        <v>1</v>
      </c>
      <c r="F174" s="332"/>
      <c r="G174" s="332"/>
      <c r="H174" s="328"/>
      <c r="I174" s="332"/>
      <c r="J174" s="332"/>
      <c r="K174" s="332"/>
      <c r="L174" s="332"/>
      <c r="M174" s="332"/>
      <c r="N174" s="328"/>
      <c r="O174" s="332"/>
      <c r="P174" s="332"/>
      <c r="Q174" s="328"/>
      <c r="R174" s="332"/>
      <c r="S174" s="332"/>
      <c r="U174" s="565"/>
      <c r="V174" s="565"/>
      <c r="X174" s="565"/>
      <c r="Y174" s="566"/>
      <c r="Z174" s="569"/>
      <c r="AA174" s="566"/>
      <c r="AB174" s="411"/>
      <c r="AD174" s="411"/>
      <c r="AE174" s="411"/>
      <c r="AG174" s="265"/>
    </row>
    <row r="175" spans="1:35" s="403" customFormat="1">
      <c r="A175" s="265" t="s">
        <v>765</v>
      </c>
      <c r="D175" s="403" t="s">
        <v>766</v>
      </c>
      <c r="E175" s="403" t="s">
        <v>1</v>
      </c>
      <c r="F175" s="464"/>
      <c r="G175" s="464"/>
      <c r="H175" s="328"/>
      <c r="I175" s="464"/>
      <c r="J175" s="464"/>
      <c r="K175" s="464"/>
      <c r="L175" s="464"/>
      <c r="M175" s="464"/>
      <c r="N175" s="328"/>
      <c r="O175" s="464"/>
      <c r="P175" s="464"/>
      <c r="Q175" s="328"/>
      <c r="R175" s="464"/>
      <c r="S175" s="464"/>
      <c r="U175" s="267">
        <f>U173-U174</f>
        <v>0</v>
      </c>
      <c r="V175" s="267">
        <f>V173-V174</f>
        <v>0</v>
      </c>
      <c r="X175" s="267">
        <f>X173-X174</f>
        <v>0</v>
      </c>
      <c r="Y175" s="267">
        <f>Y173-Y174</f>
        <v>0</v>
      </c>
      <c r="AA175" s="267">
        <f>AA173-AA174</f>
        <v>0</v>
      </c>
      <c r="AB175" s="267">
        <f>AB173-AB174</f>
        <v>0</v>
      </c>
      <c r="AD175" s="267">
        <f>AD173-AD174</f>
        <v>0</v>
      </c>
      <c r="AE175" s="267">
        <f>AE173-AE174</f>
        <v>0</v>
      </c>
      <c r="AG175" s="265"/>
    </row>
    <row r="176" spans="1:35" s="265" customFormat="1">
      <c r="F176" s="464"/>
      <c r="G176" s="464"/>
      <c r="I176" s="464"/>
      <c r="J176" s="464"/>
      <c r="K176" s="464"/>
      <c r="L176" s="464"/>
      <c r="M176" s="464"/>
      <c r="O176" s="464"/>
      <c r="P176" s="464"/>
      <c r="R176" s="464"/>
      <c r="S176" s="464"/>
      <c r="U176" s="464"/>
      <c r="V176" s="464"/>
      <c r="X176" s="464"/>
      <c r="Y176" s="464"/>
      <c r="AA176" s="464"/>
      <c r="AB176" s="464"/>
      <c r="AD176" s="464"/>
      <c r="AE176" s="464"/>
    </row>
    <row r="177" spans="1:33">
      <c r="AG177" s="302"/>
    </row>
    <row r="178" spans="1:33" s="403" customFormat="1">
      <c r="A178" s="465" t="s">
        <v>838</v>
      </c>
      <c r="B178" s="265"/>
      <c r="C178" s="265"/>
      <c r="D178" s="265"/>
      <c r="K178" s="328"/>
      <c r="R178" s="432"/>
      <c r="AG178" s="265"/>
    </row>
    <row r="179" spans="1:33" s="403" customFormat="1">
      <c r="A179" s="466" t="s">
        <v>777</v>
      </c>
      <c r="K179" s="328"/>
      <c r="R179" s="432"/>
      <c r="AG179" s="265"/>
    </row>
    <row r="180" spans="1:33" s="403" customFormat="1">
      <c r="A180" s="466"/>
      <c r="K180" s="328"/>
      <c r="R180" s="432"/>
      <c r="AG180" s="265"/>
    </row>
    <row r="181" spans="1:33" s="403" customFormat="1">
      <c r="A181" s="466"/>
      <c r="K181" s="328"/>
      <c r="R181" s="432"/>
      <c r="AG181" s="265"/>
    </row>
    <row r="182" spans="1:33" s="403" customFormat="1">
      <c r="A182" s="466"/>
      <c r="K182" s="328"/>
      <c r="R182" s="432"/>
      <c r="AG182" s="265"/>
    </row>
    <row r="183" spans="1:33" s="403" customFormat="1">
      <c r="A183" s="265" t="s">
        <v>789</v>
      </c>
      <c r="B183" s="265"/>
      <c r="C183" s="265"/>
      <c r="D183" s="265" t="s">
        <v>781</v>
      </c>
      <c r="E183" s="265" t="s">
        <v>1</v>
      </c>
      <c r="F183" s="332"/>
      <c r="G183" s="332"/>
      <c r="H183" s="328"/>
      <c r="I183" s="332"/>
      <c r="J183" s="332"/>
      <c r="K183" s="494"/>
      <c r="L183" s="332"/>
      <c r="M183" s="332"/>
      <c r="N183" s="225"/>
      <c r="O183" s="495"/>
      <c r="P183" s="332"/>
      <c r="Q183" s="328"/>
      <c r="R183" s="496"/>
      <c r="S183" s="332"/>
      <c r="U183" s="411"/>
      <c r="V183" s="411"/>
      <c r="AG183" s="265"/>
    </row>
    <row r="184" spans="1:33" s="403" customFormat="1">
      <c r="A184" s="265" t="s">
        <v>790</v>
      </c>
      <c r="B184" s="265"/>
      <c r="C184" s="265"/>
      <c r="D184" s="265" t="s">
        <v>782</v>
      </c>
      <c r="E184" s="265" t="s">
        <v>1</v>
      </c>
      <c r="F184" s="332"/>
      <c r="G184" s="332"/>
      <c r="H184" s="328"/>
      <c r="I184" s="332"/>
      <c r="J184" s="332"/>
      <c r="K184" s="494"/>
      <c r="L184" s="332"/>
      <c r="M184" s="332"/>
      <c r="N184" s="225"/>
      <c r="O184" s="495"/>
      <c r="P184" s="332"/>
      <c r="Q184" s="328"/>
      <c r="R184" s="496"/>
      <c r="S184" s="332"/>
      <c r="U184" s="411"/>
      <c r="V184" s="411"/>
      <c r="AG184" s="265"/>
    </row>
    <row r="185" spans="1:33" s="403" customFormat="1">
      <c r="A185" s="265" t="s">
        <v>791</v>
      </c>
      <c r="B185" s="265"/>
      <c r="C185" s="265"/>
      <c r="D185" s="265" t="s">
        <v>783</v>
      </c>
      <c r="E185" s="265" t="s">
        <v>1</v>
      </c>
      <c r="F185" s="332"/>
      <c r="G185" s="332"/>
      <c r="H185" s="328"/>
      <c r="I185" s="332"/>
      <c r="J185" s="332"/>
      <c r="K185" s="494"/>
      <c r="L185" s="332"/>
      <c r="M185" s="332"/>
      <c r="N185" s="225"/>
      <c r="O185" s="495"/>
      <c r="P185" s="332"/>
      <c r="Q185" s="328"/>
      <c r="R185" s="496"/>
      <c r="S185" s="332"/>
      <c r="U185" s="411"/>
      <c r="V185" s="411"/>
      <c r="AG185" s="265"/>
    </row>
    <row r="186" spans="1:33" s="403" customFormat="1">
      <c r="A186" s="265" t="s">
        <v>792</v>
      </c>
      <c r="B186" s="265"/>
      <c r="C186" s="265"/>
      <c r="D186" s="265" t="s">
        <v>784</v>
      </c>
      <c r="E186" s="265" t="s">
        <v>1</v>
      </c>
      <c r="F186" s="332"/>
      <c r="G186" s="332"/>
      <c r="H186" s="328"/>
      <c r="I186" s="332"/>
      <c r="J186" s="332"/>
      <c r="K186" s="494"/>
      <c r="L186" s="332"/>
      <c r="M186" s="332"/>
      <c r="N186" s="225"/>
      <c r="O186" s="495"/>
      <c r="P186" s="332"/>
      <c r="Q186" s="328"/>
      <c r="R186" s="496"/>
      <c r="S186" s="332"/>
      <c r="U186" s="411"/>
      <c r="V186" s="411"/>
      <c r="AG186" s="265"/>
    </row>
    <row r="187" spans="1:33" s="403" customFormat="1">
      <c r="A187" s="265" t="s">
        <v>793</v>
      </c>
      <c r="B187" s="265"/>
      <c r="C187" s="265"/>
      <c r="D187" s="265" t="s">
        <v>785</v>
      </c>
      <c r="E187" s="265" t="s">
        <v>1</v>
      </c>
      <c r="F187" s="332"/>
      <c r="G187" s="332"/>
      <c r="H187" s="328"/>
      <c r="I187" s="332"/>
      <c r="J187" s="332"/>
      <c r="K187" s="494"/>
      <c r="L187" s="332"/>
      <c r="M187" s="332"/>
      <c r="N187" s="225"/>
      <c r="O187" s="495"/>
      <c r="P187" s="332"/>
      <c r="Q187" s="328"/>
      <c r="R187" s="496"/>
      <c r="S187" s="332"/>
      <c r="U187" s="411"/>
      <c r="V187" s="411"/>
      <c r="AG187" s="265"/>
    </row>
    <row r="188" spans="1:33" s="403" customFormat="1">
      <c r="A188" s="265" t="s">
        <v>794</v>
      </c>
      <c r="B188" s="265"/>
      <c r="C188" s="265"/>
      <c r="D188" s="265" t="s">
        <v>786</v>
      </c>
      <c r="E188" s="265" t="s">
        <v>1</v>
      </c>
      <c r="F188" s="332"/>
      <c r="G188" s="332"/>
      <c r="H188" s="328"/>
      <c r="I188" s="332"/>
      <c r="J188" s="332"/>
      <c r="K188" s="494"/>
      <c r="L188" s="332"/>
      <c r="M188" s="332"/>
      <c r="N188" s="225"/>
      <c r="O188" s="495"/>
      <c r="P188" s="332"/>
      <c r="Q188" s="328"/>
      <c r="R188" s="496"/>
      <c r="S188" s="332"/>
      <c r="U188" s="411"/>
      <c r="V188" s="411"/>
      <c r="AG188" s="265"/>
    </row>
    <row r="189" spans="1:33" s="403" customFormat="1">
      <c r="A189" s="265" t="s">
        <v>795</v>
      </c>
      <c r="B189" s="265"/>
      <c r="C189" s="265"/>
      <c r="D189" s="265" t="s">
        <v>787</v>
      </c>
      <c r="E189" s="265" t="s">
        <v>1</v>
      </c>
      <c r="F189" s="332"/>
      <c r="G189" s="332"/>
      <c r="H189" s="328"/>
      <c r="I189" s="332"/>
      <c r="J189" s="332"/>
      <c r="K189" s="494"/>
      <c r="L189" s="332"/>
      <c r="M189" s="332"/>
      <c r="N189" s="225"/>
      <c r="O189" s="495"/>
      <c r="P189" s="332"/>
      <c r="Q189" s="328"/>
      <c r="R189" s="496"/>
      <c r="S189" s="332"/>
      <c r="U189" s="411"/>
      <c r="V189" s="411"/>
      <c r="AG189" s="265"/>
    </row>
    <row r="190" spans="1:33" s="403" customFormat="1">
      <c r="A190" s="265" t="s">
        <v>796</v>
      </c>
      <c r="B190" s="265"/>
      <c r="C190" s="265"/>
      <c r="D190" s="265" t="s">
        <v>788</v>
      </c>
      <c r="E190" s="265" t="s">
        <v>1</v>
      </c>
      <c r="F190" s="332"/>
      <c r="G190" s="332"/>
      <c r="H190" s="328"/>
      <c r="I190" s="332"/>
      <c r="J190" s="332"/>
      <c r="K190" s="332"/>
      <c r="L190" s="332"/>
      <c r="M190" s="332"/>
      <c r="N190" s="328"/>
      <c r="O190" s="332"/>
      <c r="P190" s="332"/>
      <c r="Q190" s="328"/>
      <c r="R190" s="332"/>
      <c r="S190" s="332"/>
      <c r="U190" s="411"/>
      <c r="V190" s="411"/>
      <c r="AG190" s="265"/>
    </row>
    <row r="191" spans="1:33" s="403" customFormat="1">
      <c r="A191" s="459" t="s">
        <v>768</v>
      </c>
      <c r="B191" s="459"/>
      <c r="C191" s="459"/>
      <c r="D191" s="459" t="s">
        <v>767</v>
      </c>
      <c r="E191" s="265" t="s">
        <v>1</v>
      </c>
      <c r="F191" s="464"/>
      <c r="G191" s="464"/>
      <c r="H191" s="328"/>
      <c r="I191" s="464"/>
      <c r="J191" s="464"/>
      <c r="K191" s="464"/>
      <c r="L191" s="464"/>
      <c r="M191" s="464"/>
      <c r="N191" s="328"/>
      <c r="O191" s="464"/>
      <c r="P191" s="464"/>
      <c r="Q191" s="328"/>
      <c r="R191" s="464"/>
      <c r="S191" s="464"/>
      <c r="U191" s="267">
        <f>SUM(U183:U190)</f>
        <v>0</v>
      </c>
      <c r="V191" s="267">
        <f>SUM(V183:V190)</f>
        <v>0</v>
      </c>
      <c r="AG191" s="265"/>
    </row>
    <row r="192" spans="1:33">
      <c r="AG192" s="302"/>
    </row>
    <row r="193" spans="1:37">
      <c r="AG193" s="302"/>
    </row>
    <row r="194" spans="1:37" s="403" customFormat="1">
      <c r="A194" s="465" t="s">
        <v>797</v>
      </c>
      <c r="B194" s="265"/>
      <c r="C194" s="265"/>
      <c r="D194" s="265"/>
      <c r="K194" s="328"/>
      <c r="R194" s="432"/>
      <c r="AG194" s="265"/>
    </row>
    <row r="195" spans="1:37" s="403" customFormat="1">
      <c r="A195" s="466" t="s">
        <v>798</v>
      </c>
      <c r="K195" s="328"/>
      <c r="R195" s="432"/>
      <c r="AG195" s="265"/>
    </row>
    <row r="196" spans="1:37" s="403" customFormat="1">
      <c r="A196" s="466"/>
      <c r="K196" s="328"/>
      <c r="R196" s="432"/>
      <c r="AG196" s="265"/>
    </row>
    <row r="197" spans="1:37" s="403" customFormat="1">
      <c r="A197" s="466"/>
      <c r="K197" s="328"/>
      <c r="R197" s="432"/>
      <c r="AG197" s="265"/>
    </row>
    <row r="198" spans="1:37" s="403" customFormat="1">
      <c r="A198" s="466"/>
      <c r="K198" s="328"/>
      <c r="R198" s="432"/>
      <c r="AG198" s="265"/>
    </row>
    <row r="199" spans="1:37" s="403" customFormat="1">
      <c r="A199" s="265" t="s">
        <v>805</v>
      </c>
      <c r="B199" s="265"/>
      <c r="C199" s="265"/>
      <c r="D199" s="265" t="s">
        <v>799</v>
      </c>
      <c r="E199" s="265" t="s">
        <v>630</v>
      </c>
      <c r="F199" s="332"/>
      <c r="G199" s="332"/>
      <c r="H199" s="328"/>
      <c r="I199" s="332"/>
      <c r="J199" s="332"/>
      <c r="K199" s="494"/>
      <c r="L199" s="332"/>
      <c r="M199" s="332"/>
      <c r="N199" s="225"/>
      <c r="O199" s="332"/>
      <c r="P199" s="332"/>
      <c r="Q199" s="328"/>
      <c r="R199" s="332"/>
      <c r="S199" s="332"/>
      <c r="U199" s="186">
        <f>1146800/1000000</f>
        <v>1.1468</v>
      </c>
      <c r="V199" s="186">
        <f>1146800/1000000</f>
        <v>1.1468</v>
      </c>
      <c r="X199" s="186">
        <f>1146800/1000000</f>
        <v>1.1468</v>
      </c>
      <c r="Y199" s="186">
        <f>1146800/1000000</f>
        <v>1.1468</v>
      </c>
      <c r="AA199" s="186">
        <f>1146800/1000000</f>
        <v>1.1468</v>
      </c>
      <c r="AB199" s="186">
        <f>1146800/1000000</f>
        <v>1.1468</v>
      </c>
      <c r="AD199" s="186">
        <f>1146800/1000000</f>
        <v>1.1468</v>
      </c>
      <c r="AE199" s="186">
        <f>1146800/1000000</f>
        <v>1.1468</v>
      </c>
      <c r="AG199" s="265"/>
    </row>
    <row r="200" spans="1:37" s="403" customFormat="1">
      <c r="A200" s="265" t="s">
        <v>804</v>
      </c>
      <c r="B200" s="265"/>
      <c r="C200" s="265"/>
      <c r="D200" s="265" t="s">
        <v>800</v>
      </c>
      <c r="E200" s="265" t="s">
        <v>630</v>
      </c>
      <c r="F200" s="332"/>
      <c r="G200" s="332"/>
      <c r="H200" s="328"/>
      <c r="I200" s="332"/>
      <c r="J200" s="332"/>
      <c r="K200" s="494"/>
      <c r="L200" s="332"/>
      <c r="M200" s="332"/>
      <c r="N200" s="225"/>
      <c r="O200" s="332"/>
      <c r="P200" s="332"/>
      <c r="Q200" s="328"/>
      <c r="R200" s="332"/>
      <c r="S200" s="332"/>
      <c r="U200" s="186">
        <f>1146800/1000000</f>
        <v>1.1468</v>
      </c>
      <c r="V200" s="186">
        <f>1146800/1000000</f>
        <v>1.1468</v>
      </c>
      <c r="X200" s="186">
        <f>1146800/1000000</f>
        <v>1.1468</v>
      </c>
      <c r="Y200" s="186">
        <f>1146800/1000000</f>
        <v>1.1468</v>
      </c>
      <c r="AA200" s="186">
        <v>0</v>
      </c>
      <c r="AB200" s="186">
        <v>0</v>
      </c>
      <c r="AD200" s="186">
        <v>0</v>
      </c>
      <c r="AE200" s="186">
        <v>0</v>
      </c>
      <c r="AG200" s="265"/>
    </row>
    <row r="201" spans="1:37" s="403" customFormat="1">
      <c r="A201" s="459" t="s">
        <v>806</v>
      </c>
      <c r="B201" s="265"/>
      <c r="C201" s="265"/>
      <c r="D201" s="265" t="s">
        <v>801</v>
      </c>
      <c r="E201" s="265" t="s">
        <v>630</v>
      </c>
      <c r="F201" s="464"/>
      <c r="G201" s="464"/>
      <c r="H201" s="328"/>
      <c r="I201" s="464"/>
      <c r="J201" s="464"/>
      <c r="K201" s="464"/>
      <c r="L201" s="464"/>
      <c r="M201" s="464"/>
      <c r="O201" s="267">
        <f>O217</f>
        <v>0</v>
      </c>
      <c r="P201" s="267">
        <f>O201</f>
        <v>0</v>
      </c>
      <c r="Q201" s="182"/>
      <c r="R201" s="267">
        <f>R217</f>
        <v>0</v>
      </c>
      <c r="S201" s="267">
        <f>R201</f>
        <v>0</v>
      </c>
      <c r="U201" s="267">
        <f>U217</f>
        <v>-9.7067068221820592E-5</v>
      </c>
      <c r="V201" s="267">
        <f>U201</f>
        <v>-9.7067068221820592E-5</v>
      </c>
      <c r="X201" s="267">
        <f>X217</f>
        <v>6.9600928967617292E-5</v>
      </c>
      <c r="Y201" s="267">
        <f>X201</f>
        <v>6.9600928967617292E-5</v>
      </c>
      <c r="AA201" s="267">
        <f>AA217</f>
        <v>5.7794323412986865E-3</v>
      </c>
      <c r="AB201" s="267">
        <f>AA201</f>
        <v>5.7794323412986865E-3</v>
      </c>
      <c r="AD201" s="267">
        <f>AD217</f>
        <v>-1.8838817878542614E-3</v>
      </c>
      <c r="AE201" s="267">
        <f>AD201</f>
        <v>-1.8838817878542614E-3</v>
      </c>
      <c r="AG201" s="267">
        <f>AG217</f>
        <v>-1.0102363132168085E-2</v>
      </c>
      <c r="AH201" s="267">
        <f>AG201</f>
        <v>-1.0102363132168085E-2</v>
      </c>
      <c r="AJ201" s="267">
        <f>AJ217</f>
        <v>-1.5496476059429892E-2</v>
      </c>
      <c r="AK201" s="267">
        <f>AJ201</f>
        <v>-1.5496476059429892E-2</v>
      </c>
    </row>
    <row r="202" spans="1:37" s="403" customFormat="1">
      <c r="A202" s="595" t="s">
        <v>807</v>
      </c>
      <c r="B202" s="595"/>
      <c r="C202" s="595"/>
      <c r="D202" s="595" t="s">
        <v>467</v>
      </c>
      <c r="E202" s="595" t="s">
        <v>630</v>
      </c>
      <c r="F202" s="471"/>
      <c r="G202" s="471"/>
      <c r="H202" s="328"/>
      <c r="I202" s="471"/>
      <c r="J202" s="471"/>
      <c r="K202" s="464"/>
      <c r="L202" s="471"/>
      <c r="M202" s="471"/>
      <c r="O202" s="267">
        <f>O227</f>
        <v>4.2918324576915884E-3</v>
      </c>
      <c r="P202" s="267">
        <f>O202</f>
        <v>4.2918324576915884E-3</v>
      </c>
      <c r="R202" s="267">
        <f>R227</f>
        <v>-1.5749790622951388E-2</v>
      </c>
      <c r="S202" s="267">
        <f>R202</f>
        <v>-1.5749790622951388E-2</v>
      </c>
      <c r="U202" s="267">
        <f>U227</f>
        <v>-2.6033893571616298E-2</v>
      </c>
      <c r="V202" s="267">
        <f>U202</f>
        <v>-2.6033893571616298E-2</v>
      </c>
      <c r="X202" s="267">
        <f>X227</f>
        <v>0</v>
      </c>
      <c r="Y202" s="267">
        <f>X202</f>
        <v>0</v>
      </c>
      <c r="AA202" s="267">
        <f>AA227</f>
        <v>0</v>
      </c>
      <c r="AB202" s="267">
        <f>AA202</f>
        <v>0</v>
      </c>
      <c r="AD202" s="267">
        <f>AD227</f>
        <v>0</v>
      </c>
      <c r="AE202" s="267">
        <f>AD202</f>
        <v>0</v>
      </c>
      <c r="AG202" s="265"/>
    </row>
    <row r="203" spans="1:37" s="403" customFormat="1">
      <c r="A203" s="265" t="s">
        <v>72</v>
      </c>
      <c r="B203" s="265"/>
      <c r="C203" s="265"/>
      <c r="D203" s="265" t="s">
        <v>132</v>
      </c>
      <c r="E203" s="265" t="s">
        <v>133</v>
      </c>
      <c r="F203" s="268">
        <f>'R15 SO Internal'!E25</f>
        <v>1.1344000000000001</v>
      </c>
      <c r="G203" s="268">
        <f>F203</f>
        <v>1.1344000000000001</v>
      </c>
      <c r="I203" s="268">
        <f>'R15 SO Internal'!F25</f>
        <v>1.163</v>
      </c>
      <c r="J203" s="268">
        <f>I203</f>
        <v>1.163</v>
      </c>
      <c r="K203" s="335"/>
      <c r="L203" s="268">
        <f>'R15 SO Internal'!G25</f>
        <v>1.2050000000000001</v>
      </c>
      <c r="M203" s="268">
        <f>L203</f>
        <v>1.2050000000000001</v>
      </c>
      <c r="O203" s="268">
        <f>'R15 SO Internal'!H25</f>
        <v>1.2270000000000001</v>
      </c>
      <c r="P203" s="268">
        <f>O203</f>
        <v>1.2270000000000001</v>
      </c>
      <c r="R203" s="268">
        <f>'R15 SO Internal'!I25</f>
        <v>1.2330000000000001</v>
      </c>
      <c r="S203" s="268">
        <f>R203</f>
        <v>1.2330000000000001</v>
      </c>
      <c r="U203" s="268">
        <f>'R15 SO Internal'!J25</f>
        <v>1.2709999999999999</v>
      </c>
      <c r="V203" s="268">
        <f>U203</f>
        <v>1.2709999999999999</v>
      </c>
      <c r="X203" s="268">
        <f>'R15 SO Internal'!K25</f>
        <v>1.3140000000000001</v>
      </c>
      <c r="Y203" s="268">
        <f>X203</f>
        <v>1.3140000000000001</v>
      </c>
      <c r="AA203" s="268">
        <f>'R15 SO Internal'!L25</f>
        <v>1.3580000000000001</v>
      </c>
      <c r="AB203" s="268">
        <f>AA203</f>
        <v>1.3580000000000001</v>
      </c>
      <c r="AD203" s="268">
        <f>'R15 SO Internal'!M25</f>
        <v>1.38</v>
      </c>
      <c r="AE203" s="268">
        <f>AD203</f>
        <v>1.38</v>
      </c>
      <c r="AG203" s="265"/>
    </row>
    <row r="204" spans="1:37" s="403" customFormat="1">
      <c r="A204" s="265" t="s">
        <v>809</v>
      </c>
      <c r="B204" s="265"/>
      <c r="C204" s="265"/>
      <c r="D204" s="265" t="s">
        <v>802</v>
      </c>
      <c r="E204" s="265" t="s">
        <v>1</v>
      </c>
      <c r="F204" s="186">
        <v>0</v>
      </c>
      <c r="G204" s="186">
        <v>0</v>
      </c>
      <c r="I204" s="186">
        <v>0</v>
      </c>
      <c r="J204" s="186">
        <v>0</v>
      </c>
      <c r="K204" s="339"/>
      <c r="L204" s="186">
        <v>0</v>
      </c>
      <c r="M204" s="186">
        <v>0</v>
      </c>
      <c r="N204" s="406"/>
      <c r="O204" s="186">
        <v>0</v>
      </c>
      <c r="P204" s="186">
        <v>0</v>
      </c>
      <c r="R204" s="186">
        <v>0</v>
      </c>
      <c r="S204" s="186">
        <v>0</v>
      </c>
      <c r="U204" s="186">
        <v>0</v>
      </c>
      <c r="V204" s="186">
        <v>0</v>
      </c>
      <c r="X204" s="186">
        <v>0</v>
      </c>
      <c r="Y204" s="186">
        <v>0</v>
      </c>
      <c r="AA204" s="186">
        <v>0</v>
      </c>
      <c r="AB204" s="186">
        <v>0</v>
      </c>
      <c r="AD204" s="186">
        <v>0</v>
      </c>
      <c r="AE204" s="186">
        <v>0</v>
      </c>
      <c r="AG204" s="265"/>
    </row>
    <row r="205" spans="1:37" s="403" customFormat="1">
      <c r="A205" s="265" t="s">
        <v>835</v>
      </c>
      <c r="B205" s="265"/>
      <c r="C205" s="265"/>
      <c r="D205" s="265" t="s">
        <v>803</v>
      </c>
      <c r="E205" s="265" t="s">
        <v>1</v>
      </c>
      <c r="F205" s="566">
        <v>0</v>
      </c>
      <c r="G205" s="566">
        <v>0</v>
      </c>
      <c r="H205" s="569"/>
      <c r="I205" s="566">
        <v>0</v>
      </c>
      <c r="J205" s="566">
        <v>0</v>
      </c>
      <c r="K205" s="570"/>
      <c r="L205" s="566">
        <v>0</v>
      </c>
      <c r="M205" s="566">
        <v>0</v>
      </c>
      <c r="N205" s="379"/>
      <c r="O205" s="566">
        <v>0</v>
      </c>
      <c r="P205" s="566">
        <v>0</v>
      </c>
      <c r="Q205" s="569"/>
      <c r="R205" s="566"/>
      <c r="S205" s="566"/>
      <c r="T205" s="569"/>
      <c r="U205" s="566"/>
      <c r="V205" s="566"/>
      <c r="W205" s="569"/>
      <c r="X205" s="567"/>
      <c r="Y205" s="402"/>
      <c r="Z205" s="402"/>
      <c r="AA205" s="402"/>
      <c r="AB205" s="402"/>
      <c r="AC205" s="402"/>
      <c r="AD205" s="402"/>
      <c r="AE205" s="402"/>
      <c r="AG205" s="265"/>
    </row>
    <row r="206" spans="1:37" s="403" customFormat="1">
      <c r="A206" s="265" t="s">
        <v>810</v>
      </c>
      <c r="B206" s="265"/>
      <c r="C206" s="265"/>
      <c r="D206" s="265" t="s">
        <v>464</v>
      </c>
      <c r="E206" s="265" t="s">
        <v>1</v>
      </c>
      <c r="F206" s="566">
        <v>0</v>
      </c>
      <c r="G206" s="566">
        <v>0</v>
      </c>
      <c r="H206" s="569"/>
      <c r="I206" s="566">
        <v>0</v>
      </c>
      <c r="J206" s="566">
        <v>0</v>
      </c>
      <c r="K206" s="571"/>
      <c r="L206" s="566">
        <v>0</v>
      </c>
      <c r="M206" s="566">
        <v>-0.95193300000000003</v>
      </c>
      <c r="N206" s="569"/>
      <c r="O206" s="566">
        <v>0</v>
      </c>
      <c r="P206" s="566">
        <v>-1.4115401700000001</v>
      </c>
      <c r="Q206" s="569"/>
      <c r="R206" s="566"/>
      <c r="S206" s="566"/>
      <c r="T206" s="569"/>
      <c r="U206" s="566"/>
      <c r="V206" s="566"/>
      <c r="W206" s="569"/>
      <c r="X206" s="572"/>
      <c r="Y206" s="565"/>
      <c r="AA206" s="340"/>
      <c r="AB206" s="411"/>
      <c r="AD206" s="340"/>
      <c r="AE206" s="411"/>
      <c r="AG206" s="265"/>
    </row>
    <row r="207" spans="1:37" s="403" customFormat="1">
      <c r="A207" s="459" t="s">
        <v>770</v>
      </c>
      <c r="B207" s="459"/>
      <c r="C207" s="459"/>
      <c r="D207" s="459" t="s">
        <v>769</v>
      </c>
      <c r="E207" s="265" t="s">
        <v>1</v>
      </c>
      <c r="F207" s="267">
        <f>SUM(F199:F202)*F203+SUM(F204:F206)</f>
        <v>0</v>
      </c>
      <c r="G207" s="267">
        <f>SUM(G199:G202)*G203+SUM(G204:G206)</f>
        <v>0</v>
      </c>
      <c r="I207" s="267">
        <f>SUM(I199:I202)*I203+SUM(I204:I206)</f>
        <v>0</v>
      </c>
      <c r="J207" s="267">
        <f>SUM(J199:J202)*J203+SUM(J204:J206)</f>
        <v>0</v>
      </c>
      <c r="L207" s="267">
        <f>SUM(L199:L202)*L203+SUM(L204:L206)</f>
        <v>0</v>
      </c>
      <c r="M207" s="267">
        <f>SUM(M199:M202)*M203+SUM(M204:M206)</f>
        <v>-0.95193300000000003</v>
      </c>
      <c r="O207" s="267">
        <f>SUM(O199:O202)*O203+SUM(O204:O206)</f>
        <v>5.2660784255875795E-3</v>
      </c>
      <c r="P207" s="267">
        <f>SUM(P199:P202)*P203+SUM(P204:P206)</f>
        <v>-1.4062740915744125</v>
      </c>
      <c r="R207" s="267">
        <f>SUM(R199:R202)*R203+SUM(R204:R206)</f>
        <v>-1.9419491838099063E-2</v>
      </c>
      <c r="S207" s="267">
        <f>SUM(S199:S202)*S203+SUM(S204:S206)</f>
        <v>-1.9419491838099063E-2</v>
      </c>
      <c r="U207" s="267">
        <f>SUM(U199:U202)*U203+SUM(U204:U206)</f>
        <v>2.8819531490267658</v>
      </c>
      <c r="V207" s="267">
        <f>SUM(V199:V202)*V203+SUM(V204:V206)</f>
        <v>2.8819531490267658</v>
      </c>
      <c r="X207" s="267">
        <f>SUM(X199:X202)*X203+SUM(X204,X206)</f>
        <v>3.0138818556206641</v>
      </c>
      <c r="Y207" s="267">
        <f>SUM(Y199:Y202)*Y203+SUM(Y204,Y206)</f>
        <v>3.0138818556206641</v>
      </c>
      <c r="AA207" s="267">
        <f>SUM(AA199:AA202)*AA203+SUM(AA204,AA206)</f>
        <v>1.5652028691194839</v>
      </c>
      <c r="AB207" s="267">
        <f t="shared" ref="AB207" si="5">SUM(AB199:AB202)*AB203+SUM(AB204,AB206)</f>
        <v>1.5652028691194839</v>
      </c>
      <c r="AD207" s="267">
        <f t="shared" ref="AD207" si="6">SUM(AD199:AD202)*AD203+SUM(AD204,AD206)</f>
        <v>1.5799842431327609</v>
      </c>
      <c r="AE207" s="267">
        <f t="shared" ref="AE207" si="7">SUM(AE199:AE202)*AE203+SUM(AE204,AE206)</f>
        <v>1.5799842431327609</v>
      </c>
      <c r="AG207" s="265"/>
    </row>
    <row r="208" spans="1:37">
      <c r="A208" s="302"/>
      <c r="AG208" s="302"/>
    </row>
    <row r="209" spans="1:36" s="403" customFormat="1">
      <c r="A209" s="265"/>
      <c r="K209" s="328"/>
      <c r="R209" s="432"/>
      <c r="AG209" s="265"/>
    </row>
    <row r="210" spans="1:36" s="403" customFormat="1" ht="14.5">
      <c r="A210" s="497" t="s">
        <v>812</v>
      </c>
      <c r="K210" s="328"/>
      <c r="R210" s="432"/>
      <c r="AG210" s="265"/>
    </row>
    <row r="211" spans="1:36" s="403" customFormat="1">
      <c r="A211" s="466" t="s">
        <v>811</v>
      </c>
      <c r="K211" s="328"/>
      <c r="R211" s="432"/>
      <c r="AG211" s="265"/>
    </row>
    <row r="212" spans="1:36" s="403" customFormat="1">
      <c r="A212" s="265"/>
      <c r="K212" s="328"/>
      <c r="R212" s="432"/>
      <c r="AG212" s="265"/>
    </row>
    <row r="213" spans="1:36" s="403" customFormat="1">
      <c r="A213" s="265" t="s">
        <v>143</v>
      </c>
      <c r="D213" s="403" t="s">
        <v>142</v>
      </c>
      <c r="E213" s="265" t="s">
        <v>133</v>
      </c>
      <c r="F213" s="265"/>
      <c r="I213" s="338">
        <f>'R15 SO Internal'!F26</f>
        <v>1.167</v>
      </c>
      <c r="K213" s="328"/>
      <c r="L213" s="338">
        <f>'R15 SO Internal'!G26</f>
        <v>1.19</v>
      </c>
      <c r="O213" s="338">
        <f>'R15 SO Internal'!H26</f>
        <v>1.202</v>
      </c>
      <c r="R213" s="338">
        <f>'R15 SO Internal'!I26</f>
        <v>1.228</v>
      </c>
      <c r="U213" s="338">
        <f>'R15 SO Internal'!J26</f>
        <v>1.274</v>
      </c>
      <c r="X213" s="338">
        <f>'R15 SO Internal'!K26</f>
        <v>1.3129999999999999</v>
      </c>
      <c r="AA213" s="338">
        <f>'R15 SO Internal'!L26</f>
        <v>1.347</v>
      </c>
      <c r="AD213" s="338">
        <f>'R15 SO Internal'!M26</f>
        <v>1.363</v>
      </c>
      <c r="AG213" s="265"/>
    </row>
    <row r="214" spans="1:36" s="403" customFormat="1">
      <c r="A214" s="265" t="s">
        <v>72</v>
      </c>
      <c r="D214" s="403" t="s">
        <v>132</v>
      </c>
      <c r="E214" s="265" t="s">
        <v>133</v>
      </c>
      <c r="F214" s="265"/>
      <c r="I214" s="338">
        <f>'R15 SO Internal'!F25</f>
        <v>1.163</v>
      </c>
      <c r="K214" s="328"/>
      <c r="L214" s="338">
        <f>'R15 SO Internal'!G25</f>
        <v>1.2050000000000001</v>
      </c>
      <c r="O214" s="338">
        <f>'R15 SO Internal'!H25</f>
        <v>1.2270000000000001</v>
      </c>
      <c r="R214" s="338">
        <f>'R15 SO Internal'!I25</f>
        <v>1.2330000000000001</v>
      </c>
      <c r="U214" s="338">
        <f>'R15 SO Internal'!J25</f>
        <v>1.2709999999999999</v>
      </c>
      <c r="X214" s="338">
        <f>'R15 SO Internal'!K25</f>
        <v>1.3140000000000001</v>
      </c>
      <c r="AA214" s="338">
        <f>'R15 SO Internal'!L25</f>
        <v>1.3580000000000001</v>
      </c>
      <c r="AD214" s="338">
        <f>'R15 SO Internal'!M25</f>
        <v>1.38</v>
      </c>
      <c r="AG214" s="265"/>
    </row>
    <row r="215" spans="1:36" s="403" customFormat="1">
      <c r="A215" s="265" t="s">
        <v>770</v>
      </c>
      <c r="D215" s="403" t="s">
        <v>769</v>
      </c>
      <c r="E215" s="403" t="s">
        <v>1</v>
      </c>
      <c r="F215" s="265"/>
      <c r="I215" s="467">
        <f>I207</f>
        <v>0</v>
      </c>
      <c r="K215" s="328"/>
      <c r="L215" s="467">
        <f>L207</f>
        <v>0</v>
      </c>
      <c r="O215" s="467">
        <f>O207</f>
        <v>5.2660784255875795E-3</v>
      </c>
      <c r="R215" s="467">
        <f>R207</f>
        <v>-1.9419491838099063E-2</v>
      </c>
      <c r="U215" s="467">
        <f>U207</f>
        <v>2.8819531490267658</v>
      </c>
      <c r="X215" s="467">
        <f>X207</f>
        <v>3.0138818556206641</v>
      </c>
      <c r="AA215" s="467">
        <f>AA207</f>
        <v>1.5652028691194839</v>
      </c>
      <c r="AD215" s="467">
        <f>AD207</f>
        <v>1.5799842431327609</v>
      </c>
      <c r="AG215" s="265"/>
    </row>
    <row r="216" spans="1:36" s="403" customFormat="1">
      <c r="A216" s="265" t="s">
        <v>211</v>
      </c>
      <c r="D216" s="403" t="s">
        <v>146</v>
      </c>
      <c r="E216" s="265" t="s">
        <v>133</v>
      </c>
      <c r="F216" s="265"/>
      <c r="I216" s="338">
        <f>'R5 Input page'!F50</f>
        <v>1.04552</v>
      </c>
      <c r="K216" s="328"/>
      <c r="L216" s="338">
        <f>'R5 Input page'!G50</f>
        <v>1.0443199999999999</v>
      </c>
      <c r="O216" s="338">
        <f>'R5 Input page'!H50</f>
        <v>1.0432999999999999</v>
      </c>
      <c r="R216" s="338">
        <f>'R5 Input page'!I50</f>
        <v>1.0422800000000001</v>
      </c>
      <c r="U216" s="338">
        <f>'R5 Input page'!J50</f>
        <v>1.04132</v>
      </c>
      <c r="X216" s="338">
        <f>'R5 Input page'!K50</f>
        <v>1.0394600000000001</v>
      </c>
      <c r="AA216" s="338">
        <f>'R5 Input page'!L50</f>
        <v>1.03748</v>
      </c>
      <c r="AD216" s="338">
        <f>'R5 Input page'!M50</f>
        <v>1.03454</v>
      </c>
      <c r="AG216" s="338">
        <f>'R5 Input page'!N50</f>
        <v>1.0489599999999999</v>
      </c>
    </row>
    <row r="217" spans="1:36" s="403" customFormat="1">
      <c r="A217" s="603" t="s">
        <v>806</v>
      </c>
      <c r="B217" s="595"/>
      <c r="C217" s="595"/>
      <c r="D217" s="595" t="s">
        <v>801</v>
      </c>
      <c r="E217" s="595" t="s">
        <v>630</v>
      </c>
      <c r="K217" s="328"/>
      <c r="O217" s="467">
        <f>(I213-I214)/I213*(I215/I214)*I216*L216</f>
        <v>0</v>
      </c>
      <c r="R217" s="467">
        <f>(L213-L214)/L213*(L215/L214)*L216*O216</f>
        <v>0</v>
      </c>
      <c r="U217" s="467">
        <f>(O213-O214)/O213*(O215/O214)*O216*R216</f>
        <v>-9.7067068221820592E-5</v>
      </c>
      <c r="X217" s="467">
        <f>(R213-R214)/R213*(R215/R214)*R216*U216</f>
        <v>6.9600928967617292E-5</v>
      </c>
      <c r="AA217" s="467">
        <f>(U213-U214)/U213*(U215/U214)*U216*X216</f>
        <v>5.7794323412986865E-3</v>
      </c>
      <c r="AD217" s="467">
        <f>(X213-X214)/X213*(X215/X214)*X216*AA216</f>
        <v>-1.8838817878542614E-3</v>
      </c>
      <c r="AG217" s="467">
        <f>(AA213-AA214)/AA213*(AA215/AA214)*AA216*AD216</f>
        <v>-1.0102363132168085E-2</v>
      </c>
      <c r="AJ217" s="467">
        <f>(AD213-AD214)/AD213*(AD215/AD214)*AD216*AG216</f>
        <v>-1.5496476059429892E-2</v>
      </c>
    </row>
    <row r="218" spans="1:36" s="403" customFormat="1">
      <c r="A218" s="265"/>
      <c r="K218" s="328"/>
      <c r="R218" s="432"/>
      <c r="AG218" s="265"/>
    </row>
    <row r="219" spans="1:36" s="403" customFormat="1">
      <c r="A219" s="265"/>
      <c r="K219" s="328"/>
      <c r="R219" s="432"/>
      <c r="AG219" s="265"/>
    </row>
    <row r="220" spans="1:36" s="403" customFormat="1" ht="14.5">
      <c r="A220" s="501" t="s">
        <v>571</v>
      </c>
      <c r="K220" s="328"/>
      <c r="R220" s="432"/>
      <c r="AG220" s="265"/>
    </row>
    <row r="221" spans="1:36" s="403" customFormat="1">
      <c r="A221" s="466" t="s">
        <v>813</v>
      </c>
      <c r="K221" s="328"/>
      <c r="R221" s="432"/>
      <c r="AG221" s="265"/>
    </row>
    <row r="222" spans="1:36" s="403" customFormat="1">
      <c r="A222" s="265"/>
      <c r="F222" s="265"/>
      <c r="K222" s="328"/>
      <c r="R222" s="432"/>
      <c r="W222" s="265"/>
      <c r="X222" s="265"/>
      <c r="Y222" s="265"/>
      <c r="Z222" s="265"/>
      <c r="AA222" s="265"/>
      <c r="AB222" s="265"/>
      <c r="AC222" s="265"/>
      <c r="AD222" s="265"/>
      <c r="AG222" s="265"/>
    </row>
    <row r="223" spans="1:36" s="403" customFormat="1">
      <c r="A223" s="265" t="s">
        <v>144</v>
      </c>
      <c r="D223" s="403" t="s">
        <v>142</v>
      </c>
      <c r="E223" s="265" t="s">
        <v>133</v>
      </c>
      <c r="F223" s="495"/>
      <c r="I223" s="338">
        <f>'R15 SO Internal'!F26</f>
        <v>1.167</v>
      </c>
      <c r="K223" s="328"/>
      <c r="L223" s="338">
        <f>'R15 SO Internal'!G26</f>
        <v>1.19</v>
      </c>
      <c r="O223" s="338">
        <f>'R15 SO Internal'!H26</f>
        <v>1.202</v>
      </c>
      <c r="R223" s="338">
        <f>'R15 SO Internal'!I26</f>
        <v>1.228</v>
      </c>
      <c r="U223" s="338">
        <f>'R15 SO Internal'!J26</f>
        <v>1.274</v>
      </c>
      <c r="W223" s="265"/>
      <c r="X223" s="495"/>
      <c r="Y223" s="328"/>
      <c r="Z223" s="328"/>
      <c r="AA223" s="495"/>
      <c r="AB223" s="328"/>
      <c r="AC223" s="328"/>
      <c r="AD223" s="495"/>
      <c r="AG223" s="265"/>
    </row>
    <row r="224" spans="1:36" s="403" customFormat="1">
      <c r="A224" s="265" t="s">
        <v>572</v>
      </c>
      <c r="D224" s="403" t="s">
        <v>132</v>
      </c>
      <c r="E224" s="265" t="s">
        <v>133</v>
      </c>
      <c r="F224" s="495"/>
      <c r="I224" s="338">
        <f>'R15 SO Internal'!F25</f>
        <v>1.163</v>
      </c>
      <c r="K224" s="328"/>
      <c r="L224" s="338">
        <f>'R15 SO Internal'!G25</f>
        <v>1.2050000000000001</v>
      </c>
      <c r="O224" s="338">
        <f>'R15 SO Internal'!H25</f>
        <v>1.2270000000000001</v>
      </c>
      <c r="R224" s="338">
        <f>'R15 SO Internal'!I25</f>
        <v>1.2330000000000001</v>
      </c>
      <c r="U224" s="338">
        <f>'R15 SO Internal'!J25</f>
        <v>1.2709999999999999</v>
      </c>
      <c r="W224" s="265"/>
      <c r="X224" s="495"/>
      <c r="Y224" s="328"/>
      <c r="Z224" s="328"/>
      <c r="AA224" s="495"/>
      <c r="AB224" s="328"/>
      <c r="AC224" s="328"/>
      <c r="AD224" s="495"/>
      <c r="AG224" s="265"/>
    </row>
    <row r="225" spans="1:33" s="403" customFormat="1">
      <c r="A225" s="265" t="s">
        <v>465</v>
      </c>
      <c r="D225" s="403" t="s">
        <v>365</v>
      </c>
      <c r="E225" s="403" t="s">
        <v>1</v>
      </c>
      <c r="F225" s="499"/>
      <c r="I225" s="467">
        <f>I235</f>
        <v>1.3337284</v>
      </c>
      <c r="K225" s="328"/>
      <c r="L225" s="467">
        <f>L235</f>
        <v>1.3818940000000002</v>
      </c>
      <c r="O225" s="467">
        <f>O235</f>
        <v>1.4123896784255876</v>
      </c>
      <c r="R225" s="467">
        <f>R235</f>
        <v>1.3945849081619011</v>
      </c>
      <c r="U225" s="467">
        <f>U235</f>
        <v>1.4244937212704758</v>
      </c>
      <c r="W225" s="265"/>
      <c r="X225" s="499"/>
      <c r="Y225" s="328"/>
      <c r="Z225" s="328"/>
      <c r="AA225" s="499"/>
      <c r="AB225" s="328"/>
      <c r="AC225" s="328"/>
      <c r="AD225" s="499"/>
      <c r="AG225" s="265"/>
    </row>
    <row r="226" spans="1:33" s="403" customFormat="1">
      <c r="A226" s="265" t="s">
        <v>211</v>
      </c>
      <c r="D226" s="403" t="s">
        <v>146</v>
      </c>
      <c r="E226" s="403" t="s">
        <v>133</v>
      </c>
      <c r="F226" s="495"/>
      <c r="I226" s="338">
        <f>'R5 Input page'!F50</f>
        <v>1.04552</v>
      </c>
      <c r="K226" s="328"/>
      <c r="L226" s="338">
        <f>'R5 Input page'!G50</f>
        <v>1.0443199999999999</v>
      </c>
      <c r="O226" s="338">
        <f>'R5 Input page'!H50</f>
        <v>1.0432999999999999</v>
      </c>
      <c r="R226" s="338">
        <f>'R5 Input page'!I50</f>
        <v>1.0422800000000001</v>
      </c>
      <c r="U226" s="338">
        <f>'R5 Input page'!J50</f>
        <v>1.04132</v>
      </c>
      <c r="W226" s="265"/>
      <c r="X226" s="500"/>
      <c r="Y226" s="328"/>
      <c r="Z226" s="328"/>
      <c r="AA226" s="500"/>
      <c r="AB226" s="328"/>
      <c r="AC226" s="328"/>
      <c r="AD226" s="500"/>
      <c r="AG226" s="265"/>
    </row>
    <row r="227" spans="1:33" s="403" customFormat="1">
      <c r="A227" s="265" t="s">
        <v>807</v>
      </c>
      <c r="D227" s="403" t="s">
        <v>467</v>
      </c>
      <c r="E227" s="265" t="s">
        <v>630</v>
      </c>
      <c r="K227" s="328"/>
      <c r="L227" s="502"/>
      <c r="O227" s="467">
        <f>(I223-I224)/I223*(I225/I224)*I226*L226</f>
        <v>4.2918324576915884E-3</v>
      </c>
      <c r="P227" s="473"/>
      <c r="Q227" s="473"/>
      <c r="R227" s="467">
        <f>(L223-L224)/L223*(L225/L224)*L226*O226</f>
        <v>-1.5749790622951388E-2</v>
      </c>
      <c r="S227" s="473"/>
      <c r="T227" s="473"/>
      <c r="U227" s="467">
        <f>(O223-O224)/O223*(O225/O224)*O226*R226</f>
        <v>-2.6033893571616298E-2</v>
      </c>
      <c r="X227" s="498">
        <v>0</v>
      </c>
      <c r="AA227" s="498">
        <v>0</v>
      </c>
      <c r="AD227" s="498">
        <v>0</v>
      </c>
      <c r="AG227" s="265"/>
    </row>
    <row r="228" spans="1:33">
      <c r="A228" s="302"/>
      <c r="AG228" s="302"/>
    </row>
    <row r="229" spans="1:33" s="403" customFormat="1" ht="14.5">
      <c r="A229" s="497" t="s">
        <v>814</v>
      </c>
      <c r="K229" s="328"/>
      <c r="R229" s="432"/>
      <c r="AG229" s="265"/>
    </row>
    <row r="230" spans="1:33" s="403" customFormat="1">
      <c r="A230" s="466" t="s">
        <v>813</v>
      </c>
      <c r="K230" s="328"/>
      <c r="R230" s="432"/>
      <c r="AG230" s="265"/>
    </row>
    <row r="231" spans="1:33" s="403" customFormat="1">
      <c r="A231" s="265"/>
      <c r="F231" s="265"/>
      <c r="G231" s="265"/>
      <c r="H231" s="265"/>
      <c r="K231" s="328"/>
      <c r="R231" s="432"/>
      <c r="X231" s="265"/>
      <c r="Y231" s="265"/>
      <c r="Z231" s="265"/>
      <c r="AA231" s="265"/>
      <c r="AB231" s="265"/>
      <c r="AC231" s="265"/>
      <c r="AD231" s="265"/>
      <c r="AE231" s="265"/>
      <c r="AF231" s="265"/>
      <c r="AG231" s="265"/>
    </row>
    <row r="232" spans="1:33" s="403" customFormat="1">
      <c r="A232" s="265" t="s">
        <v>468</v>
      </c>
      <c r="D232" s="403" t="s">
        <v>466</v>
      </c>
      <c r="E232" s="265" t="s">
        <v>630</v>
      </c>
      <c r="F232" s="270">
        <v>1.1468</v>
      </c>
      <c r="I232" s="270">
        <v>1.1468</v>
      </c>
      <c r="J232" s="334"/>
      <c r="K232" s="335"/>
      <c r="L232" s="270">
        <v>1.1468</v>
      </c>
      <c r="M232" s="334"/>
      <c r="O232" s="270">
        <v>1.1468</v>
      </c>
      <c r="P232" s="334"/>
      <c r="R232" s="472">
        <v>1.1468</v>
      </c>
      <c r="S232" s="334"/>
      <c r="U232" s="270">
        <v>1.1468</v>
      </c>
      <c r="V232" s="334"/>
      <c r="X232" s="270">
        <v>1.1468</v>
      </c>
      <c r="Y232" s="334"/>
      <c r="AA232" s="270">
        <v>1.1468</v>
      </c>
      <c r="AB232" s="334"/>
      <c r="AD232" s="270">
        <v>1.1468</v>
      </c>
      <c r="AE232" s="334"/>
      <c r="AG232" s="265"/>
    </row>
    <row r="233" spans="1:33" s="403" customFormat="1">
      <c r="A233" s="265" t="s">
        <v>442</v>
      </c>
      <c r="D233" s="403" t="s">
        <v>467</v>
      </c>
      <c r="E233" s="265" t="s">
        <v>630</v>
      </c>
      <c r="F233" s="270">
        <v>0</v>
      </c>
      <c r="I233" s="270">
        <v>0</v>
      </c>
      <c r="J233" s="334"/>
      <c r="K233" s="335"/>
      <c r="L233" s="270">
        <v>0</v>
      </c>
      <c r="M233" s="334"/>
      <c r="N233" s="406"/>
      <c r="O233" s="269">
        <f>O227</f>
        <v>4.2918324576915884E-3</v>
      </c>
      <c r="P233" s="334"/>
      <c r="R233" s="269">
        <f>R227</f>
        <v>-1.5749790622951388E-2</v>
      </c>
      <c r="S233" s="334"/>
      <c r="U233" s="269">
        <f>U227</f>
        <v>-2.6033893571616298E-2</v>
      </c>
      <c r="V233" s="334"/>
      <c r="X233" s="269">
        <f>X227</f>
        <v>0</v>
      </c>
      <c r="Y233" s="334"/>
      <c r="AA233" s="269">
        <f>AA227</f>
        <v>0</v>
      </c>
      <c r="AB233" s="334"/>
      <c r="AD233" s="269">
        <f>AD227</f>
        <v>0</v>
      </c>
      <c r="AE233" s="334"/>
      <c r="AG233" s="265"/>
    </row>
    <row r="234" spans="1:33" s="403" customFormat="1">
      <c r="A234" s="265" t="s">
        <v>72</v>
      </c>
      <c r="D234" s="403" t="s">
        <v>132</v>
      </c>
      <c r="E234" s="403" t="s">
        <v>133</v>
      </c>
      <c r="F234" s="268">
        <f>'R15 SO Internal'!E25</f>
        <v>1.1344000000000001</v>
      </c>
      <c r="I234" s="268">
        <f>'R15 SO Internal'!F25</f>
        <v>1.163</v>
      </c>
      <c r="J234" s="334"/>
      <c r="K234" s="335"/>
      <c r="L234" s="268">
        <f>'R15 SO Internal'!G25</f>
        <v>1.2050000000000001</v>
      </c>
      <c r="M234" s="334"/>
      <c r="O234" s="268">
        <f>'R15 SO Internal'!H25</f>
        <v>1.2270000000000001</v>
      </c>
      <c r="P234" s="334"/>
      <c r="R234" s="268">
        <f>'R15 SO Internal'!I25</f>
        <v>1.2330000000000001</v>
      </c>
      <c r="S234" s="334"/>
      <c r="U234" s="268">
        <f>'R15 SO Internal'!J25</f>
        <v>1.2709999999999999</v>
      </c>
      <c r="V234" s="334"/>
      <c r="X234" s="268">
        <f>'R15 SO Internal'!K25</f>
        <v>1.3140000000000001</v>
      </c>
      <c r="Y234" s="334"/>
      <c r="AA234" s="268">
        <f>'R15 SO Internal'!L25</f>
        <v>1.3580000000000001</v>
      </c>
      <c r="AB234" s="334"/>
      <c r="AD234" s="268">
        <f>'R15 SO Internal'!M25</f>
        <v>1.38</v>
      </c>
      <c r="AE234" s="334"/>
      <c r="AG234" s="265"/>
    </row>
    <row r="235" spans="1:33" s="403" customFormat="1">
      <c r="A235" s="265" t="s">
        <v>465</v>
      </c>
      <c r="D235" s="403" t="s">
        <v>365</v>
      </c>
      <c r="E235" s="403" t="s">
        <v>1</v>
      </c>
      <c r="F235" s="269">
        <f>(F232+F233)*F234</f>
        <v>1.3009299200000002</v>
      </c>
      <c r="I235" s="269">
        <f>(I232+I233)*I234</f>
        <v>1.3337284</v>
      </c>
      <c r="J235" s="336"/>
      <c r="K235" s="337"/>
      <c r="L235" s="269">
        <f>(L232+L233)*L234</f>
        <v>1.3818940000000002</v>
      </c>
      <c r="M235" s="336"/>
      <c r="O235" s="269">
        <f>(O232+O233)*O234</f>
        <v>1.4123896784255876</v>
      </c>
      <c r="P235" s="336"/>
      <c r="R235" s="267">
        <f>(R232+R233)*R234</f>
        <v>1.3945849081619011</v>
      </c>
      <c r="S235" s="336"/>
      <c r="U235" s="269">
        <f>(U232+U233)*U234</f>
        <v>1.4244937212704758</v>
      </c>
      <c r="V235" s="336"/>
      <c r="X235" s="269">
        <f>(X232+X233)*X234</f>
        <v>1.5068952000000002</v>
      </c>
      <c r="Y235" s="336"/>
      <c r="AA235" s="269">
        <f>(AA232+AA233)*AA234</f>
        <v>1.5573544000000001</v>
      </c>
      <c r="AB235" s="336"/>
      <c r="AD235" s="269">
        <f>(AD232+AD233)*AD234</f>
        <v>1.582584</v>
      </c>
      <c r="AE235" s="336"/>
      <c r="AG235" s="265"/>
    </row>
    <row r="236" spans="1:33">
      <c r="A236" s="302" t="s">
        <v>815</v>
      </c>
      <c r="K236" s="402"/>
      <c r="O236" s="474" t="str">
        <f>IF(O227=O233,"OK","ERROR")</f>
        <v>OK</v>
      </c>
      <c r="P236" s="281"/>
      <c r="Q236" s="281"/>
      <c r="R236" s="474" t="str">
        <f>IF(R227=R233,"OK","ERROR")</f>
        <v>OK</v>
      </c>
      <c r="S236" s="281"/>
      <c r="T236" s="281"/>
      <c r="U236" s="474" t="str">
        <f>IF(U227=U233,"OK","ERROR")</f>
        <v>OK</v>
      </c>
      <c r="V236" s="281"/>
      <c r="W236" s="281"/>
      <c r="X236" s="474" t="str">
        <f>IF(X227=X233,"OK","ERROR")</f>
        <v>OK</v>
      </c>
      <c r="Y236" s="281"/>
      <c r="Z236" s="281"/>
      <c r="AA236" s="474" t="str">
        <f>IF(AA227=AA233,"OK","ERROR")</f>
        <v>OK</v>
      </c>
      <c r="AB236" s="281"/>
      <c r="AC236" s="281"/>
      <c r="AD236" s="474" t="str">
        <f>IF(AD227=AD233,"OK","ERROR")</f>
        <v>OK</v>
      </c>
      <c r="AG236" s="302"/>
    </row>
    <row r="237" spans="1:33">
      <c r="A237" s="302"/>
    </row>
  </sheetData>
  <mergeCells count="43">
    <mergeCell ref="X12:Y12"/>
    <mergeCell ref="AA12:AB12"/>
    <mergeCell ref="AD12:AE12"/>
    <mergeCell ref="F22:G22"/>
    <mergeCell ref="I22:J22"/>
    <mergeCell ref="L22:M22"/>
    <mergeCell ref="O22:P22"/>
    <mergeCell ref="R22:S22"/>
    <mergeCell ref="U22:V22"/>
    <mergeCell ref="X22:Y22"/>
    <mergeCell ref="F12:G12"/>
    <mergeCell ref="I12:J12"/>
    <mergeCell ref="L12:M12"/>
    <mergeCell ref="O12:P12"/>
    <mergeCell ref="R12:S12"/>
    <mergeCell ref="U12:V12"/>
    <mergeCell ref="AA22:AB22"/>
    <mergeCell ref="AD22:AE22"/>
    <mergeCell ref="X39:Y39"/>
    <mergeCell ref="F40:G40"/>
    <mergeCell ref="I40:J40"/>
    <mergeCell ref="L40:M40"/>
    <mergeCell ref="O40:P40"/>
    <mergeCell ref="R40:S40"/>
    <mergeCell ref="U40:V40"/>
    <mergeCell ref="X55:Y55"/>
    <mergeCell ref="AA55:AB55"/>
    <mergeCell ref="AD55:AE55"/>
    <mergeCell ref="F55:G55"/>
    <mergeCell ref="I55:J55"/>
    <mergeCell ref="L55:M55"/>
    <mergeCell ref="O55:P55"/>
    <mergeCell ref="R55:S55"/>
    <mergeCell ref="U55:V55"/>
    <mergeCell ref="AD68:AE68"/>
    <mergeCell ref="F68:G68"/>
    <mergeCell ref="I68:J68"/>
    <mergeCell ref="L68:M68"/>
    <mergeCell ref="O68:P68"/>
    <mergeCell ref="R68:S68"/>
    <mergeCell ref="U68:V68"/>
    <mergeCell ref="X68:Y68"/>
    <mergeCell ref="AA68:AB68"/>
  </mergeCells>
  <pageMargins left="0.7" right="0.7" top="0.75" bottom="0.75" header="0.3" footer="0.3"/>
  <pageSetup paperSize="8" scale="41" orientation="landscape" r:id="rId1"/>
  <drawing r:id="rId2"/>
  <legacyDrawing r:id="rId3"/>
  <oleObjects>
    <mc:AlternateContent xmlns:mc="http://schemas.openxmlformats.org/markup-compatibility/2006">
      <mc:Choice Requires="x14">
        <oleObject progId="Equation.3" shapeId="32769" r:id="rId4">
          <objectPr defaultSize="0" autoPict="0" r:id="rId5">
            <anchor moveWithCells="1" sizeWithCells="1">
              <from>
                <xdr:col>0</xdr:col>
                <xdr:colOff>0</xdr:colOff>
                <xdr:row>39</xdr:row>
                <xdr:rowOff>69850</xdr:rowOff>
              </from>
              <to>
                <xdr:col>4</xdr:col>
                <xdr:colOff>647700</xdr:colOff>
                <xdr:row>40</xdr:row>
                <xdr:rowOff>107950</xdr:rowOff>
              </to>
            </anchor>
          </objectPr>
        </oleObject>
      </mc:Choice>
      <mc:Fallback>
        <oleObject progId="Equation.3" shapeId="32769" r:id="rId4"/>
      </mc:Fallback>
    </mc:AlternateContent>
    <mc:AlternateContent xmlns:mc="http://schemas.openxmlformats.org/markup-compatibility/2006">
      <mc:Choice Requires="x14">
        <oleObject progId="Equation.3" shapeId="32770" r:id="rId6">
          <objectPr defaultSize="0" autoPict="0" r:id="rId7">
            <anchor moveWithCells="1" sizeWithCells="1">
              <from>
                <xdr:col>1</xdr:col>
                <xdr:colOff>2736850</xdr:colOff>
                <xdr:row>81</xdr:row>
                <xdr:rowOff>12700</xdr:rowOff>
              </from>
              <to>
                <xdr:col>4</xdr:col>
                <xdr:colOff>336550</xdr:colOff>
                <xdr:row>82</xdr:row>
                <xdr:rowOff>69850</xdr:rowOff>
              </to>
            </anchor>
          </objectPr>
        </oleObject>
      </mc:Choice>
      <mc:Fallback>
        <oleObject progId="Equation.3" shapeId="32770" r:id="rId6"/>
      </mc:Fallback>
    </mc:AlternateContent>
    <mc:AlternateContent xmlns:mc="http://schemas.openxmlformats.org/markup-compatibility/2006">
      <mc:Choice Requires="x14">
        <oleObject progId="Equation.3" shapeId="32771" r:id="rId8">
          <objectPr defaultSize="0" autoPict="0" r:id="rId9">
            <anchor moveWithCells="1" sizeWithCells="1">
              <from>
                <xdr:col>0</xdr:col>
                <xdr:colOff>1181100</xdr:colOff>
                <xdr:row>127</xdr:row>
                <xdr:rowOff>146050</xdr:rowOff>
              </from>
              <to>
                <xdr:col>1</xdr:col>
                <xdr:colOff>622300</xdr:colOff>
                <xdr:row>129</xdr:row>
                <xdr:rowOff>50800</xdr:rowOff>
              </to>
            </anchor>
          </objectPr>
        </oleObject>
      </mc:Choice>
      <mc:Fallback>
        <oleObject progId="Equation.3" shapeId="32771" r:id="rId8"/>
      </mc:Fallback>
    </mc:AlternateContent>
    <mc:AlternateContent xmlns:mc="http://schemas.openxmlformats.org/markup-compatibility/2006">
      <mc:Choice Requires="x14">
        <oleObject progId="Equation.3" shapeId="32772" r:id="rId10">
          <objectPr defaultSize="0" autoPict="0" r:id="rId11">
            <anchor moveWithCells="1" sizeWithCells="1">
              <from>
                <xdr:col>0</xdr:col>
                <xdr:colOff>2279650</xdr:colOff>
                <xdr:row>170</xdr:row>
                <xdr:rowOff>0</xdr:rowOff>
              </from>
              <to>
                <xdr:col>2</xdr:col>
                <xdr:colOff>165100</xdr:colOff>
                <xdr:row>171</xdr:row>
                <xdr:rowOff>69850</xdr:rowOff>
              </to>
            </anchor>
          </objectPr>
        </oleObject>
      </mc:Choice>
      <mc:Fallback>
        <oleObject progId="Equation.3" shapeId="32772" r:id="rId10"/>
      </mc:Fallback>
    </mc:AlternateContent>
    <mc:AlternateContent xmlns:mc="http://schemas.openxmlformats.org/markup-compatibility/2006">
      <mc:Choice Requires="x14">
        <oleObject progId="Equation.3" shapeId="32773" r:id="rId12">
          <objectPr defaultSize="0" autoPict="0" r:id="rId13">
            <anchor moveWithCells="1" sizeWithCells="1">
              <from>
                <xdr:col>0</xdr:col>
                <xdr:colOff>38100</xdr:colOff>
                <xdr:row>179</xdr:row>
                <xdr:rowOff>12700</xdr:rowOff>
              </from>
              <to>
                <xdr:col>1</xdr:col>
                <xdr:colOff>527050</xdr:colOff>
                <xdr:row>181</xdr:row>
                <xdr:rowOff>107950</xdr:rowOff>
              </to>
            </anchor>
          </objectPr>
        </oleObject>
      </mc:Choice>
      <mc:Fallback>
        <oleObject progId="Equation.3" shapeId="32773" r:id="rId12"/>
      </mc:Fallback>
    </mc:AlternateContent>
    <mc:AlternateContent xmlns:mc="http://schemas.openxmlformats.org/markup-compatibility/2006">
      <mc:Choice Requires="x14">
        <oleObject progId="Equation.3" shapeId="32774" r:id="rId14">
          <objectPr defaultSize="0" autoPict="0" r:id="rId15">
            <anchor moveWithCells="1" sizeWithCells="1">
              <from>
                <xdr:col>0</xdr:col>
                <xdr:colOff>69850</xdr:colOff>
                <xdr:row>195</xdr:row>
                <xdr:rowOff>31750</xdr:rowOff>
              </from>
              <to>
                <xdr:col>2</xdr:col>
                <xdr:colOff>69850</xdr:colOff>
                <xdr:row>197</xdr:row>
                <xdr:rowOff>152400</xdr:rowOff>
              </to>
            </anchor>
          </objectPr>
        </oleObject>
      </mc:Choice>
      <mc:Fallback>
        <oleObject progId="Equation.3" shapeId="32774" r:id="rId14"/>
      </mc:Fallback>
    </mc:AlternateContent>
    <mc:AlternateContent xmlns:mc="http://schemas.openxmlformats.org/markup-compatibility/2006">
      <mc:Choice Requires="x14">
        <oleObject progId="Equation.3" shapeId="32775" r:id="rId16">
          <objectPr defaultSize="0" autoPict="0" r:id="rId17">
            <anchor moveWithCells="1" sizeWithCells="1">
              <from>
                <xdr:col>0</xdr:col>
                <xdr:colOff>2590800</xdr:colOff>
                <xdr:row>208</xdr:row>
                <xdr:rowOff>38100</xdr:rowOff>
              </from>
              <to>
                <xdr:col>5</xdr:col>
                <xdr:colOff>990600</xdr:colOff>
                <xdr:row>210</xdr:row>
                <xdr:rowOff>165100</xdr:rowOff>
              </to>
            </anchor>
          </objectPr>
        </oleObject>
      </mc:Choice>
      <mc:Fallback>
        <oleObject progId="Equation.3" shapeId="32775" r:id="rId16"/>
      </mc:Fallback>
    </mc:AlternateContent>
    <mc:AlternateContent xmlns:mc="http://schemas.openxmlformats.org/markup-compatibility/2006">
      <mc:Choice Requires="x14">
        <oleObject progId="Equation.3" shapeId="32776" r:id="rId18">
          <objectPr defaultSize="0" autoPict="0" r:id="rId19">
            <anchor moveWithCells="1" sizeWithCells="1">
              <from>
                <xdr:col>0</xdr:col>
                <xdr:colOff>127000</xdr:colOff>
                <xdr:row>20</xdr:row>
                <xdr:rowOff>31750</xdr:rowOff>
              </from>
              <to>
                <xdr:col>5</xdr:col>
                <xdr:colOff>457200</xdr:colOff>
                <xdr:row>22</xdr:row>
                <xdr:rowOff>38100</xdr:rowOff>
              </to>
            </anchor>
          </objectPr>
        </oleObject>
      </mc:Choice>
      <mc:Fallback>
        <oleObject progId="Equation.3" shapeId="32776" r:id="rId18"/>
      </mc:Fallback>
    </mc:AlternateContent>
  </oleObjec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pageSetUpPr fitToPage="1"/>
  </sheetPr>
  <dimension ref="A1:D128"/>
  <sheetViews>
    <sheetView showGridLines="0" workbookViewId="0">
      <pane ySplit="1" topLeftCell="A121" activePane="bottomLeft" state="frozen"/>
      <selection pane="bottomLeft" activeCell="A126" sqref="A126"/>
    </sheetView>
  </sheetViews>
  <sheetFormatPr defaultRowHeight="13.5"/>
  <cols>
    <col min="1" max="1" width="9" style="514"/>
    <col min="2" max="2" width="9.15234375" style="521" customWidth="1"/>
    <col min="3" max="3" width="75.4609375" style="514" customWidth="1"/>
    <col min="4" max="4" width="67.3828125" style="514" customWidth="1"/>
  </cols>
  <sheetData>
    <row r="1" spans="1:4" s="548" customFormat="1" ht="26.25" customHeight="1">
      <c r="A1" s="546" t="s">
        <v>840</v>
      </c>
      <c r="B1" s="547" t="s">
        <v>927</v>
      </c>
      <c r="C1" s="548" t="s">
        <v>841</v>
      </c>
      <c r="D1" s="548" t="s">
        <v>842</v>
      </c>
    </row>
    <row r="3" spans="1:4" s="400" customFormat="1">
      <c r="A3" s="514" t="s">
        <v>928</v>
      </c>
      <c r="B3" s="521"/>
      <c r="C3" s="514"/>
      <c r="D3" s="514"/>
    </row>
    <row r="4" spans="1:4" s="400" customFormat="1">
      <c r="A4" s="514"/>
      <c r="B4" s="521"/>
      <c r="C4" s="514"/>
      <c r="D4" s="514"/>
    </row>
    <row r="5" spans="1:4">
      <c r="A5" s="514">
        <v>1</v>
      </c>
      <c r="B5" s="647" t="s">
        <v>908</v>
      </c>
      <c r="C5" s="514" t="s">
        <v>929</v>
      </c>
      <c r="D5" s="514" t="s">
        <v>843</v>
      </c>
    </row>
    <row r="6" spans="1:4">
      <c r="B6" s="647"/>
      <c r="D6" s="514" t="s">
        <v>844</v>
      </c>
    </row>
    <row r="7" spans="1:4">
      <c r="D7" s="514" t="s">
        <v>845</v>
      </c>
    </row>
    <row r="8" spans="1:4">
      <c r="D8" s="514" t="s">
        <v>846</v>
      </c>
    </row>
    <row r="10" spans="1:4" ht="27.75" customHeight="1">
      <c r="A10" s="514">
        <v>2</v>
      </c>
      <c r="B10" s="521" t="s">
        <v>876</v>
      </c>
      <c r="C10" s="515" t="s">
        <v>930</v>
      </c>
      <c r="D10" s="514" t="s">
        <v>847</v>
      </c>
    </row>
    <row r="11" spans="1:4">
      <c r="B11" s="521" t="s">
        <v>876</v>
      </c>
      <c r="C11" s="514" t="s">
        <v>931</v>
      </c>
      <c r="D11" s="514" t="s">
        <v>933</v>
      </c>
    </row>
    <row r="12" spans="1:4">
      <c r="C12" s="514" t="s">
        <v>932</v>
      </c>
      <c r="D12" s="514" t="s">
        <v>933</v>
      </c>
    </row>
    <row r="13" spans="1:4" s="400" customFormat="1">
      <c r="A13" s="514"/>
      <c r="B13" s="521"/>
      <c r="C13" s="514"/>
      <c r="D13" s="514"/>
    </row>
    <row r="14" spans="1:4">
      <c r="A14" s="514">
        <v>3</v>
      </c>
      <c r="B14" s="521" t="s">
        <v>876</v>
      </c>
      <c r="C14" s="515" t="s">
        <v>934</v>
      </c>
      <c r="D14" s="514" t="s">
        <v>848</v>
      </c>
    </row>
    <row r="15" spans="1:4">
      <c r="C15" s="514" t="s">
        <v>951</v>
      </c>
      <c r="D15" s="514" t="s">
        <v>935</v>
      </c>
    </row>
    <row r="16" spans="1:4" s="400" customFormat="1">
      <c r="A16" s="514"/>
      <c r="B16" s="521"/>
      <c r="C16" s="514"/>
      <c r="D16" s="514"/>
    </row>
    <row r="17" spans="1:4">
      <c r="A17" s="514">
        <v>4</v>
      </c>
      <c r="B17" s="521" t="s">
        <v>876</v>
      </c>
      <c r="C17" s="515" t="s">
        <v>936</v>
      </c>
      <c r="D17" s="514" t="s">
        <v>937</v>
      </c>
    </row>
    <row r="18" spans="1:4" s="400" customFormat="1">
      <c r="A18" s="514"/>
      <c r="B18" s="521"/>
      <c r="C18" s="515"/>
      <c r="D18" s="514"/>
    </row>
    <row r="19" spans="1:4">
      <c r="A19" s="514">
        <v>5</v>
      </c>
      <c r="B19" s="521" t="s">
        <v>876</v>
      </c>
      <c r="C19" s="515" t="s">
        <v>988</v>
      </c>
      <c r="D19" s="514" t="s">
        <v>939</v>
      </c>
    </row>
    <row r="20" spans="1:4">
      <c r="C20" s="514" t="s">
        <v>938</v>
      </c>
      <c r="D20" s="514" t="s">
        <v>939</v>
      </c>
    </row>
    <row r="21" spans="1:4" s="400" customFormat="1">
      <c r="A21" s="514"/>
      <c r="B21" s="521"/>
      <c r="C21" s="514"/>
      <c r="D21" s="514"/>
    </row>
    <row r="22" spans="1:4" s="400" customFormat="1">
      <c r="A22" s="514">
        <v>6</v>
      </c>
      <c r="B22" s="521" t="s">
        <v>876</v>
      </c>
      <c r="C22" s="514" t="s">
        <v>940</v>
      </c>
      <c r="D22" s="514"/>
    </row>
    <row r="23" spans="1:4" s="400" customFormat="1">
      <c r="A23" s="514"/>
      <c r="B23" s="521"/>
      <c r="C23" s="514"/>
      <c r="D23" s="514"/>
    </row>
    <row r="24" spans="1:4" ht="27">
      <c r="A24" s="514">
        <v>7</v>
      </c>
      <c r="B24" s="521" t="s">
        <v>878</v>
      </c>
      <c r="C24" s="515" t="s">
        <v>973</v>
      </c>
      <c r="D24" s="514" t="s">
        <v>941</v>
      </c>
    </row>
    <row r="25" spans="1:4">
      <c r="B25" s="521" t="s">
        <v>878</v>
      </c>
      <c r="C25" s="514" t="s">
        <v>942</v>
      </c>
      <c r="D25" s="514" t="s">
        <v>943</v>
      </c>
    </row>
    <row r="26" spans="1:4" s="400" customFormat="1">
      <c r="A26" s="514"/>
      <c r="B26" s="521"/>
      <c r="C26" s="514"/>
      <c r="D26" s="514"/>
    </row>
    <row r="27" spans="1:4" ht="27">
      <c r="A27" s="514">
        <v>8</v>
      </c>
      <c r="B27" s="521" t="s">
        <v>878</v>
      </c>
      <c r="C27" s="515" t="s">
        <v>944</v>
      </c>
      <c r="D27" s="514" t="s">
        <v>855</v>
      </c>
    </row>
    <row r="29" spans="1:4" ht="27">
      <c r="A29" s="514">
        <v>9</v>
      </c>
      <c r="B29" s="521" t="s">
        <v>879</v>
      </c>
      <c r="C29" s="515" t="s">
        <v>945</v>
      </c>
      <c r="D29" s="514" t="s">
        <v>946</v>
      </c>
    </row>
    <row r="30" spans="1:4" s="400" customFormat="1">
      <c r="A30" s="514"/>
      <c r="B30" s="521"/>
      <c r="C30" s="515"/>
      <c r="D30" s="514"/>
    </row>
    <row r="31" spans="1:4" s="400" customFormat="1">
      <c r="A31" s="514">
        <v>10</v>
      </c>
      <c r="B31" s="521" t="s">
        <v>879</v>
      </c>
      <c r="C31" s="514" t="s">
        <v>947</v>
      </c>
      <c r="D31" s="514" t="s">
        <v>948</v>
      </c>
    </row>
    <row r="32" spans="1:4" s="400" customFormat="1">
      <c r="A32" s="514"/>
      <c r="B32" s="521"/>
      <c r="C32" s="514"/>
      <c r="D32" s="514"/>
    </row>
    <row r="33" spans="1:4" s="400" customFormat="1">
      <c r="A33" s="514">
        <v>11</v>
      </c>
      <c r="B33" s="521" t="s">
        <v>879</v>
      </c>
      <c r="C33" s="514" t="s">
        <v>949</v>
      </c>
      <c r="D33" s="514" t="s">
        <v>948</v>
      </c>
    </row>
    <row r="34" spans="1:4" s="400" customFormat="1" hidden="1">
      <c r="A34" s="514"/>
      <c r="B34" s="521"/>
      <c r="C34" s="514"/>
      <c r="D34" s="514"/>
    </row>
    <row r="35" spans="1:4">
      <c r="B35" s="521" t="s">
        <v>879</v>
      </c>
      <c r="C35" s="515" t="s">
        <v>950</v>
      </c>
      <c r="D35" s="514" t="s">
        <v>857</v>
      </c>
    </row>
    <row r="37" spans="1:4">
      <c r="A37" s="514">
        <v>12</v>
      </c>
      <c r="B37" s="521" t="s">
        <v>879</v>
      </c>
      <c r="C37" s="514" t="s">
        <v>858</v>
      </c>
      <c r="D37" s="514" t="s">
        <v>859</v>
      </c>
    </row>
    <row r="39" spans="1:4" s="400" customFormat="1">
      <c r="A39" s="514">
        <v>13</v>
      </c>
      <c r="B39" s="521" t="s">
        <v>880</v>
      </c>
      <c r="C39" s="514" t="s">
        <v>953</v>
      </c>
      <c r="D39" s="514" t="s">
        <v>946</v>
      </c>
    </row>
    <row r="40" spans="1:4">
      <c r="B40" s="521" t="s">
        <v>880</v>
      </c>
      <c r="C40" s="514" t="s">
        <v>954</v>
      </c>
      <c r="D40" s="514" t="s">
        <v>867</v>
      </c>
    </row>
    <row r="42" spans="1:4">
      <c r="A42" s="514">
        <v>14</v>
      </c>
      <c r="B42" s="521" t="s">
        <v>880</v>
      </c>
      <c r="C42" s="515" t="s">
        <v>952</v>
      </c>
      <c r="D42" s="514" t="s">
        <v>867</v>
      </c>
    </row>
    <row r="43" spans="1:4">
      <c r="B43" s="521" t="s">
        <v>881</v>
      </c>
      <c r="C43" s="515" t="s">
        <v>955</v>
      </c>
      <c r="D43" s="514" t="s">
        <v>867</v>
      </c>
    </row>
    <row r="44" spans="1:4" s="400" customFormat="1">
      <c r="A44" s="514"/>
      <c r="B44" s="521"/>
      <c r="C44" s="514"/>
      <c r="D44" s="514"/>
    </row>
    <row r="45" spans="1:4" ht="27">
      <c r="A45" s="514">
        <v>15</v>
      </c>
      <c r="B45" s="521" t="s">
        <v>881</v>
      </c>
      <c r="C45" s="522" t="s">
        <v>956</v>
      </c>
      <c r="D45" s="514" t="s">
        <v>883</v>
      </c>
    </row>
    <row r="47" spans="1:4">
      <c r="A47" s="514">
        <v>16</v>
      </c>
      <c r="B47" s="521" t="s">
        <v>881</v>
      </c>
      <c r="C47" s="514" t="s">
        <v>958</v>
      </c>
      <c r="D47" s="514" t="s">
        <v>957</v>
      </c>
    </row>
    <row r="49" spans="1:4" ht="27">
      <c r="A49" s="514">
        <v>17</v>
      </c>
      <c r="B49" s="521" t="s">
        <v>881</v>
      </c>
      <c r="C49" s="515" t="s">
        <v>974</v>
      </c>
      <c r="D49" s="514" t="s">
        <v>959</v>
      </c>
    </row>
    <row r="51" spans="1:4">
      <c r="A51" s="514">
        <v>18</v>
      </c>
      <c r="B51" s="521" t="s">
        <v>878</v>
      </c>
      <c r="C51" s="514" t="s">
        <v>960</v>
      </c>
      <c r="D51" s="514" t="s">
        <v>882</v>
      </c>
    </row>
    <row r="53" spans="1:4" ht="27">
      <c r="A53" s="514">
        <v>19</v>
      </c>
      <c r="B53" s="521" t="s">
        <v>884</v>
      </c>
      <c r="C53" s="515" t="s">
        <v>961</v>
      </c>
      <c r="D53" s="514" t="s">
        <v>885</v>
      </c>
    </row>
    <row r="55" spans="1:4">
      <c r="A55" s="514">
        <v>20</v>
      </c>
      <c r="B55" s="521" t="s">
        <v>886</v>
      </c>
      <c r="C55" s="515" t="s">
        <v>975</v>
      </c>
      <c r="D55" s="514" t="s">
        <v>887</v>
      </c>
    </row>
    <row r="56" spans="1:4">
      <c r="C56" s="514" t="s">
        <v>962</v>
      </c>
    </row>
    <row r="57" spans="1:4" s="400" customFormat="1">
      <c r="A57" s="514"/>
      <c r="B57" s="521"/>
      <c r="C57" s="514"/>
      <c r="D57" s="514"/>
    </row>
    <row r="58" spans="1:4">
      <c r="A58" s="514">
        <v>21</v>
      </c>
      <c r="B58" s="521" t="s">
        <v>963</v>
      </c>
      <c r="C58" s="514" t="s">
        <v>964</v>
      </c>
      <c r="D58" s="514" t="s">
        <v>965</v>
      </c>
    </row>
    <row r="59" spans="1:4" s="400" customFormat="1">
      <c r="A59" s="514"/>
      <c r="B59" s="521"/>
      <c r="C59" s="514"/>
      <c r="D59" s="514"/>
    </row>
    <row r="60" spans="1:4">
      <c r="A60" s="514">
        <v>22</v>
      </c>
      <c r="B60" s="521" t="s">
        <v>881</v>
      </c>
      <c r="C60" s="514" t="s">
        <v>888</v>
      </c>
      <c r="D60" s="514" t="s">
        <v>946</v>
      </c>
    </row>
    <row r="62" spans="1:4">
      <c r="A62" s="514">
        <v>23</v>
      </c>
      <c r="B62" s="521" t="s">
        <v>878</v>
      </c>
      <c r="C62" s="514" t="s">
        <v>966</v>
      </c>
      <c r="D62" s="514" t="s">
        <v>965</v>
      </c>
    </row>
    <row r="64" spans="1:4" s="542" customFormat="1">
      <c r="A64" s="540">
        <v>24</v>
      </c>
      <c r="B64" s="521" t="s">
        <v>897</v>
      </c>
      <c r="C64" s="514" t="s">
        <v>898</v>
      </c>
      <c r="D64" s="514" t="s">
        <v>968</v>
      </c>
    </row>
    <row r="65" spans="1:4" s="542" customFormat="1">
      <c r="A65" s="540"/>
      <c r="B65" s="521"/>
      <c r="C65" s="514"/>
      <c r="D65" s="514"/>
    </row>
    <row r="66" spans="1:4">
      <c r="A66" s="514">
        <v>25</v>
      </c>
      <c r="B66" s="521" t="s">
        <v>881</v>
      </c>
      <c r="C66" s="514" t="s">
        <v>967</v>
      </c>
    </row>
    <row r="68" spans="1:4">
      <c r="A68" s="514">
        <v>26</v>
      </c>
      <c r="B68" s="521" t="s">
        <v>881</v>
      </c>
      <c r="C68" s="514" t="s">
        <v>903</v>
      </c>
      <c r="D68" s="514" t="s">
        <v>904</v>
      </c>
    </row>
    <row r="69" spans="1:4">
      <c r="A69" s="540"/>
      <c r="B69" s="521" t="s">
        <v>907</v>
      </c>
      <c r="C69" s="514" t="s">
        <v>905</v>
      </c>
      <c r="D69" s="514" t="s">
        <v>906</v>
      </c>
    </row>
    <row r="71" spans="1:4" s="542" customFormat="1">
      <c r="A71" s="540">
        <v>27</v>
      </c>
      <c r="B71" s="541" t="s">
        <v>889</v>
      </c>
      <c r="C71" s="540" t="s">
        <v>917</v>
      </c>
      <c r="D71" s="540" t="s">
        <v>969</v>
      </c>
    </row>
    <row r="72" spans="1:4" s="542" customFormat="1">
      <c r="B72" s="561"/>
      <c r="C72" s="540" t="s">
        <v>918</v>
      </c>
      <c r="D72" s="540" t="s">
        <v>969</v>
      </c>
    </row>
    <row r="73" spans="1:4" s="542" customFormat="1">
      <c r="B73" s="541"/>
      <c r="C73" s="540" t="s">
        <v>909</v>
      </c>
      <c r="D73" s="540" t="s">
        <v>969</v>
      </c>
    </row>
    <row r="74" spans="1:4" s="542" customFormat="1">
      <c r="A74" s="540"/>
      <c r="B74" s="541"/>
      <c r="C74" s="540" t="s">
        <v>920</v>
      </c>
      <c r="D74" s="540" t="s">
        <v>969</v>
      </c>
    </row>
    <row r="75" spans="1:4" s="542" customFormat="1">
      <c r="A75" s="540"/>
      <c r="B75" s="541"/>
      <c r="C75" s="540" t="s">
        <v>970</v>
      </c>
      <c r="D75" s="540" t="s">
        <v>969</v>
      </c>
    </row>
    <row r="76" spans="1:4" s="542" customFormat="1" ht="27">
      <c r="A76" s="540"/>
      <c r="B76" s="541"/>
      <c r="C76" s="543" t="s">
        <v>972</v>
      </c>
      <c r="D76" s="543" t="s">
        <v>971</v>
      </c>
    </row>
    <row r="77" spans="1:4" s="542" customFormat="1">
      <c r="A77" s="540"/>
      <c r="B77" s="541"/>
      <c r="C77" s="540"/>
      <c r="D77" s="540"/>
    </row>
    <row r="78" spans="1:4" s="542" customFormat="1" ht="67.5">
      <c r="A78" s="540">
        <v>28</v>
      </c>
      <c r="B78" s="541" t="s">
        <v>889</v>
      </c>
      <c r="C78" s="551" t="s">
        <v>978</v>
      </c>
      <c r="D78" s="551" t="s">
        <v>977</v>
      </c>
    </row>
    <row r="79" spans="1:4" s="542" customFormat="1">
      <c r="A79" s="540"/>
      <c r="B79" s="541"/>
      <c r="C79" s="543"/>
      <c r="D79" s="540"/>
    </row>
    <row r="80" spans="1:4" s="542" customFormat="1" ht="243">
      <c r="A80" s="540">
        <v>29</v>
      </c>
      <c r="B80" s="541" t="s">
        <v>877</v>
      </c>
      <c r="C80" s="543" t="s">
        <v>976</v>
      </c>
      <c r="D80" s="540"/>
    </row>
    <row r="81" spans="1:4" s="542" customFormat="1">
      <c r="A81" s="540"/>
      <c r="B81" s="541"/>
      <c r="C81" s="543"/>
      <c r="D81" s="540"/>
    </row>
    <row r="82" spans="1:4" s="542" customFormat="1">
      <c r="A82" s="540"/>
      <c r="B82" s="541"/>
      <c r="C82" s="543"/>
      <c r="D82" s="540"/>
    </row>
    <row r="83" spans="1:4" s="542" customFormat="1" ht="40.5">
      <c r="A83" s="540">
        <v>30</v>
      </c>
      <c r="B83" s="541" t="s">
        <v>877</v>
      </c>
      <c r="C83" s="543" t="s">
        <v>911</v>
      </c>
      <c r="D83" s="540"/>
    </row>
    <row r="84" spans="1:4" s="542" customFormat="1">
      <c r="A84" s="540"/>
      <c r="B84" s="541"/>
      <c r="C84" s="543"/>
      <c r="D84" s="540"/>
    </row>
    <row r="85" spans="1:4" s="542" customFormat="1">
      <c r="A85" s="540"/>
      <c r="B85" s="541"/>
      <c r="C85" s="540"/>
      <c r="D85" s="540"/>
    </row>
    <row r="86" spans="1:4">
      <c r="A86" s="514">
        <v>31</v>
      </c>
      <c r="B86" s="521" t="s">
        <v>876</v>
      </c>
      <c r="C86" s="514" t="s">
        <v>912</v>
      </c>
    </row>
    <row r="87" spans="1:4">
      <c r="A87" s="514">
        <v>32</v>
      </c>
      <c r="B87" s="521" t="s">
        <v>913</v>
      </c>
      <c r="C87" s="514" t="s">
        <v>914</v>
      </c>
    </row>
    <row r="88" spans="1:4">
      <c r="A88" s="514">
        <v>33</v>
      </c>
      <c r="B88" s="521" t="s">
        <v>907</v>
      </c>
      <c r="C88" s="514" t="s">
        <v>915</v>
      </c>
    </row>
    <row r="89" spans="1:4">
      <c r="A89" s="559" t="s">
        <v>990</v>
      </c>
    </row>
    <row r="90" spans="1:4" ht="67.5">
      <c r="A90" s="555">
        <v>34</v>
      </c>
      <c r="B90" s="550" t="s">
        <v>989</v>
      </c>
      <c r="C90" s="554" t="s">
        <v>991</v>
      </c>
      <c r="D90" s="554" t="s">
        <v>992</v>
      </c>
    </row>
    <row r="91" spans="1:4" s="400" customFormat="1">
      <c r="A91" s="555"/>
      <c r="B91" s="521"/>
      <c r="C91" s="514"/>
      <c r="D91" s="514"/>
    </row>
    <row r="92" spans="1:4" ht="27">
      <c r="A92" s="556">
        <v>35</v>
      </c>
      <c r="B92" s="552" t="s">
        <v>979</v>
      </c>
      <c r="C92" s="553" t="s">
        <v>980</v>
      </c>
      <c r="D92" s="554" t="s">
        <v>981</v>
      </c>
    </row>
    <row r="93" spans="1:4" s="400" customFormat="1">
      <c r="A93" s="556"/>
      <c r="B93" s="552"/>
      <c r="C93" s="553"/>
      <c r="D93" s="554"/>
    </row>
    <row r="94" spans="1:4">
      <c r="A94" s="556">
        <v>36</v>
      </c>
      <c r="B94" s="552" t="s">
        <v>881</v>
      </c>
      <c r="C94" s="554" t="s">
        <v>983</v>
      </c>
    </row>
    <row r="96" spans="1:4">
      <c r="A96" s="514">
        <v>37</v>
      </c>
      <c r="B96" s="521" t="s">
        <v>876</v>
      </c>
      <c r="C96" s="560" t="s">
        <v>993</v>
      </c>
    </row>
    <row r="98" spans="1:4" ht="40.5">
      <c r="A98" s="514">
        <v>38</v>
      </c>
      <c r="B98" s="521" t="s">
        <v>877</v>
      </c>
      <c r="C98" s="515" t="s">
        <v>995</v>
      </c>
      <c r="D98" s="514" t="s">
        <v>994</v>
      </c>
    </row>
    <row r="117" spans="1:4" s="400" customFormat="1">
      <c r="A117" s="559" t="s">
        <v>996</v>
      </c>
      <c r="B117" s="562"/>
      <c r="C117" s="554"/>
      <c r="D117" s="554"/>
    </row>
    <row r="118" spans="1:4" s="400" customFormat="1">
      <c r="A118" s="552">
        <v>39</v>
      </c>
      <c r="B118" s="562" t="s">
        <v>881</v>
      </c>
      <c r="C118" s="554" t="s">
        <v>997</v>
      </c>
      <c r="D118" s="554"/>
    </row>
    <row r="119" spans="1:4">
      <c r="A119" s="552">
        <v>40</v>
      </c>
      <c r="B119" s="562" t="s">
        <v>881</v>
      </c>
      <c r="C119" s="554" t="s">
        <v>998</v>
      </c>
    </row>
    <row r="121" spans="1:4">
      <c r="A121" s="559" t="s">
        <v>999</v>
      </c>
    </row>
    <row r="122" spans="1:4" ht="40.5">
      <c r="A122" s="514" t="s">
        <v>1001</v>
      </c>
      <c r="B122" s="521" t="s">
        <v>877</v>
      </c>
      <c r="C122" s="514" t="s">
        <v>1000</v>
      </c>
      <c r="D122" s="515" t="s">
        <v>1002</v>
      </c>
    </row>
    <row r="123" spans="1:4" s="400" customFormat="1">
      <c r="A123" s="514"/>
      <c r="B123" s="521"/>
      <c r="C123" s="514"/>
    </row>
    <row r="124" spans="1:4" ht="40.5">
      <c r="A124" s="514" t="s">
        <v>1003</v>
      </c>
      <c r="B124" s="521" t="s">
        <v>877</v>
      </c>
      <c r="C124" s="514" t="s">
        <v>1000</v>
      </c>
      <c r="D124" s="515" t="s">
        <v>1005</v>
      </c>
    </row>
    <row r="126" spans="1:4" ht="40.5">
      <c r="A126" s="514" t="s">
        <v>1004</v>
      </c>
      <c r="B126" s="521" t="s">
        <v>877</v>
      </c>
      <c r="C126" s="514" t="s">
        <v>1000</v>
      </c>
      <c r="D126" s="515" t="s">
        <v>1006</v>
      </c>
    </row>
    <row r="127" spans="1:4" s="400" customFormat="1">
      <c r="A127" s="514"/>
      <c r="B127" s="521"/>
      <c r="C127" s="514"/>
      <c r="D127" s="515"/>
    </row>
    <row r="128" spans="1:4" ht="27">
      <c r="A128" s="514" t="s">
        <v>1007</v>
      </c>
      <c r="B128" s="521" t="s">
        <v>877</v>
      </c>
      <c r="C128" s="514" t="s">
        <v>1000</v>
      </c>
      <c r="D128" s="515" t="s">
        <v>1008</v>
      </c>
    </row>
  </sheetData>
  <mergeCells count="1">
    <mergeCell ref="B5:B6"/>
  </mergeCells>
  <pageMargins left="0.7" right="0.7" top="0.75" bottom="0.75" header="0.3" footer="0.3"/>
  <pageSetup paperSize="9" scale="79" fitToHeight="0" orientation="landscape"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FFFFCC"/>
    <pageSetUpPr fitToPage="1"/>
  </sheetPr>
  <dimension ref="A1:AF82"/>
  <sheetViews>
    <sheetView showGridLines="0" zoomScale="80" zoomScaleNormal="80" workbookViewId="0">
      <pane xSplit="5" ySplit="3" topLeftCell="P4" activePane="bottomRight" state="frozenSplit"/>
      <selection pane="topRight"/>
      <selection pane="bottomLeft"/>
      <selection pane="bottomRight" activeCell="X22" sqref="X22"/>
    </sheetView>
  </sheetViews>
  <sheetFormatPr defaultColWidth="9" defaultRowHeight="13.5"/>
  <cols>
    <col min="1" max="1" width="32.765625" style="137" customWidth="1"/>
    <col min="2" max="2" width="9" style="137"/>
    <col min="3" max="3" width="10.765625" style="137" customWidth="1"/>
    <col min="4" max="4" width="10.3828125" style="137" customWidth="1"/>
    <col min="5" max="5" width="7.84375" style="137" customWidth="1"/>
    <col min="6" max="7" width="14.3828125" style="137" bestFit="1" customWidth="1"/>
    <col min="8" max="8" width="1.765625" style="137" customWidth="1"/>
    <col min="9" max="10" width="14.3828125" style="137" bestFit="1" customWidth="1"/>
    <col min="11" max="11" width="2.15234375" style="312" customWidth="1"/>
    <col min="12" max="12" width="10.3828125" style="137" customWidth="1"/>
    <col min="13" max="13" width="13" style="137" customWidth="1"/>
    <col min="14" max="14" width="2.15234375" style="137" customWidth="1"/>
    <col min="15" max="16" width="15" style="137" bestFit="1" customWidth="1"/>
    <col min="17" max="17" width="2.3828125" style="137" customWidth="1"/>
    <col min="18" max="19" width="15" style="137" bestFit="1" customWidth="1"/>
    <col min="20" max="20" width="3" style="137" customWidth="1"/>
    <col min="21" max="22" width="15" style="137" bestFit="1" customWidth="1"/>
    <col min="23" max="23" width="2.15234375" style="137" customWidth="1"/>
    <col min="24" max="25" width="15" style="137" bestFit="1" customWidth="1"/>
    <col min="26" max="26" width="2.3828125" style="137" customWidth="1"/>
    <col min="27" max="28" width="15" style="137" bestFit="1" customWidth="1"/>
    <col min="29" max="29" width="2.765625" style="137" customWidth="1"/>
    <col min="30" max="31" width="15" style="137" bestFit="1" customWidth="1"/>
    <col min="32" max="16384" width="9" style="137"/>
  </cols>
  <sheetData>
    <row r="1" spans="1:32" ht="15">
      <c r="A1" s="157" t="s">
        <v>628</v>
      </c>
      <c r="B1" s="148"/>
      <c r="C1" s="148"/>
      <c r="AF1" s="302"/>
    </row>
    <row r="2" spans="1:32" ht="15">
      <c r="A2" s="157" t="str">
        <f>CompName</f>
        <v>National Grid Electricity System Operator Ltd</v>
      </c>
      <c r="B2" s="148"/>
      <c r="C2" s="148"/>
      <c r="AF2" s="302"/>
    </row>
    <row r="3" spans="1:32">
      <c r="A3" s="159" t="str">
        <f>RegYr</f>
        <v>Regulatory Year ending 31 March 2021</v>
      </c>
      <c r="B3" s="148"/>
      <c r="C3" s="148"/>
      <c r="AF3" s="302"/>
    </row>
    <row r="4" spans="1:32">
      <c r="AF4" s="302"/>
    </row>
    <row r="5" spans="1:32" ht="14.5">
      <c r="A5" s="266" t="s">
        <v>582</v>
      </c>
      <c r="F5" s="648" t="s">
        <v>754</v>
      </c>
      <c r="G5" s="648"/>
      <c r="H5" s="318"/>
      <c r="I5" s="642" t="s">
        <v>549</v>
      </c>
      <c r="J5" s="642"/>
      <c r="K5" s="317"/>
      <c r="L5" s="642" t="s">
        <v>550</v>
      </c>
      <c r="M5" s="642"/>
      <c r="O5" s="642" t="s">
        <v>551</v>
      </c>
      <c r="P5" s="642"/>
      <c r="R5" s="642" t="s">
        <v>552</v>
      </c>
      <c r="S5" s="642"/>
      <c r="U5" s="642" t="s">
        <v>553</v>
      </c>
      <c r="V5" s="642"/>
      <c r="X5" s="402"/>
      <c r="Y5" s="402"/>
      <c r="AA5" s="402"/>
      <c r="AB5" s="402"/>
      <c r="AD5" s="402"/>
      <c r="AE5" s="402"/>
      <c r="AF5" s="302"/>
    </row>
    <row r="6" spans="1:32" ht="14.5">
      <c r="A6" s="316" t="s">
        <v>583</v>
      </c>
      <c r="F6" s="138" t="s">
        <v>557</v>
      </c>
      <c r="G6" s="138" t="s">
        <v>558</v>
      </c>
      <c r="I6" s="138" t="s">
        <v>558</v>
      </c>
      <c r="J6" s="138" t="s">
        <v>559</v>
      </c>
      <c r="K6" s="319"/>
      <c r="L6" s="138" t="s">
        <v>559</v>
      </c>
      <c r="M6" s="138" t="s">
        <v>560</v>
      </c>
      <c r="O6" s="138" t="s">
        <v>560</v>
      </c>
      <c r="P6" s="138" t="s">
        <v>561</v>
      </c>
      <c r="R6" s="138" t="s">
        <v>561</v>
      </c>
      <c r="S6" s="138" t="s">
        <v>562</v>
      </c>
      <c r="U6" s="138" t="s">
        <v>562</v>
      </c>
      <c r="V6" s="138" t="s">
        <v>563</v>
      </c>
      <c r="X6" s="402"/>
      <c r="Y6" s="402"/>
      <c r="AA6" s="402"/>
      <c r="AB6" s="402"/>
      <c r="AD6" s="402"/>
      <c r="AE6" s="402"/>
      <c r="AF6" s="302"/>
    </row>
    <row r="7" spans="1:32" ht="14.5">
      <c r="A7" s="137" t="s">
        <v>584</v>
      </c>
      <c r="D7" s="137" t="s">
        <v>585</v>
      </c>
      <c r="E7" s="137" t="s">
        <v>1</v>
      </c>
      <c r="F7" s="261"/>
      <c r="G7" s="261"/>
      <c r="I7" s="261"/>
      <c r="J7" s="261"/>
      <c r="K7" s="317"/>
      <c r="L7" s="324">
        <f>L21</f>
        <v>0</v>
      </c>
      <c r="M7" s="324">
        <f>M21</f>
        <v>0</v>
      </c>
      <c r="N7" s="341"/>
      <c r="O7" s="324">
        <f>O21</f>
        <v>0</v>
      </c>
      <c r="P7" s="324">
        <f>P21</f>
        <v>0</v>
      </c>
      <c r="Q7" s="341"/>
      <c r="R7" s="324">
        <f>R21</f>
        <v>0</v>
      </c>
      <c r="S7" s="324">
        <f>S21</f>
        <v>0</v>
      </c>
      <c r="T7" s="341"/>
      <c r="U7" s="324">
        <f>U21</f>
        <v>0</v>
      </c>
      <c r="V7" s="324">
        <f>V21</f>
        <v>0</v>
      </c>
      <c r="W7" s="341"/>
      <c r="X7" s="402"/>
      <c r="Y7" s="402"/>
      <c r="Z7" s="341"/>
      <c r="AA7" s="402"/>
      <c r="AB7" s="402"/>
      <c r="AC7" s="341"/>
      <c r="AD7" s="402"/>
      <c r="AE7" s="402"/>
      <c r="AF7" s="302"/>
    </row>
    <row r="8" spans="1:32" ht="14.5">
      <c r="A8" s="137" t="s">
        <v>586</v>
      </c>
      <c r="D8" s="137" t="s">
        <v>587</v>
      </c>
      <c r="E8" s="137" t="s">
        <v>1</v>
      </c>
      <c r="F8" s="261"/>
      <c r="G8" s="261"/>
      <c r="I8" s="261"/>
      <c r="J8" s="261"/>
      <c r="K8" s="317"/>
      <c r="L8" s="324">
        <f>L32</f>
        <v>0</v>
      </c>
      <c r="M8" s="324">
        <f>M32</f>
        <v>0</v>
      </c>
      <c r="N8" s="341"/>
      <c r="O8" s="324">
        <f>O32</f>
        <v>0</v>
      </c>
      <c r="P8" s="324">
        <f>P32</f>
        <v>0</v>
      </c>
      <c r="Q8" s="341"/>
      <c r="R8" s="324">
        <f>R32</f>
        <v>0</v>
      </c>
      <c r="S8" s="324">
        <f>S32</f>
        <v>0</v>
      </c>
      <c r="T8" s="341"/>
      <c r="U8" s="324">
        <f>U32</f>
        <v>0</v>
      </c>
      <c r="V8" s="324">
        <f>V32</f>
        <v>0</v>
      </c>
      <c r="W8" s="341"/>
      <c r="X8" s="402"/>
      <c r="Y8" s="402"/>
      <c r="Z8" s="341"/>
      <c r="AA8" s="402"/>
      <c r="AB8" s="402"/>
      <c r="AC8" s="341"/>
      <c r="AD8" s="402"/>
      <c r="AE8" s="402"/>
      <c r="AF8" s="302"/>
    </row>
    <row r="9" spans="1:32" ht="14.5">
      <c r="A9" s="137" t="s">
        <v>588</v>
      </c>
      <c r="D9" s="137" t="s">
        <v>589</v>
      </c>
      <c r="E9" s="137" t="s">
        <v>1</v>
      </c>
      <c r="F9" s="261"/>
      <c r="G9" s="261"/>
      <c r="I9" s="261"/>
      <c r="J9" s="261"/>
      <c r="K9" s="317"/>
      <c r="L9" s="324">
        <f>L42</f>
        <v>0</v>
      </c>
      <c r="M9" s="324">
        <f>M42</f>
        <v>0</v>
      </c>
      <c r="N9" s="341"/>
      <c r="O9" s="324">
        <f>O42</f>
        <v>0</v>
      </c>
      <c r="P9" s="324">
        <f>P42</f>
        <v>0</v>
      </c>
      <c r="Q9" s="341"/>
      <c r="R9" s="324">
        <f>R42</f>
        <v>0</v>
      </c>
      <c r="S9" s="324">
        <f>S42</f>
        <v>0</v>
      </c>
      <c r="T9" s="341"/>
      <c r="U9" s="324">
        <f>U42</f>
        <v>0</v>
      </c>
      <c r="V9" s="324">
        <f>V42</f>
        <v>0</v>
      </c>
      <c r="W9" s="341"/>
      <c r="X9" s="402"/>
      <c r="Y9" s="402"/>
      <c r="Z9" s="341"/>
      <c r="AA9" s="402"/>
      <c r="AB9" s="402"/>
      <c r="AC9" s="341"/>
      <c r="AD9" s="402"/>
      <c r="AE9" s="402"/>
      <c r="AF9" s="302"/>
    </row>
    <row r="10" spans="1:32" s="136" customFormat="1">
      <c r="A10" s="136" t="s">
        <v>590</v>
      </c>
      <c r="D10" s="136" t="s">
        <v>570</v>
      </c>
      <c r="E10" s="136" t="s">
        <v>1</v>
      </c>
      <c r="K10" s="342"/>
      <c r="L10" s="326">
        <f>SUM(L7:L9)</f>
        <v>0</v>
      </c>
      <c r="M10" s="326">
        <f>SUM(M7:M9)</f>
        <v>0</v>
      </c>
      <c r="N10" s="343"/>
      <c r="O10" s="326">
        <f>SUM(O7:O9)</f>
        <v>0</v>
      </c>
      <c r="P10" s="326">
        <f>SUM(P7:P9)</f>
        <v>0</v>
      </c>
      <c r="Q10" s="343"/>
      <c r="R10" s="326">
        <f>SUM(R7:R9)</f>
        <v>0</v>
      </c>
      <c r="S10" s="326">
        <f>SUM(S7:S9)</f>
        <v>0</v>
      </c>
      <c r="T10" s="343"/>
      <c r="U10" s="186">
        <v>0</v>
      </c>
      <c r="V10" s="186">
        <v>0</v>
      </c>
      <c r="W10" s="343"/>
      <c r="X10" s="402"/>
      <c r="Y10" s="402"/>
      <c r="Z10" s="343"/>
      <c r="AA10" s="402"/>
      <c r="AB10" s="402"/>
      <c r="AC10" s="343"/>
      <c r="AD10" s="402"/>
      <c r="AE10" s="402"/>
      <c r="AF10" s="511"/>
    </row>
    <row r="11" spans="1:32">
      <c r="L11" s="341"/>
      <c r="M11" s="341"/>
      <c r="N11" s="341"/>
      <c r="O11" s="341"/>
      <c r="P11" s="341"/>
      <c r="Q11" s="341"/>
      <c r="R11" s="341"/>
      <c r="S11" s="341"/>
      <c r="T11" s="341"/>
      <c r="U11" s="341"/>
      <c r="V11" s="341"/>
      <c r="W11" s="341"/>
      <c r="X11" s="402"/>
      <c r="Y11" s="402"/>
      <c r="Z11" s="341"/>
      <c r="AA11" s="402"/>
      <c r="AB11" s="402"/>
      <c r="AC11" s="341"/>
      <c r="AD11" s="402"/>
      <c r="AE11" s="402"/>
      <c r="AF11" s="302"/>
    </row>
    <row r="12" spans="1:32">
      <c r="A12" s="137" t="s">
        <v>591</v>
      </c>
      <c r="L12" s="341"/>
      <c r="M12" s="341"/>
      <c r="N12" s="341"/>
      <c r="O12" s="341"/>
      <c r="P12" s="341"/>
      <c r="Q12" s="341"/>
      <c r="R12" s="341"/>
      <c r="S12" s="341"/>
      <c r="T12" s="341"/>
      <c r="U12" s="341"/>
      <c r="V12" s="341"/>
      <c r="W12" s="341"/>
      <c r="X12" s="402"/>
      <c r="Y12" s="402"/>
      <c r="Z12" s="341"/>
      <c r="AA12" s="402"/>
      <c r="AB12" s="402"/>
      <c r="AC12" s="341"/>
      <c r="AD12" s="402"/>
      <c r="AE12" s="402"/>
      <c r="AF12" s="302"/>
    </row>
    <row r="13" spans="1:32">
      <c r="L13" s="341"/>
      <c r="M13" s="341"/>
      <c r="N13" s="341"/>
      <c r="O13" s="341"/>
      <c r="P13" s="341"/>
      <c r="Q13" s="341"/>
      <c r="R13" s="341"/>
      <c r="S13" s="341"/>
      <c r="T13" s="341"/>
      <c r="U13" s="341"/>
      <c r="V13" s="341"/>
      <c r="W13" s="341"/>
      <c r="X13" s="402"/>
      <c r="Y13" s="402"/>
      <c r="Z13" s="341"/>
      <c r="AA13" s="402"/>
      <c r="AB13" s="402"/>
      <c r="AC13" s="341"/>
      <c r="AD13" s="402"/>
      <c r="AE13" s="402"/>
      <c r="AF13" s="302"/>
    </row>
    <row r="14" spans="1:32">
      <c r="A14" s="137" t="s">
        <v>592</v>
      </c>
      <c r="D14" s="137" t="s">
        <v>593</v>
      </c>
      <c r="E14" s="137" t="s">
        <v>1</v>
      </c>
      <c r="L14" s="321"/>
      <c r="M14" s="411"/>
      <c r="N14" s="341"/>
      <c r="O14" s="411"/>
      <c r="P14" s="411"/>
      <c r="Q14" s="341"/>
      <c r="R14" s="411"/>
      <c r="S14" s="411"/>
      <c r="T14" s="341"/>
      <c r="U14" s="321"/>
      <c r="V14" s="321"/>
      <c r="W14" s="341"/>
      <c r="X14" s="402"/>
      <c r="Y14" s="402"/>
      <c r="Z14" s="341"/>
      <c r="AA14" s="402"/>
      <c r="AB14" s="402"/>
      <c r="AC14" s="341"/>
      <c r="AD14" s="402"/>
      <c r="AE14" s="402"/>
      <c r="AF14" s="302"/>
    </row>
    <row r="15" spans="1:32">
      <c r="A15" s="137" t="s">
        <v>594</v>
      </c>
      <c r="D15" s="137" t="s">
        <v>595</v>
      </c>
      <c r="E15" s="137" t="s">
        <v>1</v>
      </c>
      <c r="L15" s="344"/>
      <c r="M15" s="411"/>
      <c r="N15" s="341"/>
      <c r="O15" s="344"/>
      <c r="P15" s="411"/>
      <c r="Q15" s="341"/>
      <c r="R15" s="344"/>
      <c r="S15" s="411"/>
      <c r="T15" s="341"/>
      <c r="U15" s="344"/>
      <c r="V15" s="321"/>
      <c r="W15" s="341"/>
      <c r="X15" s="402"/>
      <c r="Y15" s="402"/>
      <c r="Z15" s="341"/>
      <c r="AA15" s="402"/>
      <c r="AB15" s="402"/>
      <c r="AC15" s="341"/>
      <c r="AD15" s="402"/>
      <c r="AE15" s="402"/>
      <c r="AF15" s="302"/>
    </row>
    <row r="16" spans="1:32">
      <c r="A16" s="137" t="s">
        <v>596</v>
      </c>
      <c r="D16" s="137" t="s">
        <v>597</v>
      </c>
      <c r="E16" s="137" t="s">
        <v>1</v>
      </c>
      <c r="L16" s="411"/>
      <c r="M16" s="411"/>
      <c r="N16" s="341"/>
      <c r="O16" s="411"/>
      <c r="P16" s="411"/>
      <c r="Q16" s="341"/>
      <c r="R16" s="411"/>
      <c r="S16" s="411"/>
      <c r="T16" s="341"/>
      <c r="U16" s="321"/>
      <c r="V16" s="321"/>
      <c r="W16" s="341"/>
      <c r="X16" s="402"/>
      <c r="Y16" s="402"/>
      <c r="Z16" s="341"/>
      <c r="AA16" s="402"/>
      <c r="AB16" s="402"/>
      <c r="AC16" s="341"/>
      <c r="AD16" s="402"/>
      <c r="AE16" s="402"/>
      <c r="AF16" s="302"/>
    </row>
    <row r="17" spans="1:32">
      <c r="A17" s="137" t="s">
        <v>598</v>
      </c>
      <c r="D17" s="137" t="s">
        <v>599</v>
      </c>
      <c r="E17" s="137" t="s">
        <v>1</v>
      </c>
      <c r="L17" s="344"/>
      <c r="M17" s="411"/>
      <c r="N17" s="341"/>
      <c r="O17" s="344"/>
      <c r="P17" s="411"/>
      <c r="Q17" s="341"/>
      <c r="R17" s="344"/>
      <c r="S17" s="411"/>
      <c r="T17" s="341"/>
      <c r="U17" s="344"/>
      <c r="V17" s="321"/>
      <c r="W17" s="341"/>
      <c r="X17" s="402"/>
      <c r="Y17" s="402"/>
      <c r="Z17" s="341"/>
      <c r="AA17" s="402"/>
      <c r="AB17" s="402"/>
      <c r="AC17" s="341"/>
      <c r="AD17" s="402"/>
      <c r="AE17" s="402"/>
      <c r="AF17" s="302"/>
    </row>
    <row r="18" spans="1:32">
      <c r="A18" s="137" t="s">
        <v>600</v>
      </c>
      <c r="D18" s="137" t="s">
        <v>601</v>
      </c>
      <c r="E18" s="137" t="s">
        <v>1</v>
      </c>
      <c r="L18" s="411"/>
      <c r="M18" s="411"/>
      <c r="N18" s="341"/>
      <c r="O18" s="411"/>
      <c r="P18" s="411"/>
      <c r="Q18" s="341"/>
      <c r="R18" s="411"/>
      <c r="S18" s="411"/>
      <c r="T18" s="341"/>
      <c r="U18" s="321"/>
      <c r="V18" s="321"/>
      <c r="W18" s="341"/>
      <c r="X18" s="402"/>
      <c r="Y18" s="402"/>
      <c r="Z18" s="341"/>
      <c r="AA18" s="402"/>
      <c r="AB18" s="402"/>
      <c r="AC18" s="341"/>
      <c r="AD18" s="402"/>
      <c r="AE18" s="402"/>
      <c r="AF18" s="302"/>
    </row>
    <row r="19" spans="1:32">
      <c r="A19" s="137" t="s">
        <v>602</v>
      </c>
      <c r="D19" s="137" t="s">
        <v>755</v>
      </c>
      <c r="E19" s="137" t="s">
        <v>1</v>
      </c>
      <c r="L19" s="345"/>
      <c r="M19" s="411"/>
      <c r="N19" s="341"/>
      <c r="O19" s="345"/>
      <c r="P19" s="411"/>
      <c r="Q19" s="341"/>
      <c r="R19" s="345"/>
      <c r="S19" s="411"/>
      <c r="T19" s="341"/>
      <c r="U19" s="345"/>
      <c r="V19" s="321"/>
      <c r="W19" s="341"/>
      <c r="X19" s="402"/>
      <c r="Y19" s="402"/>
      <c r="Z19" s="341"/>
      <c r="AA19" s="402"/>
      <c r="AB19" s="402"/>
      <c r="AC19" s="341"/>
      <c r="AD19" s="402"/>
      <c r="AE19" s="402"/>
      <c r="AF19" s="302"/>
    </row>
    <row r="20" spans="1:32">
      <c r="A20" s="137" t="s">
        <v>603</v>
      </c>
      <c r="D20" s="137" t="s">
        <v>604</v>
      </c>
      <c r="E20" s="137" t="s">
        <v>1</v>
      </c>
      <c r="L20" s="346"/>
      <c r="M20" s="411"/>
      <c r="N20" s="341"/>
      <c r="O20" s="346"/>
      <c r="P20" s="411"/>
      <c r="Q20" s="341"/>
      <c r="R20" s="346"/>
      <c r="S20" s="411"/>
      <c r="T20" s="341"/>
      <c r="U20" s="346"/>
      <c r="V20" s="321"/>
      <c r="W20" s="341"/>
      <c r="X20" s="402"/>
      <c r="Y20" s="402"/>
      <c r="Z20" s="341"/>
      <c r="AA20" s="402"/>
      <c r="AB20" s="402"/>
      <c r="AC20" s="341"/>
      <c r="AD20" s="402"/>
      <c r="AE20" s="402"/>
      <c r="AF20" s="302"/>
    </row>
    <row r="21" spans="1:32">
      <c r="A21" s="137" t="s">
        <v>584</v>
      </c>
      <c r="D21" s="137" t="s">
        <v>585</v>
      </c>
      <c r="E21" s="137" t="s">
        <v>1</v>
      </c>
      <c r="L21" s="324">
        <f>SUM(L14:L20)</f>
        <v>0</v>
      </c>
      <c r="M21" s="324">
        <f>SUM(M14:M20)</f>
        <v>0</v>
      </c>
      <c r="N21" s="341"/>
      <c r="O21" s="324">
        <f>SUM(O14:O20)</f>
        <v>0</v>
      </c>
      <c r="P21" s="324">
        <f>SUM(P14:P20)</f>
        <v>0</v>
      </c>
      <c r="Q21" s="341"/>
      <c r="R21" s="324">
        <f>SUM(R14:R20)</f>
        <v>0</v>
      </c>
      <c r="S21" s="324">
        <f>SUM(S14:S20)</f>
        <v>0</v>
      </c>
      <c r="T21" s="341"/>
      <c r="U21" s="324">
        <f>SUM(U14:U20)</f>
        <v>0</v>
      </c>
      <c r="V21" s="324">
        <f>SUM(V14:V20)</f>
        <v>0</v>
      </c>
      <c r="W21" s="341"/>
      <c r="X21" s="402"/>
      <c r="Y21" s="402"/>
      <c r="Z21" s="341"/>
      <c r="AA21" s="402"/>
      <c r="AB21" s="402"/>
      <c r="AC21" s="341"/>
      <c r="AD21" s="402"/>
      <c r="AE21" s="402"/>
      <c r="AF21" s="302"/>
    </row>
    <row r="22" spans="1:32">
      <c r="L22" s="341"/>
      <c r="M22" s="341"/>
      <c r="N22" s="341"/>
      <c r="O22" s="341"/>
      <c r="P22" s="341"/>
      <c r="Q22" s="341"/>
      <c r="R22" s="341"/>
      <c r="S22" s="341"/>
      <c r="T22" s="341"/>
      <c r="U22" s="341"/>
      <c r="V22" s="341"/>
      <c r="W22" s="341"/>
      <c r="X22" s="402"/>
      <c r="Y22" s="402"/>
      <c r="Z22" s="341"/>
      <c r="AA22" s="402"/>
      <c r="AB22" s="402"/>
      <c r="AC22" s="341"/>
      <c r="AD22" s="402"/>
      <c r="AE22" s="402"/>
      <c r="AF22" s="302"/>
    </row>
    <row r="23" spans="1:32">
      <c r="L23" s="341"/>
      <c r="M23" s="341"/>
      <c r="N23" s="341"/>
      <c r="O23" s="341"/>
      <c r="P23" s="341"/>
      <c r="Q23" s="341"/>
      <c r="R23" s="341"/>
      <c r="S23" s="341"/>
      <c r="T23" s="341"/>
      <c r="U23" s="341"/>
      <c r="V23" s="341"/>
      <c r="W23" s="341"/>
      <c r="X23" s="402"/>
      <c r="Y23" s="402"/>
      <c r="Z23" s="341"/>
      <c r="AA23" s="402"/>
      <c r="AB23" s="402"/>
      <c r="AC23" s="341"/>
      <c r="AD23" s="402"/>
      <c r="AE23" s="402"/>
      <c r="AF23" s="302"/>
    </row>
    <row r="24" spans="1:32">
      <c r="A24" s="137" t="s">
        <v>605</v>
      </c>
      <c r="L24" s="341"/>
      <c r="M24" s="341"/>
      <c r="N24" s="341"/>
      <c r="O24" s="341"/>
      <c r="P24" s="341"/>
      <c r="Q24" s="341"/>
      <c r="R24" s="341"/>
      <c r="S24" s="341"/>
      <c r="T24" s="341"/>
      <c r="U24" s="341"/>
      <c r="V24" s="341"/>
      <c r="W24" s="341"/>
      <c r="X24" s="402"/>
      <c r="Y24" s="402"/>
      <c r="Z24" s="341"/>
      <c r="AA24" s="402"/>
      <c r="AB24" s="402"/>
      <c r="AC24" s="341"/>
      <c r="AD24" s="402"/>
      <c r="AE24" s="402"/>
      <c r="AF24" s="302"/>
    </row>
    <row r="25" spans="1:32">
      <c r="L25" s="341"/>
      <c r="M25" s="341"/>
      <c r="N25" s="341"/>
      <c r="O25" s="341"/>
      <c r="P25" s="341"/>
      <c r="Q25" s="341"/>
      <c r="R25" s="341"/>
      <c r="S25" s="341"/>
      <c r="T25" s="341"/>
      <c r="U25" s="341"/>
      <c r="V25" s="341"/>
      <c r="W25" s="341"/>
      <c r="X25" s="402"/>
      <c r="Y25" s="402"/>
      <c r="Z25" s="341"/>
      <c r="AA25" s="402"/>
      <c r="AB25" s="402"/>
      <c r="AC25" s="341"/>
      <c r="AD25" s="402"/>
      <c r="AE25" s="402"/>
      <c r="AF25" s="302"/>
    </row>
    <row r="26" spans="1:32">
      <c r="A26" s="137" t="s">
        <v>606</v>
      </c>
      <c r="D26" s="137" t="s">
        <v>607</v>
      </c>
      <c r="E26" s="137" t="s">
        <v>1</v>
      </c>
      <c r="L26" s="321"/>
      <c r="M26" s="411"/>
      <c r="N26" s="341"/>
      <c r="O26" s="411"/>
      <c r="P26" s="411"/>
      <c r="Q26" s="341"/>
      <c r="R26" s="411"/>
      <c r="S26" s="411"/>
      <c r="T26" s="341"/>
      <c r="U26" s="321"/>
      <c r="V26" s="321"/>
      <c r="W26" s="341"/>
      <c r="X26" s="402"/>
      <c r="Y26" s="402"/>
      <c r="Z26" s="341"/>
      <c r="AA26" s="402"/>
      <c r="AB26" s="402"/>
      <c r="AC26" s="341"/>
      <c r="AD26" s="402"/>
      <c r="AE26" s="402"/>
      <c r="AF26" s="302"/>
    </row>
    <row r="27" spans="1:32">
      <c r="A27" s="137" t="s">
        <v>608</v>
      </c>
      <c r="D27" s="137" t="s">
        <v>609</v>
      </c>
      <c r="E27" s="137" t="s">
        <v>1</v>
      </c>
      <c r="L27" s="344"/>
      <c r="M27" s="411"/>
      <c r="N27" s="341"/>
      <c r="O27" s="344"/>
      <c r="P27" s="411"/>
      <c r="Q27" s="341"/>
      <c r="R27" s="344"/>
      <c r="S27" s="411"/>
      <c r="T27" s="341"/>
      <c r="U27" s="344"/>
      <c r="V27" s="321"/>
      <c r="W27" s="341"/>
      <c r="X27" s="402"/>
      <c r="Y27" s="402"/>
      <c r="Z27" s="341"/>
      <c r="AA27" s="402"/>
      <c r="AB27" s="402"/>
      <c r="AC27" s="341"/>
      <c r="AD27" s="402"/>
      <c r="AE27" s="402"/>
      <c r="AF27" s="302"/>
    </row>
    <row r="28" spans="1:32">
      <c r="A28" s="137" t="s">
        <v>610</v>
      </c>
      <c r="D28" s="137" t="s">
        <v>611</v>
      </c>
      <c r="E28" s="137" t="s">
        <v>1</v>
      </c>
      <c r="L28" s="411"/>
      <c r="M28" s="411"/>
      <c r="N28" s="341"/>
      <c r="O28" s="411"/>
      <c r="P28" s="411"/>
      <c r="Q28" s="341"/>
      <c r="R28" s="411"/>
      <c r="S28" s="411"/>
      <c r="T28" s="341"/>
      <c r="U28" s="321"/>
      <c r="V28" s="321"/>
      <c r="W28" s="341"/>
      <c r="X28" s="402"/>
      <c r="Y28" s="402"/>
      <c r="Z28" s="341"/>
      <c r="AA28" s="402"/>
      <c r="AB28" s="402"/>
      <c r="AC28" s="341"/>
      <c r="AD28" s="402"/>
      <c r="AE28" s="402"/>
      <c r="AF28" s="302"/>
    </row>
    <row r="29" spans="1:32">
      <c r="A29" s="137" t="s">
        <v>612</v>
      </c>
      <c r="D29" s="137" t="s">
        <v>613</v>
      </c>
      <c r="E29" s="137" t="s">
        <v>1</v>
      </c>
      <c r="L29" s="345"/>
      <c r="M29" s="411"/>
      <c r="N29" s="341"/>
      <c r="O29" s="345"/>
      <c r="P29" s="411"/>
      <c r="Q29" s="341"/>
      <c r="R29" s="345"/>
      <c r="S29" s="411"/>
      <c r="T29" s="341"/>
      <c r="U29" s="345"/>
      <c r="V29" s="321"/>
      <c r="W29" s="341"/>
      <c r="X29" s="402"/>
      <c r="Y29" s="402"/>
      <c r="Z29" s="341"/>
      <c r="AA29" s="402"/>
      <c r="AB29" s="402"/>
      <c r="AC29" s="341"/>
      <c r="AD29" s="402"/>
      <c r="AE29" s="402"/>
      <c r="AF29" s="302"/>
    </row>
    <row r="30" spans="1:32">
      <c r="A30" s="137" t="s">
        <v>614</v>
      </c>
      <c r="D30" s="137" t="s">
        <v>615</v>
      </c>
      <c r="E30" s="137" t="s">
        <v>1</v>
      </c>
      <c r="L30" s="347"/>
      <c r="M30" s="411"/>
      <c r="N30" s="341"/>
      <c r="O30" s="347"/>
      <c r="P30" s="411"/>
      <c r="Q30" s="341"/>
      <c r="R30" s="347"/>
      <c r="S30" s="411"/>
      <c r="T30" s="341"/>
      <c r="U30" s="347"/>
      <c r="V30" s="321"/>
      <c r="W30" s="341"/>
      <c r="X30" s="402"/>
      <c r="Y30" s="402"/>
      <c r="Z30" s="341"/>
      <c r="AA30" s="402"/>
      <c r="AB30" s="402"/>
      <c r="AC30" s="341"/>
      <c r="AD30" s="402"/>
      <c r="AE30" s="402"/>
      <c r="AF30" s="302"/>
    </row>
    <row r="31" spans="1:32">
      <c r="A31" s="137" t="s">
        <v>616</v>
      </c>
      <c r="D31" s="137" t="s">
        <v>617</v>
      </c>
      <c r="E31" s="137" t="s">
        <v>1</v>
      </c>
      <c r="L31" s="346"/>
      <c r="M31" s="411"/>
      <c r="N31" s="341"/>
      <c r="O31" s="346"/>
      <c r="P31" s="411"/>
      <c r="Q31" s="341"/>
      <c r="R31" s="346"/>
      <c r="S31" s="411"/>
      <c r="T31" s="341"/>
      <c r="U31" s="346"/>
      <c r="V31" s="321"/>
      <c r="W31" s="341"/>
      <c r="X31" s="402"/>
      <c r="Y31" s="402"/>
      <c r="Z31" s="341"/>
      <c r="AA31" s="402"/>
      <c r="AB31" s="402"/>
      <c r="AC31" s="341"/>
      <c r="AD31" s="402"/>
      <c r="AE31" s="402"/>
      <c r="AF31" s="302"/>
    </row>
    <row r="32" spans="1:32">
      <c r="A32" s="137" t="s">
        <v>586</v>
      </c>
      <c r="D32" s="137" t="s">
        <v>587</v>
      </c>
      <c r="E32" s="137" t="s">
        <v>1</v>
      </c>
      <c r="L32" s="324">
        <f>SUM(L26:L31)</f>
        <v>0</v>
      </c>
      <c r="M32" s="324">
        <f>SUM(M26:M31)</f>
        <v>0</v>
      </c>
      <c r="N32" s="341"/>
      <c r="O32" s="324">
        <f>SUM(O26:O31)</f>
        <v>0</v>
      </c>
      <c r="P32" s="324">
        <f>SUM(P26:P31)</f>
        <v>0</v>
      </c>
      <c r="Q32" s="341"/>
      <c r="R32" s="324">
        <f>SUM(R26:R31)</f>
        <v>0</v>
      </c>
      <c r="S32" s="324">
        <f>SUM(S26:S31)</f>
        <v>0</v>
      </c>
      <c r="T32" s="341"/>
      <c r="U32" s="324">
        <f>SUM(U26:U31)</f>
        <v>0</v>
      </c>
      <c r="V32" s="324">
        <f>SUM(V26:V31)</f>
        <v>0</v>
      </c>
      <c r="W32" s="341"/>
      <c r="X32" s="402"/>
      <c r="Y32" s="402"/>
      <c r="Z32" s="341"/>
      <c r="AA32" s="402"/>
      <c r="AB32" s="402"/>
      <c r="AC32" s="341"/>
      <c r="AD32" s="402"/>
      <c r="AE32" s="402"/>
      <c r="AF32" s="302"/>
    </row>
    <row r="33" spans="1:32">
      <c r="L33" s="348"/>
      <c r="M33" s="348"/>
      <c r="N33" s="341"/>
      <c r="O33" s="348"/>
      <c r="P33" s="348"/>
      <c r="Q33" s="341"/>
      <c r="R33" s="348"/>
      <c r="S33" s="348"/>
      <c r="T33" s="341"/>
      <c r="U33" s="348"/>
      <c r="V33" s="348"/>
      <c r="W33" s="341"/>
      <c r="X33" s="402"/>
      <c r="Y33" s="402"/>
      <c r="Z33" s="341"/>
      <c r="AA33" s="402"/>
      <c r="AB33" s="402"/>
      <c r="AC33" s="341"/>
      <c r="AD33" s="402"/>
      <c r="AE33" s="402"/>
      <c r="AF33" s="302"/>
    </row>
    <row r="34" spans="1:32">
      <c r="L34" s="348"/>
      <c r="M34" s="348"/>
      <c r="N34" s="341"/>
      <c r="O34" s="348"/>
      <c r="P34" s="348"/>
      <c r="Q34" s="341"/>
      <c r="R34" s="348"/>
      <c r="S34" s="348"/>
      <c r="T34" s="341"/>
      <c r="U34" s="348"/>
      <c r="V34" s="348"/>
      <c r="W34" s="341"/>
      <c r="X34" s="402"/>
      <c r="Y34" s="402"/>
      <c r="Z34" s="341"/>
      <c r="AA34" s="402"/>
      <c r="AB34" s="402"/>
      <c r="AC34" s="341"/>
      <c r="AD34" s="402"/>
      <c r="AE34" s="402"/>
      <c r="AF34" s="302"/>
    </row>
    <row r="35" spans="1:32">
      <c r="A35" s="137" t="s">
        <v>588</v>
      </c>
      <c r="L35" s="348"/>
      <c r="M35" s="348"/>
      <c r="N35" s="341"/>
      <c r="O35" s="348"/>
      <c r="P35" s="348"/>
      <c r="Q35" s="341"/>
      <c r="R35" s="348"/>
      <c r="S35" s="348"/>
      <c r="T35" s="341"/>
      <c r="U35" s="348"/>
      <c r="V35" s="348"/>
      <c r="W35" s="341"/>
      <c r="X35" s="402"/>
      <c r="Y35" s="402"/>
      <c r="Z35" s="341"/>
      <c r="AA35" s="402"/>
      <c r="AB35" s="402"/>
      <c r="AC35" s="341"/>
      <c r="AD35" s="402"/>
      <c r="AE35" s="402"/>
      <c r="AF35" s="302"/>
    </row>
    <row r="36" spans="1:32">
      <c r="L36" s="341"/>
      <c r="M36" s="341"/>
      <c r="N36" s="341"/>
      <c r="O36" s="341"/>
      <c r="P36" s="341"/>
      <c r="Q36" s="341"/>
      <c r="R36" s="341"/>
      <c r="S36" s="341"/>
      <c r="T36" s="341"/>
      <c r="U36" s="341"/>
      <c r="V36" s="341"/>
      <c r="W36" s="341"/>
      <c r="X36" s="402"/>
      <c r="Y36" s="402"/>
      <c r="Z36" s="341"/>
      <c r="AA36" s="402"/>
      <c r="AB36" s="402"/>
      <c r="AC36" s="341"/>
      <c r="AD36" s="402"/>
      <c r="AE36" s="402"/>
      <c r="AF36" s="302"/>
    </row>
    <row r="37" spans="1:32">
      <c r="A37" s="137" t="s">
        <v>618</v>
      </c>
      <c r="D37" s="137" t="s">
        <v>619</v>
      </c>
      <c r="E37" s="137" t="s">
        <v>1</v>
      </c>
      <c r="L37" s="321"/>
      <c r="M37" s="411"/>
      <c r="N37" s="341"/>
      <c r="O37" s="411"/>
      <c r="P37" s="411"/>
      <c r="Q37" s="341"/>
      <c r="R37" s="411"/>
      <c r="S37" s="411"/>
      <c r="T37" s="341"/>
      <c r="U37" s="321"/>
      <c r="V37" s="321"/>
      <c r="W37" s="341"/>
      <c r="X37" s="402"/>
      <c r="Y37" s="402"/>
      <c r="Z37" s="341"/>
      <c r="AA37" s="402"/>
      <c r="AB37" s="402"/>
      <c r="AC37" s="341"/>
      <c r="AD37" s="402"/>
      <c r="AE37" s="402"/>
      <c r="AF37" s="302"/>
    </row>
    <row r="38" spans="1:32">
      <c r="A38" s="137" t="s">
        <v>620</v>
      </c>
      <c r="D38" s="137" t="s">
        <v>621</v>
      </c>
      <c r="E38" s="137" t="s">
        <v>1</v>
      </c>
      <c r="L38" s="344"/>
      <c r="M38" s="411"/>
      <c r="N38" s="341"/>
      <c r="O38" s="344"/>
      <c r="P38" s="411"/>
      <c r="Q38" s="341"/>
      <c r="R38" s="344"/>
      <c r="S38" s="411"/>
      <c r="T38" s="341"/>
      <c r="U38" s="344"/>
      <c r="V38" s="321"/>
      <c r="W38" s="341"/>
      <c r="X38" s="402"/>
      <c r="Y38" s="402"/>
      <c r="Z38" s="341"/>
      <c r="AA38" s="402"/>
      <c r="AB38" s="402"/>
      <c r="AC38" s="341"/>
      <c r="AD38" s="402"/>
      <c r="AE38" s="402"/>
      <c r="AF38" s="302"/>
    </row>
    <row r="39" spans="1:32">
      <c r="A39" s="137" t="s">
        <v>622</v>
      </c>
      <c r="D39" s="137" t="s">
        <v>623</v>
      </c>
      <c r="E39" s="137" t="s">
        <v>1</v>
      </c>
      <c r="L39" s="411"/>
      <c r="M39" s="411"/>
      <c r="N39" s="341"/>
      <c r="O39" s="411"/>
      <c r="P39" s="411"/>
      <c r="Q39" s="341"/>
      <c r="R39" s="411"/>
      <c r="S39" s="411"/>
      <c r="T39" s="341"/>
      <c r="U39" s="321"/>
      <c r="V39" s="321"/>
      <c r="W39" s="341"/>
      <c r="X39" s="402"/>
      <c r="Y39" s="402"/>
      <c r="Z39" s="341"/>
      <c r="AA39" s="402"/>
      <c r="AB39" s="402"/>
      <c r="AC39" s="341"/>
      <c r="AD39" s="402"/>
      <c r="AE39" s="402"/>
      <c r="AF39" s="302"/>
    </row>
    <row r="40" spans="1:32">
      <c r="A40" s="137" t="s">
        <v>624</v>
      </c>
      <c r="D40" s="137" t="s">
        <v>625</v>
      </c>
      <c r="E40" s="137" t="s">
        <v>1</v>
      </c>
      <c r="L40" s="344"/>
      <c r="M40" s="411"/>
      <c r="N40" s="341"/>
      <c r="O40" s="344"/>
      <c r="P40" s="411"/>
      <c r="Q40" s="341"/>
      <c r="R40" s="344"/>
      <c r="S40" s="411"/>
      <c r="T40" s="341"/>
      <c r="U40" s="344"/>
      <c r="V40" s="321"/>
      <c r="W40" s="341"/>
      <c r="X40" s="402"/>
      <c r="Y40" s="402"/>
      <c r="Z40" s="341"/>
      <c r="AA40" s="402"/>
      <c r="AB40" s="402"/>
      <c r="AC40" s="341"/>
      <c r="AD40" s="402"/>
      <c r="AE40" s="402"/>
      <c r="AF40" s="302"/>
    </row>
    <row r="41" spans="1:32">
      <c r="A41" s="137" t="s">
        <v>626</v>
      </c>
      <c r="D41" s="137" t="s">
        <v>627</v>
      </c>
      <c r="E41" s="137" t="s">
        <v>1</v>
      </c>
      <c r="L41" s="186">
        <v>5</v>
      </c>
      <c r="M41" s="186">
        <v>5</v>
      </c>
      <c r="N41" s="341"/>
      <c r="O41" s="186">
        <v>5</v>
      </c>
      <c r="P41" s="186">
        <v>5</v>
      </c>
      <c r="Q41" s="341"/>
      <c r="R41" s="186">
        <v>5</v>
      </c>
      <c r="S41" s="186">
        <v>5</v>
      </c>
      <c r="T41" s="341"/>
      <c r="U41" s="186">
        <v>5</v>
      </c>
      <c r="V41" s="186">
        <v>5</v>
      </c>
      <c r="W41" s="341"/>
      <c r="X41" s="402"/>
      <c r="Y41" s="402"/>
      <c r="Z41" s="341"/>
      <c r="AA41" s="402"/>
      <c r="AB41" s="402"/>
      <c r="AC41" s="341"/>
      <c r="AD41" s="402"/>
      <c r="AE41" s="402"/>
      <c r="AF41" s="302"/>
    </row>
    <row r="42" spans="1:32">
      <c r="A42" s="137" t="s">
        <v>588</v>
      </c>
      <c r="D42" s="137" t="s">
        <v>589</v>
      </c>
      <c r="E42" s="137" t="s">
        <v>1</v>
      </c>
      <c r="L42" s="324">
        <f>MIN(SUM(L37:L40),L41)</f>
        <v>0</v>
      </c>
      <c r="M42" s="324">
        <f>MIN(SUM(M37:M40),M41)</f>
        <v>0</v>
      </c>
      <c r="N42" s="341"/>
      <c r="O42" s="324">
        <f>MIN(SUM(O37:O40),O41)</f>
        <v>0</v>
      </c>
      <c r="P42" s="324">
        <f>MIN(SUM(P37:P40),P41)</f>
        <v>0</v>
      </c>
      <c r="Q42" s="341"/>
      <c r="R42" s="324">
        <f>MIN(SUM(R37:R40),R41)</f>
        <v>0</v>
      </c>
      <c r="S42" s="324">
        <f>MIN(SUM(S37:S40),S41)</f>
        <v>0</v>
      </c>
      <c r="T42" s="341"/>
      <c r="U42" s="324">
        <f>MIN(SUM(U37:U40),U41)</f>
        <v>0</v>
      </c>
      <c r="V42" s="324">
        <f>MIN(SUM(V37:V40),V41)</f>
        <v>0</v>
      </c>
      <c r="W42" s="341"/>
      <c r="X42" s="402"/>
      <c r="Y42" s="402"/>
      <c r="Z42" s="341"/>
      <c r="AA42" s="402"/>
      <c r="AB42" s="402"/>
      <c r="AC42" s="341"/>
      <c r="AD42" s="402"/>
      <c r="AE42" s="402"/>
      <c r="AF42" s="302"/>
    </row>
    <row r="43" spans="1:32">
      <c r="AF43" s="302"/>
    </row>
    <row r="44" spans="1:32">
      <c r="AF44" s="302"/>
    </row>
    <row r="45" spans="1:32">
      <c r="AF45" s="302"/>
    </row>
    <row r="46" spans="1:32">
      <c r="AF46" s="302"/>
    </row>
    <row r="47" spans="1:32">
      <c r="AF47" s="302"/>
    </row>
    <row r="48" spans="1:32">
      <c r="AF48" s="302"/>
    </row>
    <row r="49" spans="32:32">
      <c r="AF49" s="302"/>
    </row>
    <row r="50" spans="32:32">
      <c r="AF50" s="302"/>
    </row>
    <row r="51" spans="32:32">
      <c r="AF51" s="302"/>
    </row>
    <row r="52" spans="32:32">
      <c r="AF52" s="302"/>
    </row>
    <row r="53" spans="32:32">
      <c r="AF53" s="302"/>
    </row>
    <row r="54" spans="32:32">
      <c r="AF54" s="302"/>
    </row>
    <row r="55" spans="32:32">
      <c r="AF55" s="302"/>
    </row>
    <row r="56" spans="32:32">
      <c r="AF56" s="302"/>
    </row>
    <row r="57" spans="32:32">
      <c r="AF57" s="302"/>
    </row>
    <row r="58" spans="32:32">
      <c r="AF58" s="302"/>
    </row>
    <row r="59" spans="32:32">
      <c r="AF59" s="302"/>
    </row>
    <row r="60" spans="32:32">
      <c r="AF60" s="302"/>
    </row>
    <row r="61" spans="32:32">
      <c r="AF61" s="302"/>
    </row>
    <row r="62" spans="32:32">
      <c r="AF62" s="302"/>
    </row>
    <row r="63" spans="32:32">
      <c r="AF63" s="302"/>
    </row>
    <row r="64" spans="32:32">
      <c r="AF64" s="302"/>
    </row>
    <row r="65" spans="32:32">
      <c r="AF65" s="302"/>
    </row>
    <row r="66" spans="32:32">
      <c r="AF66" s="302"/>
    </row>
    <row r="67" spans="32:32">
      <c r="AF67" s="302"/>
    </row>
    <row r="68" spans="32:32">
      <c r="AF68" s="302"/>
    </row>
    <row r="69" spans="32:32">
      <c r="AF69" s="302"/>
    </row>
    <row r="70" spans="32:32">
      <c r="AF70" s="302"/>
    </row>
    <row r="71" spans="32:32">
      <c r="AF71" s="302"/>
    </row>
    <row r="72" spans="32:32">
      <c r="AF72" s="302"/>
    </row>
    <row r="73" spans="32:32">
      <c r="AF73" s="302"/>
    </row>
    <row r="74" spans="32:32">
      <c r="AF74" s="302"/>
    </row>
    <row r="75" spans="32:32">
      <c r="AF75" s="302"/>
    </row>
    <row r="76" spans="32:32">
      <c r="AF76" s="302"/>
    </row>
    <row r="77" spans="32:32">
      <c r="AF77" s="302"/>
    </row>
    <row r="78" spans="32:32">
      <c r="AF78" s="302"/>
    </row>
    <row r="79" spans="32:32">
      <c r="AF79" s="302"/>
    </row>
    <row r="80" spans="32:32">
      <c r="AF80" s="302"/>
    </row>
    <row r="81" spans="32:32">
      <c r="AF81" s="302"/>
    </row>
    <row r="82" spans="32:32">
      <c r="AF82" s="302"/>
    </row>
  </sheetData>
  <mergeCells count="6">
    <mergeCell ref="U5:V5"/>
    <mergeCell ref="F5:G5"/>
    <mergeCell ref="I5:J5"/>
    <mergeCell ref="L5:M5"/>
    <mergeCell ref="O5:P5"/>
    <mergeCell ref="R5:S5"/>
  </mergeCells>
  <pageMargins left="0.7" right="0.7" top="0.75" bottom="0.75" header="0.3" footer="0.3"/>
  <pageSetup paperSize="8" scale="89"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Analysis" ma:contentTypeID="0x0101004C9F495A7355574383679A0A27B2912100EA173FD8BA8CDA4A8A3023E100EA169F" ma:contentTypeVersion="10" ma:contentTypeDescription="This is used to create spreadsheets" ma:contentTypeScope="" ma:versionID="d232fbd6b6f6ded1419a23867ec122f5">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9fc8d84820d098ed6ec4940ef6c4aa33" ns2:_="" ns3:_="">
    <xsd:import namespace="631298fc-6a88-4548-b7d9-3b164918c4a3"/>
    <xsd:import namespace="http://schemas.microsoft.com/sharepoint/v3/fields"/>
    <xsd:element name="properties">
      <xsd:complexType>
        <xsd:sequence>
          <xsd:element name="documentManagement">
            <xsd:complexType>
              <xsd:all>
                <xsd:element ref="ns2:Applicable_x0020_Start_x0020_Date" minOccurs="0"/>
                <xsd:element ref="ns2:Applicable_x0020_Duration" minOccurs="0"/>
                <xsd:element ref="ns2:Organisation" minOccurs="0"/>
                <xsd:element ref="ns3:_Status"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Applicable_x0020_Start_x0020_Date" ma:index="8" nillable="true" ma:displayName="Applicable Start Date" ma:description="The Starting Date for the work - format is DD/MM/YYYY" ma:format="DateOnly" ma:internalName="Applicable_x0020_Start_x0020_Date">
      <xsd:simpleType>
        <xsd:restriction base="dms:DateTime"/>
      </xsd:simpleType>
    </xsd:element>
    <xsd:element name="Applicable_x0020_Duration" ma:index="9"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10"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_Status xmlns="http://schemas.microsoft.com/sharepoint/v3/fields">Draft</_Status>
    <Descriptor xmlns="631298fc-6a88-4548-b7d9-3b164918c4a3" xsi:nil="true"/>
    <Classification xmlns="631298fc-6a88-4548-b7d9-3b164918c4a3">Unclassified</Classification>
    <Organisation xmlns="631298fc-6a88-4548-b7d9-3b164918c4a3">National Grid Elec</Organisation>
    <Applicable_x0020_Start_x0020_Date xmlns="631298fc-6a88-4548-b7d9-3b164918c4a3">2013-02-12T00:00:00+00:00</Applicable_x0020_Start_x0020_Date>
    <Applicable_x0020_Duration xmlns="631298fc-6a88-4548-b7d9-3b164918c4a3">-</Applicable_x0020_Duratio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ca9306fc-8436-45f0-b931-e34f519be3a3" ContentTypeId="0x0101004C9F495A7355574383679A0A27B29121" PreviousValue="true"/>
</file>

<file path=customXml/item5.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9185E215-0B88-4F64-868F-7033C64856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10CED8-BAE2-4612-951F-CEEFA734AECB}">
  <ds:schemaRefs>
    <ds:schemaRef ds:uri="b1b6b1d3-9b1c-419f-ba2e-fefc168d435a"/>
    <ds:schemaRef ds:uri="http://schemas.microsoft.com/office/2006/metadata/properties"/>
    <ds:schemaRef ds:uri="http://purl.org/dc/terms/"/>
    <ds:schemaRef ds:uri="f35b5cbd-7b0b-4440-92cd-b510cab4ec67"/>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www.w3.org/XML/1998/namespace"/>
    <ds:schemaRef ds:uri="http://purl.org/dc/dcmitype/"/>
    <ds:schemaRef ds:uri="http://schemas.microsoft.com/sharepoint/v3/fields"/>
    <ds:schemaRef ds:uri="631298fc-6a88-4548-b7d9-3b164918c4a3"/>
  </ds:schemaRefs>
</ds:datastoreItem>
</file>

<file path=customXml/itemProps3.xml><?xml version="1.0" encoding="utf-8"?>
<ds:datastoreItem xmlns:ds="http://schemas.openxmlformats.org/officeDocument/2006/customXml" ds:itemID="{C9305048-D070-47AE-B61F-EF270D200EC6}">
  <ds:schemaRefs>
    <ds:schemaRef ds:uri="http://schemas.microsoft.com/sharepoint/v3/contenttype/forms"/>
  </ds:schemaRefs>
</ds:datastoreItem>
</file>

<file path=customXml/itemProps4.xml><?xml version="1.0" encoding="utf-8"?>
<ds:datastoreItem xmlns:ds="http://schemas.openxmlformats.org/officeDocument/2006/customXml" ds:itemID="{BD4C3FAC-D9A4-44BF-AD24-B4016E5CDF43}">
  <ds:schemaRefs>
    <ds:schemaRef ds:uri="Microsoft.SharePoint.Taxonomy.ContentTypeSync"/>
  </ds:schemaRefs>
</ds:datastoreItem>
</file>

<file path=customXml/itemProps5.xml><?xml version="1.0" encoding="utf-8"?>
<ds:datastoreItem xmlns:ds="http://schemas.openxmlformats.org/officeDocument/2006/customXml" ds:itemID="{9394E15C-E053-42E8-A66B-1F2651C10E9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139</vt:i4>
      </vt:variant>
    </vt:vector>
  </HeadingPairs>
  <TitlesOfParts>
    <vt:vector size="158" baseType="lpstr">
      <vt:lpstr>LARt Summary</vt:lpstr>
      <vt:lpstr>R1 Cover</vt:lpstr>
      <vt:lpstr>R2 Schematic</vt:lpstr>
      <vt:lpstr>R3 Version log</vt:lpstr>
      <vt:lpstr>R4 Licence Condition Values</vt:lpstr>
      <vt:lpstr>R5 Input page</vt:lpstr>
      <vt:lpstr>R6 True Up</vt:lpstr>
      <vt:lpstr>R7 Pass Through</vt:lpstr>
      <vt:lpstr>R8 Output incentives</vt:lpstr>
      <vt:lpstr>R9 Innovation incentive</vt:lpstr>
      <vt:lpstr>R10 Correction</vt:lpstr>
      <vt:lpstr>R11 TIRG</vt:lpstr>
      <vt:lpstr>R14 Rec to Stat Ac</vt:lpstr>
      <vt:lpstr>R12 SO MAR</vt:lpstr>
      <vt:lpstr>R13 Excluded Revenue</vt:lpstr>
      <vt:lpstr>R15 SO Internal</vt:lpstr>
      <vt:lpstr>R16 SO External Rev</vt:lpstr>
      <vt:lpstr>Draft Changes</vt:lpstr>
      <vt:lpstr>R17 SO Bal Services</vt:lpstr>
      <vt:lpstr>ADD</vt:lpstr>
      <vt:lpstr>ADDSF6</vt:lpstr>
      <vt:lpstr>AFFTIRG</vt:lpstr>
      <vt:lpstr>AFFTIRGDEPN</vt:lpstr>
      <vt:lpstr>ALE</vt:lpstr>
      <vt:lpstr>ANIA</vt:lpstr>
      <vt:lpstr>ATIRG</vt:lpstr>
      <vt:lpstr>BASE</vt:lpstr>
      <vt:lpstr>BPC</vt:lpstr>
      <vt:lpstr>BRt</vt:lpstr>
      <vt:lpstr>BSTC</vt:lpstr>
      <vt:lpstr>CCTIRG</vt:lpstr>
      <vt:lpstr>CF</vt:lpstr>
      <vt:lpstr>CfDS</vt:lpstr>
      <vt:lpstr>CfDSD</vt:lpstr>
      <vt:lpstr>CFTIRG</vt:lpstr>
      <vt:lpstr>CMS</vt:lpstr>
      <vt:lpstr>CMSD</vt:lpstr>
      <vt:lpstr>CompName</vt:lpstr>
      <vt:lpstr>CSSAF</vt:lpstr>
      <vt:lpstr>CSSCAP</vt:lpstr>
      <vt:lpstr>CSSCOL</vt:lpstr>
      <vt:lpstr>CSSDPA</vt:lpstr>
      <vt:lpstr>CSSP</vt:lpstr>
      <vt:lpstr>CSSPRO</vt:lpstr>
      <vt:lpstr>CSSS</vt:lpstr>
      <vt:lpstr>CSST</vt:lpstr>
      <vt:lpstr>CSSUPA</vt:lpstr>
      <vt:lpstr>Dep</vt:lpstr>
      <vt:lpstr>DFA</vt:lpstr>
      <vt:lpstr>DIS</vt:lpstr>
      <vt:lpstr>DRI</vt:lpstr>
      <vt:lpstr>DSP</vt:lpstr>
      <vt:lpstr>DSR</vt:lpstr>
      <vt:lpstr>DSRpq</vt:lpstr>
      <vt:lpstr>EDR</vt:lpstr>
      <vt:lpstr>EDRO</vt:lpstr>
      <vt:lpstr>ENIA</vt:lpstr>
      <vt:lpstr>ENSA</vt:lpstr>
      <vt:lpstr>ENST</vt:lpstr>
      <vt:lpstr>ETIRG</vt:lpstr>
      <vt:lpstr>ETIRGC</vt:lpstr>
      <vt:lpstr>ETIRGORAV</vt:lpstr>
      <vt:lpstr>FTIRG</vt:lpstr>
      <vt:lpstr>FTIRGC</vt:lpstr>
      <vt:lpstr>ftirgdepn</vt:lpstr>
      <vt:lpstr>FYADD</vt:lpstr>
      <vt:lpstr>FYDSP</vt:lpstr>
      <vt:lpstr>IPTIRG</vt:lpstr>
      <vt:lpstr>It</vt:lpstr>
      <vt:lpstr>ITA</vt:lpstr>
      <vt:lpstr>ITC</vt:lpstr>
      <vt:lpstr>ITP</vt:lpstr>
      <vt:lpstr>K</vt:lpstr>
      <vt:lpstr>LF</vt:lpstr>
      <vt:lpstr>LFA</vt:lpstr>
      <vt:lpstr>LFE</vt:lpstr>
      <vt:lpstr>LFt</vt:lpstr>
      <vt:lpstr>MOD</vt:lpstr>
      <vt:lpstr>NIA</vt:lpstr>
      <vt:lpstr>NIAIE</vt:lpstr>
      <vt:lpstr>NIAR</vt:lpstr>
      <vt:lpstr>NIAV</vt:lpstr>
      <vt:lpstr>NICF</vt:lpstr>
      <vt:lpstr>NICF2</vt:lpstr>
      <vt:lpstr>NTPC</vt:lpstr>
      <vt:lpstr>OFET</vt:lpstr>
      <vt:lpstr>OIP</vt:lpstr>
      <vt:lpstr>PEAK3</vt:lpstr>
      <vt:lpstr>PEAK6</vt:lpstr>
      <vt:lpstr>PEAKA</vt:lpstr>
      <vt:lpstr>'R10 Correction'!Print_Area</vt:lpstr>
      <vt:lpstr>'R11 TIRG'!Print_Area</vt:lpstr>
      <vt:lpstr>'R12 SO MAR'!Print_Area</vt:lpstr>
      <vt:lpstr>'R14 Rec to Stat Ac'!Print_Area</vt:lpstr>
      <vt:lpstr>'R15 SO Internal'!Print_Area</vt:lpstr>
      <vt:lpstr>'R16 SO External Rev'!Print_Area</vt:lpstr>
      <vt:lpstr>'R17 SO Bal Services'!Print_Area</vt:lpstr>
      <vt:lpstr>'R4 Licence Condition Values'!Print_Area</vt:lpstr>
      <vt:lpstr>'R5 Input page'!Print_Area</vt:lpstr>
      <vt:lpstr>'R6 True Up'!Print_Area</vt:lpstr>
      <vt:lpstr>'R7 Pass Through'!Print_Area</vt:lpstr>
      <vt:lpstr>'R8 Output incentives'!Print_Area</vt:lpstr>
      <vt:lpstr>'R9 Innovation incentive'!Print_Area</vt:lpstr>
      <vt:lpstr>PTIS</vt:lpstr>
      <vt:lpstr>PTRA</vt:lpstr>
      <vt:lpstr>PTt</vt:lpstr>
      <vt:lpstr>PU</vt:lpstr>
      <vt:lpstr>PVF</vt:lpstr>
      <vt:lpstr>RB</vt:lpstr>
      <vt:lpstr>RBA</vt:lpstr>
      <vt:lpstr>RBE</vt:lpstr>
      <vt:lpstr>RBt</vt:lpstr>
      <vt:lpstr>RegYr</vt:lpstr>
      <vt:lpstr>REV</vt:lpstr>
      <vt:lpstr>RI</vt:lpstr>
      <vt:lpstr>RIDPA</vt:lpstr>
      <vt:lpstr>RILEG</vt:lpstr>
      <vt:lpstr>RPIA</vt:lpstr>
      <vt:lpstr>RPIF</vt:lpstr>
      <vt:lpstr>SAFTIRG</vt:lpstr>
      <vt:lpstr>SER</vt:lpstr>
      <vt:lpstr>SERLIMIT</vt:lpstr>
      <vt:lpstr>SFI</vt:lpstr>
      <vt:lpstr>SOEMR</vt:lpstr>
      <vt:lpstr>SOEMRCO</vt:lpstr>
      <vt:lpstr>SOEMRINC</vt:lpstr>
      <vt:lpstr>SOI</vt:lpstr>
      <vt:lpstr>SOMOD</vt:lpstr>
      <vt:lpstr>SOPU</vt:lpstr>
      <vt:lpstr>SOREV</vt:lpstr>
      <vt:lpstr>SOTRU</vt:lpstr>
      <vt:lpstr>SSO</vt:lpstr>
      <vt:lpstr>SSS</vt:lpstr>
      <vt:lpstr>SSSAF</vt:lpstr>
      <vt:lpstr>SSSCAP</vt:lpstr>
      <vt:lpstr>SSSCOL</vt:lpstr>
      <vt:lpstr>SSSDPA</vt:lpstr>
      <vt:lpstr>SSSP</vt:lpstr>
      <vt:lpstr>SSSPRO</vt:lpstr>
      <vt:lpstr>SSST</vt:lpstr>
      <vt:lpstr>SSSUPA</vt:lpstr>
      <vt:lpstr>SubTIRG</vt:lpstr>
      <vt:lpstr>TERMt</vt:lpstr>
      <vt:lpstr>TIRG</vt:lpstr>
      <vt:lpstr>TIRGINCADJ</vt:lpstr>
      <vt:lpstr>TIS</vt:lpstr>
      <vt:lpstr>TNR</vt:lpstr>
      <vt:lpstr>TO</vt:lpstr>
      <vt:lpstr>TOFTO</vt:lpstr>
      <vt:lpstr>TPA</vt:lpstr>
      <vt:lpstr>TPD</vt:lpstr>
      <vt:lpstr>TR</vt:lpstr>
      <vt:lpstr>TRU</vt:lpstr>
      <vt:lpstr>TS</vt:lpstr>
      <vt:lpstr>TSH</vt:lpstr>
      <vt:lpstr>TSP</vt:lpstr>
      <vt:lpstr>VOLL</vt:lpstr>
      <vt:lpstr>WACC</vt:lpstr>
    </vt:vector>
  </TitlesOfParts>
  <Company>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NGET RIIO Revenue pack</dc:title>
  <dc:creator>DN</dc:creator>
  <cp:lastModifiedBy>Helen Seaton</cp:lastModifiedBy>
  <cp:lastPrinted>2019-11-14T09:21:38Z</cp:lastPrinted>
  <dcterms:created xsi:type="dcterms:W3CDTF">2012-08-23T07:44:41Z</dcterms:created>
  <dcterms:modified xsi:type="dcterms:W3CDTF">2021-04-29T14:56:40Z</dcterms:modified>
  <cp:contentStatus>External 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0x0101004C9F495A7355574383679A0A27B2912100EA173FD8BA8CDA4A8A3023E100EA169F</vt:lpwstr>
  </property>
  <property fmtid="{D5CDD505-2E9C-101B-9397-08002B2CF9AE}" pid="3" name="Classification">
    <vt:lpwstr>Unclassified</vt:lpwstr>
  </property>
  <property fmtid="{D5CDD505-2E9C-101B-9397-08002B2CF9AE}" pid="4" name="Organisation">
    <vt:lpwstr>National Grid Elec</vt:lpwstr>
  </property>
  <property fmtid="{D5CDD505-2E9C-101B-9397-08002B2CF9AE}" pid="5" name="DLCPolicyLabelValue">
    <vt:lpwstr>Version : 0.11</vt:lpwstr>
  </property>
  <property fmtid="{D5CDD505-2E9C-101B-9397-08002B2CF9AE}" pid="6" name="DLCPolicyLabelClientValue">
    <vt:lpwstr>Version : {_UIVersionString}</vt:lpwstr>
  </property>
  <property fmtid="{D5CDD505-2E9C-101B-9397-08002B2CF9AE}" pid="7" name="Applicable Start Date">
    <vt:filetime>2013-02-12T13:19:17Z</vt:filetime>
  </property>
  <property fmtid="{D5CDD505-2E9C-101B-9397-08002B2CF9AE}" pid="8" name="Applicable Duration">
    <vt:lpwstr>1 Year</vt:lpwstr>
  </property>
  <property fmtid="{D5CDD505-2E9C-101B-9397-08002B2CF9AE}" pid="9" name="docIndexRef">
    <vt:lpwstr>27a48b4f-c3ab-4197-9004-412071e58393</vt:lpwstr>
  </property>
  <property fmtid="{D5CDD505-2E9C-101B-9397-08002B2CF9AE}" pid="10" name="bjSaver">
    <vt:lpwstr>XETPu0YqjTi2ilx1HpPGD/UHtprAFOwT</vt:lpwstr>
  </property>
  <property fmtid="{D5CDD505-2E9C-101B-9397-08002B2CF9AE}" pid="11" name="_NewReviewCycle">
    <vt:lpwstr/>
  </property>
  <property fmtid="{D5CDD505-2E9C-101B-9397-08002B2CF9AE}" pid="12" name="BJSCc5a055b0-1bed-4579_x">
    <vt:lpwstr/>
  </property>
  <property fmtid="{D5CDD505-2E9C-101B-9397-08002B2CF9AE}" pid="13" name="BJSCdd9eba61-d6b9-469b_x">
    <vt:lpwstr/>
  </property>
  <property fmtid="{D5CDD505-2E9C-101B-9397-08002B2CF9AE}" pid="14" name="BJSCSummaryMarking">
    <vt:lpwstr>This item has no classification</vt:lpwstr>
  </property>
  <property fmtid="{D5CDD505-2E9C-101B-9397-08002B2CF9AE}" pid="15"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6" name="Order">
    <vt:r8>1811600</vt:r8>
  </property>
  <property fmtid="{D5CDD505-2E9C-101B-9397-08002B2CF9AE}" pid="17" name="bjClsUserRVM">
    <vt:lpwstr>[]</vt:lpwstr>
  </property>
  <property fmtid="{D5CDD505-2E9C-101B-9397-08002B2CF9AE}" pid="18" name="bjDocumentSecurityLabel">
    <vt:lpwstr>This item has no classification</vt:lpwstr>
  </property>
  <property fmtid="{D5CDD505-2E9C-101B-9397-08002B2CF9AE}" pid="19" name="Publication Date:">
    <vt:filetime>2021-04-27T15:25:35Z</vt:filetime>
  </property>
</Properties>
</file>