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24226"/>
  <mc:AlternateContent xmlns:mc="http://schemas.openxmlformats.org/markup-compatibility/2006">
    <mc:Choice Requires="x15">
      <x15ac:absPath xmlns:x15ac="http://schemas.microsoft.com/office/spreadsheetml/2010/11/ac" url="https://ofgemcloud.sharepoint.com/sites/PC/Shared Documents/RIIO-1 Annual Reports/2020/ET/"/>
    </mc:Choice>
  </mc:AlternateContent>
  <xr:revisionPtr revIDLastSave="20" documentId="13_ncr:1_{3EFC771F-668A-4615-96B0-7EEC7B53D889}" xr6:coauthVersionLast="45" xr6:coauthVersionMax="45" xr10:uidLastSave="{A6BD34E6-6F26-4811-8BA3-4C39F5355391}"/>
  <bookViews>
    <workbookView xWindow="-98" yWindow="-98" windowWidth="22695" windowHeight="14595" activeTab="3" xr2:uid="{00000000-000D-0000-FFFF-FFFF00000000}"/>
  </bookViews>
  <sheets>
    <sheet name="Cover" sheetId="59" r:id="rId1"/>
    <sheet name="Universal data" sheetId="25" r:id="rId2"/>
    <sheet name="Index" sheetId="1" r:id="rId3"/>
    <sheet name="Outputs" sheetId="6" r:id="rId4"/>
    <sheet name="Incentives - tables" sheetId="10" r:id="rId5"/>
    <sheet name="Incentives - charts " sheetId="37" r:id="rId6"/>
    <sheet name="Innovation" sheetId="28" r:id="rId7"/>
    <sheet name="Consumer bill impact" sheetId="27" r:id="rId8"/>
    <sheet name="8-year TO forecast" sheetId="11" r:id="rId9"/>
    <sheet name="RORE" sheetId="38" r:id="rId10"/>
    <sheet name="Forecast &quot;True up&quot; 1" sheetId="29" r:id="rId11"/>
    <sheet name="Forecast &quot;True up&quot; 2" sheetId="33"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IntlFixup" hidden="1">TRUE</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tn1" localSheetId="2">Index!#REF!</definedName>
    <definedName name="_ftn2" localSheetId="7">'Consumer bill impact'!$C$8</definedName>
    <definedName name="_ftn3" localSheetId="3">Outputs!$B$84</definedName>
    <definedName name="_ftn4" localSheetId="3">Outputs!$B$85</definedName>
    <definedName name="_ftn5" localSheetId="3">Outputs!$B$86</definedName>
    <definedName name="_ftn6" localSheetId="3">Outputs!$B$87</definedName>
    <definedName name="_ftn7" localSheetId="3">Outputs!$B$93</definedName>
    <definedName name="_ftn8" localSheetId="3">Outputs!$B$94</definedName>
    <definedName name="_ftn9" localSheetId="3">Outputs!$B$95</definedName>
    <definedName name="_ftnref1" localSheetId="2">Index!$B$33</definedName>
    <definedName name="_ftnref2" localSheetId="7">'Consumer bill impact'!$C$4</definedName>
    <definedName name="_ftnref3" localSheetId="3">Outputs!$C$23</definedName>
    <definedName name="_ftnref4" localSheetId="3">Outputs!$D$23</definedName>
    <definedName name="_ftnref5" localSheetId="3">Outputs!$C$52</definedName>
    <definedName name="_ftnref6" localSheetId="3">Outputs!#REF!</definedName>
    <definedName name="_ftnref7" localSheetId="3">Outputs!$C$48</definedName>
    <definedName name="_ftnref8" localSheetId="3">Outputs!$C$73</definedName>
    <definedName name="_ftnref9" localSheetId="3">Outputs!$C$79</definedName>
    <definedName name="_Order1" hidden="1">255</definedName>
    <definedName name="_Order2" hidden="1">0</definedName>
    <definedName name="_Ref468444576" localSheetId="2">Index!#REF!</definedName>
    <definedName name="_Ref472695701" localSheetId="2">Index!#REF!</definedName>
    <definedName name="_Ref532457604" localSheetId="3">Outputs!#REF!</definedName>
    <definedName name="AccessDatabase" hidden="1">"C:\My Documents\MAUI MALL1.mdb"</definedName>
    <definedName name="b" hidden="1">{#N/A,#N/A,FALSE,"DI 2 YEAR MASTER SCHEDULE"}</definedName>
    <definedName name="bb" hidden="1">{#N/A,#N/A,FALSE,"PRJCTED MNTHLY QTY's"}</definedName>
    <definedName name="bbbb" hidden="1">{#N/A,#N/A,FALSE,"PRJCTED QTRLY QTY's"}</definedName>
    <definedName name="bbbbbb" hidden="1">{#N/A,#N/A,FALSE,"PRJCTED QTRLY QTY's"}</definedName>
    <definedName name="f" hidden="1">{"'PRODUCTIONCOST SHEET'!$B$3:$G$48"}</definedName>
    <definedName name="ff" hidden="1">{#N/A,#N/A,FALSE,"PRJCTED MNTHLY QTY's"}</definedName>
    <definedName name="fffff" hidden="1">{#N/A,#N/A,FALSE,"PRJCTED QTRLY QTY's"}</definedName>
    <definedName name="gjk" hidden="1">{#N/A,#N/A,FALSE,"DI 2 YEAR MASTER SCHEDULE"}</definedName>
    <definedName name="hh"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TML_CodePage" hidden="1">1252</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l" hidden="1">{#N/A,#N/A,FALSE,"DI 2 YEAR MASTER SCHEDULE"}</definedName>
    <definedName name="lkl" hidden="1">{#N/A,#N/A,FALSE,"DI 2 YEAR MASTER SCHEDULE"}</definedName>
    <definedName name="mm"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mm"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nn" hidden="1">{#N/A,#N/A,FALSE,"PRJCTED QTRLY $'s"}</definedName>
    <definedName name="Output_level_1">'[1]4.2_LRScheme_Expenditure'!$B$533:$B$557</definedName>
    <definedName name="Output_level_3">'[1]4.2_LRScheme_Expenditure'!$B$583:$B$584</definedName>
    <definedName name="Pal_Workbook_GUID" hidden="1">"LJ9YVKRJVQ1A1KNUG7XIT5A9"</definedName>
    <definedName name="qs" hidden="1">{#N/A,#N/A,FALSE,"PRJCTED MNTHLY QTY's"}</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0</definedName>
    <definedName name="RiskFixedSeed" hidden="1">1</definedName>
    <definedName name="RiskGenerateExcelReportsAtEndOfSimulation">FALSE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2</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SAPBEXhrIndnt" hidden="1">"Wide"</definedName>
    <definedName name="SAPsysID" hidden="1">"708C5W7SBKP804JT78WJ0JNKI"</definedName>
    <definedName name="SAPwbID" hidden="1">"ARS"</definedName>
    <definedName name="Scheme_status">'[1]4.2_LRScheme_Expenditure'!$B$522:$B$530</definedName>
    <definedName name="Status">'[1]4.8_Physical_Security_Capex'!$T$15:$T$18</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u" hidden="1">{#VALUE!,#N/A,FALSE,0}</definedName>
    <definedName name="UAG" hidden="1">{#N/A,#N/A,FALSE,"DI 2 YEAR MASTER SCHEDULE"}</definedName>
    <definedName name="v" hidden="1">{"Japan_Capers_Ed_Pub",#N/A,FALSE,"DI 2 YEAR MASTER SCHEDULE"}</definedName>
    <definedName name="wrn.CapersPlotter." hidden="1">{#N/A,#N/A,FALSE,"DI 2 YEAR MASTER SCHEDULE"}</definedName>
    <definedName name="wrn.Edutainment._.Priority._.List." hidden="1">{#N/A,#N/A,FALSE,"DI 2 YEAR MASTER SCHEDULE"}</definedName>
    <definedName name="wrn.Japan_Capers_Ed._.Pub." hidden="1">{"Japan_Capers_Ed_Pub",#N/A,FALSE,"DI 2 YEAR MASTER SCHEDULE"}</definedName>
    <definedName name="wrn.Priority._.list." hidden="1">{#N/A,#N/A,FALSE,"DI 2 YEAR MASTER SCHEDULE"}</definedName>
    <definedName name="wrn.Prjcted._.Mnthly._.Qtys." hidden="1">{#N/A,#N/A,FALSE,"PRJCTED MNTHLY QTY's"}</definedName>
    <definedName name="wrn.Prjcted._.Qtrly._.Dollars." hidden="1">{#N/A,#N/A,FALSE,"PRJCTED QTRLY $'s"}</definedName>
    <definedName name="wrn.Prjcted._.Qtrly._.Qtys." hidden="1">{#N/A,#N/A,FALSE,"PRJCTED QTRLY QTY's"}</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hidden="1">{#N/A,#N/A,FALSE,"DI 2 YEAR MASTER SCHEDULE"}</definedName>
    <definedName name="y"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z" hidden="1">{#N/A,#N/A,FALSE,"DI 2 YEAR MASTER SCHEDULE"}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7" i="10" l="1"/>
  <c r="D38" i="10"/>
  <c r="E37" i="10"/>
  <c r="E38" i="10"/>
  <c r="F37" i="10"/>
  <c r="F38" i="10"/>
  <c r="G37" i="10"/>
  <c r="G38" i="10"/>
  <c r="H38" i="10"/>
  <c r="H37" i="10"/>
  <c r="I38" i="10"/>
  <c r="I37" i="10"/>
  <c r="D70" i="37" l="1"/>
  <c r="D71" i="37"/>
  <c r="D72" i="37"/>
  <c r="D73" i="37"/>
  <c r="D74" i="37"/>
  <c r="D69" i="37"/>
  <c r="B10" i="1" l="1"/>
  <c r="B9" i="1"/>
  <c r="B8" i="1"/>
  <c r="B7" i="1"/>
  <c r="B6" i="1"/>
  <c r="B5" i="1"/>
  <c r="B4" i="1"/>
  <c r="B3" i="1"/>
  <c r="BB34" i="11" l="1"/>
  <c r="BA34" i="11"/>
  <c r="AU34" i="11"/>
  <c r="C97" i="11"/>
  <c r="E97" i="11"/>
  <c r="J66" i="11" l="1"/>
  <c r="J67" i="11"/>
  <c r="K67" i="11"/>
  <c r="O57" i="11" l="1"/>
  <c r="Q57" i="11" s="1"/>
  <c r="O58" i="11"/>
  <c r="Q58" i="11" s="1"/>
  <c r="O59" i="11"/>
  <c r="Q59" i="11" s="1"/>
  <c r="O56" i="11"/>
  <c r="Q56" i="11" s="1"/>
  <c r="O51" i="11"/>
  <c r="Q51" i="11" s="1"/>
  <c r="O50" i="11"/>
  <c r="Q50" i="11" s="1"/>
  <c r="O53" i="11"/>
  <c r="Q53" i="11" s="1"/>
  <c r="O54" i="11"/>
  <c r="Q54" i="11" s="1"/>
  <c r="O52" i="11"/>
  <c r="Q52" i="11" s="1"/>
  <c r="O40" i="11"/>
  <c r="Q40" i="11" s="1"/>
  <c r="O41" i="11"/>
  <c r="Q41" i="11" s="1"/>
  <c r="O42" i="11"/>
  <c r="Q42" i="11" s="1"/>
  <c r="O39" i="11"/>
  <c r="Q39" i="11" s="1"/>
  <c r="O35" i="11"/>
  <c r="Q35" i="11" s="1"/>
  <c r="O36" i="11"/>
  <c r="Q36" i="11" s="1"/>
  <c r="O37" i="11"/>
  <c r="Q37" i="11" s="1"/>
  <c r="O34" i="11"/>
  <c r="Q34" i="11" s="1"/>
  <c r="O23" i="11"/>
  <c r="Q23" i="11" s="1"/>
  <c r="O24" i="11"/>
  <c r="Q24" i="11" s="1"/>
  <c r="O25" i="11"/>
  <c r="Q25" i="11" s="1"/>
  <c r="O22" i="11"/>
  <c r="Q22" i="11" s="1"/>
  <c r="O20" i="11"/>
  <c r="Q20" i="11" s="1"/>
  <c r="O18" i="11"/>
  <c r="Q18" i="11" s="1"/>
  <c r="O19" i="11"/>
  <c r="Q19" i="11" s="1"/>
  <c r="O17" i="11"/>
  <c r="Q17" i="11" s="1"/>
  <c r="B16" i="1" l="1"/>
  <c r="B15" i="1"/>
  <c r="C103" i="11" l="1"/>
  <c r="D53" i="37" l="1"/>
  <c r="C52" i="37"/>
  <c r="C53" i="37"/>
  <c r="C54" i="37"/>
  <c r="C55" i="37"/>
  <c r="C51" i="37"/>
  <c r="C50" i="37"/>
  <c r="D51" i="37"/>
  <c r="D52" i="37"/>
  <c r="D54" i="37"/>
  <c r="D55" i="37"/>
  <c r="D50" i="37"/>
  <c r="U38" i="10"/>
  <c r="U37" i="10"/>
  <c r="U36" i="10"/>
  <c r="U35" i="10"/>
  <c r="U34" i="10"/>
  <c r="U33" i="10"/>
  <c r="T38" i="10"/>
  <c r="T37" i="10"/>
  <c r="T36" i="10"/>
  <c r="T35" i="10"/>
  <c r="T34" i="10"/>
  <c r="T33" i="10"/>
  <c r="B50" i="37"/>
  <c r="E34" i="37"/>
  <c r="D34" i="37"/>
  <c r="R24" i="10"/>
  <c r="R25" i="10"/>
  <c r="R26" i="10"/>
  <c r="S26" i="10"/>
  <c r="S24" i="10"/>
  <c r="S25" i="10"/>
  <c r="E352" i="11" l="1"/>
  <c r="D352" i="11"/>
  <c r="C352" i="11"/>
  <c r="C318" i="11" l="1"/>
  <c r="G278" i="11"/>
  <c r="D278" i="11"/>
  <c r="E278" i="11"/>
  <c r="C278" i="11"/>
  <c r="G266" i="11" l="1"/>
  <c r="E266" i="11"/>
  <c r="D266" i="11"/>
  <c r="C266" i="11"/>
  <c r="C317" i="11"/>
  <c r="B313" i="11"/>
  <c r="B347" i="11" s="1"/>
  <c r="D318" i="11"/>
  <c r="E318" i="11"/>
  <c r="C279" i="11" l="1"/>
  <c r="AO51" i="11"/>
  <c r="T118" i="11"/>
  <c r="X55" i="11"/>
  <c r="B216" i="11"/>
  <c r="B231" i="11" s="1"/>
  <c r="F142" i="11"/>
  <c r="BA52" i="11"/>
  <c r="B66" i="11"/>
  <c r="C57" i="11"/>
  <c r="C51" i="11" s="1"/>
  <c r="I48" i="11"/>
  <c r="I31" i="11"/>
  <c r="G65" i="11"/>
  <c r="G66" i="11" s="1"/>
  <c r="C65" i="11"/>
  <c r="C66" i="11" s="1"/>
  <c r="G15" i="33" l="1"/>
  <c r="G16" i="33" l="1"/>
  <c r="G7" i="33" l="1"/>
  <c r="G24" i="33" s="1"/>
  <c r="I11" i="29"/>
  <c r="I16" i="33"/>
  <c r="I19" i="33" l="1"/>
  <c r="C16" i="33"/>
  <c r="I17" i="33" s="1"/>
  <c r="D25" i="29" l="1"/>
  <c r="C25" i="29"/>
  <c r="E25" i="29" s="1"/>
  <c r="C16" i="29"/>
  <c r="I19" i="29" l="1"/>
  <c r="G16" i="29"/>
  <c r="F16" i="29"/>
  <c r="D16" i="29"/>
  <c r="I16" i="29" l="1"/>
  <c r="E74" i="37"/>
  <c r="C74" i="37"/>
  <c r="C32" i="37"/>
  <c r="C34" i="37" s="1"/>
  <c r="S12" i="37"/>
  <c r="S15" i="37" s="1"/>
  <c r="E9" i="37"/>
  <c r="D9" i="37"/>
  <c r="C9" i="37"/>
  <c r="C12" i="37" s="1"/>
  <c r="E29" i="38"/>
  <c r="S10" i="38"/>
  <c r="S12" i="38" s="1"/>
  <c r="E30" i="38" s="1"/>
  <c r="R10" i="38"/>
  <c r="R12" i="38" s="1"/>
  <c r="D29" i="38"/>
  <c r="C29" i="38"/>
  <c r="O10" i="38"/>
  <c r="O12" i="38" s="1"/>
  <c r="D30" i="38" s="1"/>
  <c r="J10" i="38"/>
  <c r="J12" i="38" s="1"/>
  <c r="K10" i="38"/>
  <c r="K12" i="38" s="1"/>
  <c r="C30" i="38" s="1"/>
  <c r="I10" i="38"/>
  <c r="E28" i="38" l="1"/>
  <c r="C28" i="38"/>
  <c r="D28" i="38"/>
  <c r="I12" i="38"/>
  <c r="K10" i="27" l="1"/>
  <c r="L43" i="27"/>
  <c r="J42" i="10" l="1"/>
  <c r="J43" i="10"/>
  <c r="D45" i="10"/>
  <c r="D44" i="10"/>
  <c r="E44" i="10"/>
  <c r="F44" i="10"/>
  <c r="G44" i="10"/>
  <c r="H44" i="10"/>
  <c r="I44" i="10"/>
  <c r="J44" i="10" l="1"/>
  <c r="T39" i="10" s="1"/>
  <c r="C56" i="37" s="1"/>
  <c r="O42" i="10"/>
  <c r="M33" i="10"/>
  <c r="L33" i="10"/>
  <c r="D49" i="10"/>
  <c r="E49" i="10"/>
  <c r="F49" i="10"/>
  <c r="G49" i="10"/>
  <c r="H49" i="10"/>
  <c r="I50" i="10"/>
  <c r="I49" i="10"/>
  <c r="J48" i="10"/>
  <c r="J47" i="10"/>
  <c r="O47" i="10" s="1"/>
  <c r="J49" i="10" l="1"/>
  <c r="J53" i="10" s="1"/>
  <c r="U39" i="10"/>
  <c r="D56" i="37" s="1"/>
  <c r="O49" i="10"/>
  <c r="O48" i="10"/>
  <c r="O44" i="10"/>
  <c r="O43" i="10"/>
  <c r="J38" i="10"/>
  <c r="J37" i="10"/>
  <c r="O37" i="10" s="1"/>
  <c r="J45" i="10"/>
  <c r="J33" i="10" s="1"/>
  <c r="J50" i="10"/>
  <c r="J35" i="10" s="1"/>
  <c r="N33" i="10" l="1"/>
  <c r="O33" i="10" s="1"/>
  <c r="O34" i="10" s="1"/>
  <c r="O39" i="10"/>
  <c r="O38" i="10"/>
  <c r="J39" i="10"/>
  <c r="S39" i="10" s="1"/>
  <c r="G56" i="37" s="1"/>
  <c r="O35" i="10" l="1"/>
  <c r="J40" i="10"/>
  <c r="J34" i="10" s="1"/>
  <c r="G8" i="29"/>
  <c r="F8" i="29"/>
  <c r="C8" i="29"/>
  <c r="F8" i="33"/>
  <c r="G8" i="33"/>
  <c r="C8" i="33"/>
  <c r="E8" i="33" s="1"/>
  <c r="O60" i="11" l="1"/>
  <c r="O49" i="11"/>
  <c r="O43" i="11"/>
  <c r="O32" i="11"/>
  <c r="O26" i="11"/>
  <c r="D40" i="11" l="1"/>
  <c r="D34" i="11" s="1"/>
  <c r="E40" i="11"/>
  <c r="E34" i="11" s="1"/>
  <c r="F40" i="11"/>
  <c r="F34" i="11" s="1"/>
  <c r="G40" i="11"/>
  <c r="G34" i="11" s="1"/>
  <c r="H40" i="11"/>
  <c r="H34" i="11" s="1"/>
  <c r="I40" i="11"/>
  <c r="I34" i="11" s="1"/>
  <c r="J40" i="11"/>
  <c r="J34" i="11" s="1"/>
  <c r="C40" i="11"/>
  <c r="C34" i="11" s="1"/>
  <c r="D46" i="11"/>
  <c r="E46" i="11"/>
  <c r="F46" i="11"/>
  <c r="G46" i="11"/>
  <c r="H46" i="11"/>
  <c r="I46" i="11"/>
  <c r="J46" i="11"/>
  <c r="C46" i="11"/>
  <c r="C50" i="11"/>
  <c r="D57" i="11"/>
  <c r="D51" i="11" s="1"/>
  <c r="D50" i="11" s="1"/>
  <c r="E57" i="11"/>
  <c r="E51" i="11" s="1"/>
  <c r="E50" i="11" s="1"/>
  <c r="F57" i="11"/>
  <c r="F51" i="11" s="1"/>
  <c r="F50" i="11" s="1"/>
  <c r="G57" i="11"/>
  <c r="G51" i="11" s="1"/>
  <c r="G50" i="11" s="1"/>
  <c r="H57" i="11"/>
  <c r="H51" i="11" s="1"/>
  <c r="H50" i="11" s="1"/>
  <c r="I57" i="11"/>
  <c r="I51" i="11" s="1"/>
  <c r="I50" i="11" s="1"/>
  <c r="J57" i="11"/>
  <c r="J51" i="11" s="1"/>
  <c r="J50" i="11" s="1"/>
  <c r="D63" i="11"/>
  <c r="D67" i="11" s="1"/>
  <c r="E63" i="11"/>
  <c r="E67" i="11" s="1"/>
  <c r="F63" i="11"/>
  <c r="F67" i="11" s="1"/>
  <c r="G63" i="11"/>
  <c r="G67" i="11" s="1"/>
  <c r="H63" i="11"/>
  <c r="H67" i="11" s="1"/>
  <c r="I63" i="11"/>
  <c r="I67" i="11" s="1"/>
  <c r="J63" i="11"/>
  <c r="C63" i="11"/>
  <c r="C67" i="11" s="1"/>
  <c r="K63" i="11" l="1"/>
  <c r="O44" i="11"/>
  <c r="Q44" i="11" l="1"/>
  <c r="O33" i="11"/>
  <c r="Q33" i="11" s="1"/>
  <c r="O46" i="11" l="1"/>
  <c r="O27" i="11"/>
  <c r="Q27" i="11" l="1"/>
  <c r="O16" i="11"/>
  <c r="Q16" i="11" s="1"/>
  <c r="O29" i="11" l="1"/>
  <c r="O61" i="11"/>
  <c r="Q61" i="11" l="1"/>
  <c r="O67" i="11"/>
  <c r="O63" i="11"/>
  <c r="N50" i="11"/>
  <c r="N33" i="11"/>
  <c r="N16" i="11"/>
  <c r="J23" i="11" l="1"/>
  <c r="J17" i="11" s="1"/>
  <c r="J16" i="11" s="1"/>
  <c r="I23" i="11"/>
  <c r="I17" i="11" s="1"/>
  <c r="I16" i="11" s="1"/>
  <c r="D23" i="11"/>
  <c r="D17" i="11" s="1"/>
  <c r="D16" i="11" s="1"/>
  <c r="E23" i="11"/>
  <c r="E17" i="11" s="1"/>
  <c r="E16" i="11" s="1"/>
  <c r="F23" i="11"/>
  <c r="F17" i="11" s="1"/>
  <c r="F16" i="11" s="1"/>
  <c r="G23" i="11"/>
  <c r="G17" i="11" s="1"/>
  <c r="G16" i="11" s="1"/>
  <c r="H23" i="11"/>
  <c r="H17" i="11" s="1"/>
  <c r="C23" i="11"/>
  <c r="C17" i="11" s="1"/>
  <c r="D29" i="11"/>
  <c r="E29" i="11"/>
  <c r="F29" i="11"/>
  <c r="G29" i="11"/>
  <c r="H29" i="11"/>
  <c r="I29" i="11"/>
  <c r="J29" i="11"/>
  <c r="C29" i="11"/>
  <c r="I9" i="11"/>
  <c r="I8" i="11"/>
  <c r="H9" i="11"/>
  <c r="H8" i="11"/>
  <c r="I7" i="11" l="1"/>
  <c r="X8" i="11"/>
  <c r="X41" i="11" s="1"/>
  <c r="H16" i="11"/>
  <c r="S8" i="11"/>
  <c r="S41" i="11" s="1"/>
  <c r="C16" i="11"/>
  <c r="S6" i="11"/>
  <c r="H7" i="11"/>
  <c r="H10" i="11" s="1"/>
  <c r="I10" i="11"/>
  <c r="A15" i="11"/>
  <c r="A49" i="11"/>
  <c r="J7" i="11" l="1"/>
  <c r="S39" i="11"/>
  <c r="K17" i="11"/>
  <c r="C7" i="11" s="1"/>
  <c r="C182" i="11"/>
  <c r="T182" i="11" s="1"/>
  <c r="C150" i="11"/>
  <c r="Y150" i="11" s="1"/>
  <c r="J151" i="11"/>
  <c r="Q165" i="11" s="1"/>
  <c r="BA6" i="11"/>
  <c r="BA32" i="11" s="1"/>
  <c r="AL6" i="11"/>
  <c r="AL39" i="11" s="1"/>
  <c r="Y6" i="11"/>
  <c r="Y39" i="11" s="1"/>
  <c r="BS33" i="11"/>
  <c r="BS60" i="11" s="1"/>
  <c r="BS7" i="11"/>
  <c r="AZ6" i="11"/>
  <c r="AZ8" i="11"/>
  <c r="AZ34" i="11" s="1"/>
  <c r="AK6" i="11"/>
  <c r="AK39" i="11" s="1"/>
  <c r="AK8" i="11"/>
  <c r="AK41" i="11" s="1"/>
  <c r="X6" i="11"/>
  <c r="X39" i="11" s="1"/>
  <c r="B4" i="11"/>
  <c r="R4" i="11" s="1"/>
  <c r="R37" i="11" s="1"/>
  <c r="B81" i="11"/>
  <c r="B92" i="11" s="1"/>
  <c r="B103" i="11" s="1"/>
  <c r="B52" i="25"/>
  <c r="B51" i="25"/>
  <c r="C95" i="11" l="1"/>
  <c r="Q151" i="11"/>
  <c r="J158" i="11"/>
  <c r="J165" i="11"/>
  <c r="Q158" i="11"/>
  <c r="K7" i="11"/>
  <c r="M7" i="11"/>
  <c r="BS6" i="11"/>
  <c r="BS8" i="11"/>
  <c r="AZ32" i="11"/>
  <c r="BS32" i="11" s="1"/>
  <c r="BS34" i="11"/>
  <c r="BS61" i="11" s="1"/>
  <c r="BT6" i="11"/>
  <c r="BT32" i="11"/>
  <c r="G183" i="11" l="1"/>
  <c r="G201" i="11"/>
  <c r="G195" i="11"/>
  <c r="G189" i="11"/>
  <c r="G196" i="11" l="1"/>
  <c r="G190" i="11" l="1"/>
  <c r="G202" i="11"/>
  <c r="G184" i="11" l="1"/>
  <c r="F315" i="11" l="1"/>
  <c r="F318" i="11" s="1"/>
  <c r="B24" i="33" l="1"/>
  <c r="E16" i="33"/>
  <c r="B15" i="33"/>
  <c r="I8" i="33"/>
  <c r="I11" i="33" s="1"/>
  <c r="B24" i="29"/>
  <c r="E16" i="29"/>
  <c r="I17" i="29" s="1"/>
  <c r="I74" i="11" s="1"/>
  <c r="B15" i="29"/>
  <c r="E8" i="29"/>
  <c r="Q10" i="38"/>
  <c r="Q12" i="38" s="1"/>
  <c r="N10" i="38"/>
  <c r="N12" i="38" s="1"/>
  <c r="M10" i="38"/>
  <c r="M12" i="38" s="1"/>
  <c r="F349" i="11"/>
  <c r="F352" i="11" s="1"/>
  <c r="E317" i="11"/>
  <c r="D317" i="11"/>
  <c r="F314" i="11"/>
  <c r="G279" i="11"/>
  <c r="D279" i="11"/>
  <c r="G255" i="11"/>
  <c r="D255" i="11"/>
  <c r="C255" i="11"/>
  <c r="C267" i="11" s="1"/>
  <c r="G207" i="11"/>
  <c r="G206" i="11"/>
  <c r="W203" i="11"/>
  <c r="W204" i="11" s="1"/>
  <c r="G203" i="11"/>
  <c r="T200" i="11"/>
  <c r="C200" i="11"/>
  <c r="W197" i="11"/>
  <c r="W198" i="11" s="1"/>
  <c r="G197" i="11"/>
  <c r="T194" i="11"/>
  <c r="C194" i="11"/>
  <c r="G191" i="11"/>
  <c r="W189" i="11"/>
  <c r="T188" i="11"/>
  <c r="C188" i="11"/>
  <c r="W185" i="11"/>
  <c r="W186" i="11" s="1"/>
  <c r="G185" i="11"/>
  <c r="G175" i="11"/>
  <c r="F158" i="11"/>
  <c r="G174" i="11"/>
  <c r="G171" i="11"/>
  <c r="G172" i="11" s="1"/>
  <c r="AC170" i="11"/>
  <c r="AC169" i="11"/>
  <c r="Y168" i="11"/>
  <c r="C168" i="11"/>
  <c r="G165" i="11"/>
  <c r="G166" i="11" s="1"/>
  <c r="AC164" i="11"/>
  <c r="AC163" i="11"/>
  <c r="Y162" i="11"/>
  <c r="C162" i="11"/>
  <c r="G159" i="11"/>
  <c r="AC158" i="11"/>
  <c r="AC157" i="11"/>
  <c r="Y156" i="11"/>
  <c r="C156" i="11"/>
  <c r="G153" i="11"/>
  <c r="AC152" i="11"/>
  <c r="V138" i="11"/>
  <c r="G143" i="11"/>
  <c r="G142" i="11"/>
  <c r="G139" i="11"/>
  <c r="G140" i="11" s="1"/>
  <c r="W138" i="11"/>
  <c r="W137" i="11"/>
  <c r="T136" i="11"/>
  <c r="C136" i="11"/>
  <c r="G133" i="11"/>
  <c r="G134" i="11" s="1"/>
  <c r="W132" i="11"/>
  <c r="W131" i="11"/>
  <c r="T130" i="11"/>
  <c r="C130" i="11"/>
  <c r="G127" i="11"/>
  <c r="G128" i="11" s="1"/>
  <c r="W125" i="11"/>
  <c r="T124" i="11"/>
  <c r="C124" i="11"/>
  <c r="G121" i="11"/>
  <c r="W119" i="11"/>
  <c r="H65" i="11"/>
  <c r="H66" i="11" s="1"/>
  <c r="F65" i="11"/>
  <c r="F66" i="11" s="1"/>
  <c r="E65" i="11"/>
  <c r="E66" i="11" s="1"/>
  <c r="D65" i="11"/>
  <c r="D66" i="11" s="1"/>
  <c r="K62" i="11"/>
  <c r="H201" i="11" s="1"/>
  <c r="K61" i="11"/>
  <c r="H195" i="11" s="1"/>
  <c r="K60" i="11"/>
  <c r="H183" i="11" s="1"/>
  <c r="K59" i="11"/>
  <c r="H189" i="11" s="1"/>
  <c r="BM57" i="11"/>
  <c r="K57" i="11"/>
  <c r="K56" i="11"/>
  <c r="H202" i="11" s="1"/>
  <c r="X202" i="11" s="1"/>
  <c r="K55" i="11"/>
  <c r="H196" i="11" s="1"/>
  <c r="K54" i="11"/>
  <c r="H184" i="11" s="1"/>
  <c r="K53" i="11"/>
  <c r="H190" i="11" s="1"/>
  <c r="K156" i="11" s="1"/>
  <c r="Y52" i="11"/>
  <c r="X52" i="11"/>
  <c r="K51" i="11"/>
  <c r="K50" i="11"/>
  <c r="K46" i="11"/>
  <c r="D8" i="11" s="1"/>
  <c r="D96" i="11" s="1"/>
  <c r="K45" i="11"/>
  <c r="H169" i="11" s="1"/>
  <c r="K44" i="11"/>
  <c r="H163" i="11" s="1"/>
  <c r="K43" i="11"/>
  <c r="H151" i="11" s="1"/>
  <c r="K42" i="11"/>
  <c r="H157" i="11" s="1"/>
  <c r="K40" i="11"/>
  <c r="K39" i="11"/>
  <c r="H170" i="11" s="1"/>
  <c r="AD170" i="11" s="1"/>
  <c r="K38" i="11"/>
  <c r="H164" i="11" s="1"/>
  <c r="AE37" i="11"/>
  <c r="K37" i="11"/>
  <c r="H152" i="11" s="1"/>
  <c r="K36" i="11"/>
  <c r="H158" i="11" s="1"/>
  <c r="K34" i="11"/>
  <c r="BR33" i="11"/>
  <c r="BR60" i="11" s="1"/>
  <c r="BQ33" i="11"/>
  <c r="BQ60" i="11" s="1"/>
  <c r="BP33" i="11"/>
  <c r="BP60" i="11" s="1"/>
  <c r="BO33" i="11"/>
  <c r="BO60" i="11" s="1"/>
  <c r="BN33" i="11"/>
  <c r="BN60" i="11" s="1"/>
  <c r="K33" i="11"/>
  <c r="BU32" i="11"/>
  <c r="BM30" i="11"/>
  <c r="AT30" i="11"/>
  <c r="K29" i="11"/>
  <c r="D7" i="11" s="1"/>
  <c r="D95" i="11" s="1"/>
  <c r="K28" i="11"/>
  <c r="H137" i="11" s="1"/>
  <c r="K27" i="11"/>
  <c r="H131" i="11" s="1"/>
  <c r="K26" i="11"/>
  <c r="H119" i="11" s="1"/>
  <c r="K25" i="11"/>
  <c r="H125" i="11" s="1"/>
  <c r="K23" i="11"/>
  <c r="K22" i="11"/>
  <c r="H138" i="11" s="1"/>
  <c r="X138" i="11" s="1"/>
  <c r="K21" i="11"/>
  <c r="H132" i="11" s="1"/>
  <c r="K20" i="11"/>
  <c r="H120" i="11" s="1"/>
  <c r="K19" i="11"/>
  <c r="H126" i="11" s="1"/>
  <c r="K16" i="11"/>
  <c r="BB8" i="11"/>
  <c r="BA8" i="11"/>
  <c r="AY8" i="11"/>
  <c r="AX8" i="11"/>
  <c r="AW8" i="11"/>
  <c r="AV8" i="11"/>
  <c r="AU8" i="11"/>
  <c r="AM8" i="11"/>
  <c r="AM41" i="11" s="1"/>
  <c r="AL8" i="11"/>
  <c r="AL41" i="11" s="1"/>
  <c r="AJ8" i="11"/>
  <c r="AJ41" i="11" s="1"/>
  <c r="AI8" i="11"/>
  <c r="AI41" i="11" s="1"/>
  <c r="AH8" i="11"/>
  <c r="AH41" i="11" s="1"/>
  <c r="AG8" i="11"/>
  <c r="AG41" i="11" s="1"/>
  <c r="AF8" i="11"/>
  <c r="Z8" i="11"/>
  <c r="Y8" i="11"/>
  <c r="W8" i="11"/>
  <c r="W41" i="11" s="1"/>
  <c r="V8" i="11"/>
  <c r="V41" i="11" s="1"/>
  <c r="U8" i="11"/>
  <c r="U41" i="11" s="1"/>
  <c r="T8" i="11"/>
  <c r="T41" i="11" s="1"/>
  <c r="BR7" i="11"/>
  <c r="BQ7" i="11"/>
  <c r="BP7" i="11"/>
  <c r="BO7" i="11"/>
  <c r="BN7" i="11"/>
  <c r="BB7" i="11"/>
  <c r="AM7" i="11"/>
  <c r="AM40" i="11" s="1"/>
  <c r="Z7" i="11"/>
  <c r="BU6" i="11"/>
  <c r="AY6" i="11"/>
  <c r="AY32" i="11" s="1"/>
  <c r="AX6" i="11"/>
  <c r="AX32" i="11" s="1"/>
  <c r="AW6" i="11"/>
  <c r="AW32" i="11" s="1"/>
  <c r="AV6" i="11"/>
  <c r="AV32" i="11" s="1"/>
  <c r="AU6" i="11"/>
  <c r="AJ6" i="11"/>
  <c r="AJ39" i="11" s="1"/>
  <c r="AI6" i="11"/>
  <c r="AI39" i="11" s="1"/>
  <c r="AH6" i="11"/>
  <c r="AH39" i="11" s="1"/>
  <c r="AG6" i="11"/>
  <c r="AG39" i="11" s="1"/>
  <c r="AF6" i="11"/>
  <c r="W6" i="11"/>
  <c r="W39" i="11" s="1"/>
  <c r="V6" i="11"/>
  <c r="U6" i="11"/>
  <c r="U39" i="11" s="1"/>
  <c r="T6" i="11"/>
  <c r="BM4" i="11"/>
  <c r="AT4" i="11"/>
  <c r="AE4" i="11"/>
  <c r="L25" i="27"/>
  <c r="J10" i="27"/>
  <c r="I10" i="27"/>
  <c r="H10" i="27"/>
  <c r="G10" i="27"/>
  <c r="E12" i="37"/>
  <c r="D12" i="37"/>
  <c r="H50" i="10"/>
  <c r="H35" i="10" s="1"/>
  <c r="G50" i="10"/>
  <c r="G35" i="10" s="1"/>
  <c r="F50" i="10"/>
  <c r="F35" i="10" s="1"/>
  <c r="E50" i="10"/>
  <c r="E35" i="10" s="1"/>
  <c r="D50" i="10"/>
  <c r="D35" i="10" s="1"/>
  <c r="I45" i="10"/>
  <c r="I33" i="10" s="1"/>
  <c r="H45" i="10"/>
  <c r="H33" i="10" s="1"/>
  <c r="G45" i="10"/>
  <c r="G33" i="10" s="1"/>
  <c r="F45" i="10"/>
  <c r="F33" i="10" s="1"/>
  <c r="E45" i="10"/>
  <c r="E33" i="10" s="1"/>
  <c r="D33" i="10"/>
  <c r="I39" i="10"/>
  <c r="H39" i="10"/>
  <c r="G39" i="10"/>
  <c r="F39" i="10"/>
  <c r="E39" i="10"/>
  <c r="S34" i="10" s="1"/>
  <c r="G51" i="37" s="1"/>
  <c r="D39" i="10"/>
  <c r="S33" i="10" s="1"/>
  <c r="I35" i="10"/>
  <c r="C26" i="25"/>
  <c r="C25" i="25"/>
  <c r="C24" i="25"/>
  <c r="C23" i="25"/>
  <c r="C22" i="25"/>
  <c r="C21" i="25"/>
  <c r="C20" i="25"/>
  <c r="C19" i="25"/>
  <c r="C18" i="25"/>
  <c r="C17" i="25"/>
  <c r="C16" i="25"/>
  <c r="C15" i="25"/>
  <c r="D40" i="10" l="1"/>
  <c r="D34" i="10" s="1"/>
  <c r="G50" i="37"/>
  <c r="E40" i="10"/>
  <c r="E34" i="10" s="1"/>
  <c r="F40" i="10"/>
  <c r="F34" i="10" s="1"/>
  <c r="S35" i="10"/>
  <c r="G52" i="37" s="1"/>
  <c r="G40" i="10"/>
  <c r="G34" i="10" s="1"/>
  <c r="S36" i="10"/>
  <c r="G53" i="37" s="1"/>
  <c r="H40" i="10"/>
  <c r="H34" i="10" s="1"/>
  <c r="S37" i="10"/>
  <c r="G54" i="37" s="1"/>
  <c r="I40" i="10"/>
  <c r="I34" i="10" s="1"/>
  <c r="S38" i="10"/>
  <c r="G55" i="37" s="1"/>
  <c r="E95" i="11"/>
  <c r="F317" i="11"/>
  <c r="W142" i="11"/>
  <c r="L161" i="11"/>
  <c r="K154" i="11"/>
  <c r="H143" i="11"/>
  <c r="K161" i="11"/>
  <c r="D219" i="11"/>
  <c r="D234" i="11"/>
  <c r="X189" i="11"/>
  <c r="S156" i="11" s="1"/>
  <c r="L156" i="11"/>
  <c r="H191" i="11"/>
  <c r="H192" i="11" s="1"/>
  <c r="AD151" i="11"/>
  <c r="L162" i="11"/>
  <c r="H174" i="11"/>
  <c r="L170" i="11"/>
  <c r="X195" i="11"/>
  <c r="S170" i="11" s="1"/>
  <c r="H197" i="11"/>
  <c r="H198" i="11" s="1"/>
  <c r="L169" i="11"/>
  <c r="AD163" i="11"/>
  <c r="H165" i="11"/>
  <c r="X201" i="11"/>
  <c r="X203" i="11" s="1"/>
  <c r="X204" i="11" s="1"/>
  <c r="H203" i="11"/>
  <c r="H204" i="11" s="1"/>
  <c r="H139" i="11"/>
  <c r="X137" i="11"/>
  <c r="X139" i="11" s="1"/>
  <c r="K168" i="11"/>
  <c r="X132" i="11"/>
  <c r="R168" i="11" s="1"/>
  <c r="L163" i="11"/>
  <c r="X183" i="11"/>
  <c r="H185" i="11"/>
  <c r="H206" i="11"/>
  <c r="J206" i="11" s="1"/>
  <c r="K163" i="11"/>
  <c r="X184" i="11"/>
  <c r="R163" i="11" s="1"/>
  <c r="H207" i="11"/>
  <c r="I206" i="11"/>
  <c r="H127" i="11"/>
  <c r="L154" i="11"/>
  <c r="X125" i="11"/>
  <c r="S154" i="11" s="1"/>
  <c r="H153" i="11"/>
  <c r="H175" i="11"/>
  <c r="AD152" i="11"/>
  <c r="K162" i="11"/>
  <c r="AD169" i="11"/>
  <c r="AD171" i="11" s="1"/>
  <c r="H171" i="11"/>
  <c r="X196" i="11"/>
  <c r="K170" i="11"/>
  <c r="I174" i="11"/>
  <c r="H142" i="11"/>
  <c r="X119" i="11"/>
  <c r="H121" i="11"/>
  <c r="D235" i="11"/>
  <c r="D220" i="11"/>
  <c r="L155" i="11"/>
  <c r="L157" i="11" s="1"/>
  <c r="AD157" i="11"/>
  <c r="H159" i="11"/>
  <c r="I142" i="11"/>
  <c r="K155" i="11"/>
  <c r="AD158" i="11"/>
  <c r="R155" i="11" s="1"/>
  <c r="L168" i="11"/>
  <c r="X131" i="11"/>
  <c r="H133" i="11"/>
  <c r="AD164" i="11"/>
  <c r="R169" i="11" s="1"/>
  <c r="K169" i="11"/>
  <c r="M169" i="11" s="1"/>
  <c r="N169" i="11" s="1"/>
  <c r="G204" i="11"/>
  <c r="G192" i="11"/>
  <c r="I9" i="33"/>
  <c r="AO7" i="11"/>
  <c r="B55" i="25"/>
  <c r="C54" i="25"/>
  <c r="B54" i="25"/>
  <c r="AC151" i="11"/>
  <c r="AC175" i="11"/>
  <c r="D267" i="11"/>
  <c r="AC171" i="11"/>
  <c r="AC172" i="11" s="1"/>
  <c r="D9" i="11"/>
  <c r="L46" i="11"/>
  <c r="C9" i="11"/>
  <c r="G267" i="11"/>
  <c r="J9" i="11"/>
  <c r="K9" i="11" s="1"/>
  <c r="W139" i="11"/>
  <c r="W140" i="11" s="1"/>
  <c r="BU7" i="11"/>
  <c r="I143" i="11"/>
  <c r="I207" i="11"/>
  <c r="BO8" i="11"/>
  <c r="L29" i="11"/>
  <c r="G144" i="11"/>
  <c r="G145" i="11" s="1"/>
  <c r="AC159" i="11"/>
  <c r="AC160" i="11" s="1"/>
  <c r="AC165" i="11"/>
  <c r="AC166" i="11" s="1"/>
  <c r="E279" i="11"/>
  <c r="BQ8" i="11"/>
  <c r="BQ32" i="11"/>
  <c r="BT7" i="11"/>
  <c r="C8" i="11"/>
  <c r="C96" i="11" s="1"/>
  <c r="E255" i="11"/>
  <c r="BU8" i="11"/>
  <c r="E7" i="11"/>
  <c r="F7" i="11" s="1"/>
  <c r="J8" i="11"/>
  <c r="K8" i="11" s="1"/>
  <c r="AV34" i="11"/>
  <c r="BO34" i="11" s="1"/>
  <c r="BO61" i="11" s="1"/>
  <c r="D74" i="11"/>
  <c r="AX34" i="11"/>
  <c r="BQ34" i="11" s="1"/>
  <c r="BQ61" i="11" s="1"/>
  <c r="G122" i="11"/>
  <c r="G154" i="11"/>
  <c r="G160" i="11"/>
  <c r="Z40" i="11"/>
  <c r="G176" i="11"/>
  <c r="G177" i="11" s="1"/>
  <c r="L63" i="11"/>
  <c r="W133" i="11"/>
  <c r="W134" i="11" s="1"/>
  <c r="BT33" i="11"/>
  <c r="BB33" i="11"/>
  <c r="BU33" i="11" s="1"/>
  <c r="D73" i="11"/>
  <c r="V119" i="11"/>
  <c r="G186" i="11"/>
  <c r="G198" i="11"/>
  <c r="M156" i="11"/>
  <c r="N156" i="11" s="1"/>
  <c r="W206" i="11"/>
  <c r="G208" i="11"/>
  <c r="G209" i="11" s="1"/>
  <c r="I8" i="29"/>
  <c r="I9" i="29" s="1"/>
  <c r="I75" i="11" s="1"/>
  <c r="F195" i="11"/>
  <c r="V195" i="11" s="1"/>
  <c r="BO6" i="11"/>
  <c r="BD7" i="11"/>
  <c r="BP6" i="11"/>
  <c r="AB8" i="11"/>
  <c r="AW34" i="11"/>
  <c r="BP34" i="11" s="1"/>
  <c r="BP61" i="11" s="1"/>
  <c r="BP8" i="11"/>
  <c r="BT8" i="11"/>
  <c r="AU32" i="11"/>
  <c r="BN32" i="11" s="1"/>
  <c r="BP32" i="11"/>
  <c r="F202" i="11"/>
  <c r="V202" i="11" s="1"/>
  <c r="F157" i="11"/>
  <c r="AB157" i="11" s="1"/>
  <c r="V137" i="11"/>
  <c r="V139" i="11" s="1"/>
  <c r="F201" i="11"/>
  <c r="F184" i="11"/>
  <c r="V184" i="11" s="1"/>
  <c r="F190" i="11"/>
  <c r="F164" i="11"/>
  <c r="AB164" i="11" s="1"/>
  <c r="F196" i="11"/>
  <c r="V196" i="11" s="1"/>
  <c r="F183" i="11"/>
  <c r="F189" i="11"/>
  <c r="F170" i="11"/>
  <c r="AB170" i="11" s="1"/>
  <c r="F163" i="11"/>
  <c r="AB163" i="11" s="1"/>
  <c r="F152" i="11"/>
  <c r="AB152" i="11" s="1"/>
  <c r="V132" i="11"/>
  <c r="F121" i="11"/>
  <c r="BO32" i="11"/>
  <c r="T39" i="11"/>
  <c r="BQ6" i="11"/>
  <c r="I175" i="11"/>
  <c r="AF41" i="11"/>
  <c r="AO41" i="11" s="1"/>
  <c r="AO8" i="11"/>
  <c r="BR32" i="11"/>
  <c r="F169" i="11"/>
  <c r="AB169" i="11" s="1"/>
  <c r="V39" i="11"/>
  <c r="AF39" i="11"/>
  <c r="BN6" i="11"/>
  <c r="BR6" i="11"/>
  <c r="AB7" i="11"/>
  <c r="BN8" i="11"/>
  <c r="AY34" i="11"/>
  <c r="BR34" i="11" s="1"/>
  <c r="BR61" i="11" s="1"/>
  <c r="BR8" i="11"/>
  <c r="BD8" i="11"/>
  <c r="V131" i="11"/>
  <c r="F151" i="11"/>
  <c r="F127" i="11"/>
  <c r="F128" i="11" s="1"/>
  <c r="V125" i="11"/>
  <c r="AB158" i="11"/>
  <c r="E351" i="11"/>
  <c r="L171" i="11" l="1"/>
  <c r="M154" i="11"/>
  <c r="N154" i="11" s="1"/>
  <c r="D85" i="11"/>
  <c r="D107" i="11"/>
  <c r="M168" i="11"/>
  <c r="N168" i="11" s="1"/>
  <c r="D84" i="11"/>
  <c r="D106" i="11"/>
  <c r="J174" i="11"/>
  <c r="I95" i="11"/>
  <c r="F95" i="11"/>
  <c r="K157" i="11"/>
  <c r="J175" i="11"/>
  <c r="M163" i="11"/>
  <c r="N163" i="11" s="1"/>
  <c r="I191" i="11"/>
  <c r="M170" i="11"/>
  <c r="N170" i="11" s="1"/>
  <c r="M155" i="11"/>
  <c r="N155" i="11" s="1"/>
  <c r="M161" i="11"/>
  <c r="N161" i="11" s="1"/>
  <c r="M162" i="11"/>
  <c r="N162" i="11" s="1"/>
  <c r="I197" i="11"/>
  <c r="L164" i="11"/>
  <c r="I144" i="11"/>
  <c r="J142" i="11"/>
  <c r="R162" i="11"/>
  <c r="AD175" i="11"/>
  <c r="X140" i="11"/>
  <c r="Y139" i="11"/>
  <c r="H208" i="11"/>
  <c r="H209" i="11" s="1"/>
  <c r="H186" i="11"/>
  <c r="K171" i="11"/>
  <c r="C221" i="11"/>
  <c r="C75" i="11"/>
  <c r="C108" i="11" s="1"/>
  <c r="C236" i="11"/>
  <c r="H160" i="11"/>
  <c r="I159" i="11"/>
  <c r="I139" i="11"/>
  <c r="H140" i="11"/>
  <c r="AD159" i="11"/>
  <c r="S155" i="11"/>
  <c r="T155" i="11" s="1"/>
  <c r="U155" i="11" s="1"/>
  <c r="H154" i="11"/>
  <c r="I153" i="11"/>
  <c r="H176" i="11"/>
  <c r="H177" i="11" s="1"/>
  <c r="F174" i="11"/>
  <c r="AB151" i="11"/>
  <c r="J143" i="11"/>
  <c r="X133" i="11"/>
  <c r="S168" i="11"/>
  <c r="X197" i="11"/>
  <c r="X198" i="11" s="1"/>
  <c r="R170" i="11"/>
  <c r="T170" i="11" s="1"/>
  <c r="U170" i="11" s="1"/>
  <c r="X185" i="11"/>
  <c r="X186" i="11" s="1"/>
  <c r="S163" i="11"/>
  <c r="T163" i="11" s="1"/>
  <c r="U163" i="11" s="1"/>
  <c r="X206" i="11"/>
  <c r="H166" i="11"/>
  <c r="I165" i="11"/>
  <c r="S162" i="11"/>
  <c r="AD153" i="11"/>
  <c r="AD174" i="11"/>
  <c r="H134" i="11"/>
  <c r="I133" i="11"/>
  <c r="K164" i="11"/>
  <c r="C74" i="11"/>
  <c r="C220" i="11"/>
  <c r="C235" i="11" s="1"/>
  <c r="H172" i="11"/>
  <c r="I171" i="11"/>
  <c r="H128" i="11"/>
  <c r="I127" i="11"/>
  <c r="AD165" i="11"/>
  <c r="S169" i="11"/>
  <c r="T169" i="11" s="1"/>
  <c r="U169" i="11" s="1"/>
  <c r="I185" i="11"/>
  <c r="Y142" i="11"/>
  <c r="D75" i="11"/>
  <c r="D236" i="11"/>
  <c r="D221" i="11"/>
  <c r="D222" i="11" s="1"/>
  <c r="I121" i="11"/>
  <c r="H144" i="11"/>
  <c r="H145" i="11" s="1"/>
  <c r="H122" i="11"/>
  <c r="AD172" i="11"/>
  <c r="AE171" i="11"/>
  <c r="BD33" i="11"/>
  <c r="I203" i="11"/>
  <c r="X142" i="11"/>
  <c r="J207" i="11"/>
  <c r="AC174" i="11"/>
  <c r="AC153" i="11"/>
  <c r="Y57" i="11"/>
  <c r="Z41" i="11" s="1"/>
  <c r="AB175" i="11"/>
  <c r="Y56" i="11"/>
  <c r="BB52" i="11"/>
  <c r="X190" i="11" s="1"/>
  <c r="C55" i="25"/>
  <c r="X56" i="11"/>
  <c r="I243" i="11"/>
  <c r="Y55" i="11"/>
  <c r="X120" i="11" s="1"/>
  <c r="M171" i="11"/>
  <c r="N171" i="11" s="1"/>
  <c r="X57" i="11"/>
  <c r="BR59" i="11"/>
  <c r="I208" i="11"/>
  <c r="J10" i="11"/>
  <c r="K10" i="11" s="1"/>
  <c r="AB159" i="11"/>
  <c r="M9" i="11"/>
  <c r="F153" i="11"/>
  <c r="E267" i="11"/>
  <c r="E9" i="11"/>
  <c r="F9" i="11" s="1"/>
  <c r="M8" i="11"/>
  <c r="D10" i="11"/>
  <c r="M157" i="11"/>
  <c r="N157" i="11" s="1"/>
  <c r="BW7" i="11"/>
  <c r="C10" i="11"/>
  <c r="E8" i="11"/>
  <c r="F8" i="11" s="1"/>
  <c r="BW8" i="11"/>
  <c r="V189" i="11"/>
  <c r="F159" i="11"/>
  <c r="D225" i="11"/>
  <c r="F185" i="11"/>
  <c r="F186" i="11" s="1"/>
  <c r="F133" i="11"/>
  <c r="F197" i="11"/>
  <c r="D226" i="11"/>
  <c r="F203" i="11"/>
  <c r="F204" i="11" s="1"/>
  <c r="F122" i="11"/>
  <c r="V201" i="11"/>
  <c r="F143" i="11"/>
  <c r="C225" i="11" s="1"/>
  <c r="AB171" i="11"/>
  <c r="F171" i="11"/>
  <c r="AB165" i="11"/>
  <c r="F165" i="11"/>
  <c r="F206" i="11"/>
  <c r="D227" i="11" s="1"/>
  <c r="V183" i="11"/>
  <c r="V185" i="11" s="1"/>
  <c r="V186" i="11" s="1"/>
  <c r="F191" i="11"/>
  <c r="F207" i="11"/>
  <c r="C227" i="11" s="1"/>
  <c r="C351" i="11"/>
  <c r="F139" i="11"/>
  <c r="F140" i="11" s="1"/>
  <c r="I176" i="11"/>
  <c r="BN34" i="11"/>
  <c r="F175" i="11"/>
  <c r="AO40" i="11"/>
  <c r="BW29" i="11"/>
  <c r="Y206" i="11"/>
  <c r="AB40" i="11"/>
  <c r="V133" i="11"/>
  <c r="V142" i="11"/>
  <c r="AB160" i="11"/>
  <c r="BN59" i="11"/>
  <c r="V140" i="11"/>
  <c r="V197" i="11"/>
  <c r="BO59" i="11"/>
  <c r="D86" i="11" l="1"/>
  <c r="D97" i="11"/>
  <c r="D108" i="11"/>
  <c r="C85" i="11"/>
  <c r="C107" i="11"/>
  <c r="D87" i="11"/>
  <c r="E85" i="11"/>
  <c r="F85" i="11" s="1"/>
  <c r="J176" i="11"/>
  <c r="T162" i="11"/>
  <c r="U162" i="11" s="1"/>
  <c r="J208" i="11"/>
  <c r="M164" i="11"/>
  <c r="N164" i="11" s="1"/>
  <c r="Z142" i="11"/>
  <c r="E220" i="11"/>
  <c r="F220" i="11" s="1"/>
  <c r="E74" i="11"/>
  <c r="F74" i="11" s="1"/>
  <c r="T168" i="11"/>
  <c r="U168" i="11" s="1"/>
  <c r="S171" i="11"/>
  <c r="D76" i="11"/>
  <c r="X134" i="11"/>
  <c r="Y133" i="11"/>
  <c r="AD160" i="11"/>
  <c r="AE159" i="11"/>
  <c r="AD166" i="11"/>
  <c r="AE165" i="11"/>
  <c r="J144" i="11"/>
  <c r="E221" i="11"/>
  <c r="F221" i="11" s="1"/>
  <c r="R171" i="11"/>
  <c r="Y185" i="11"/>
  <c r="AE153" i="11"/>
  <c r="AD154" i="11"/>
  <c r="AD176" i="11"/>
  <c r="AD177" i="11" s="1"/>
  <c r="S157" i="11"/>
  <c r="X191" i="11"/>
  <c r="R156" i="11"/>
  <c r="X207" i="11"/>
  <c r="Y41" i="11"/>
  <c r="Y143" i="11" s="1"/>
  <c r="Y144" i="11" s="1"/>
  <c r="R161" i="11"/>
  <c r="X121" i="11"/>
  <c r="X126" i="11"/>
  <c r="X143" i="11" s="1"/>
  <c r="BT59" i="11"/>
  <c r="BS59" i="11"/>
  <c r="M10" i="11"/>
  <c r="V120" i="11"/>
  <c r="V121" i="11" s="1"/>
  <c r="V122" i="11" s="1"/>
  <c r="V190" i="11"/>
  <c r="V207" i="11" s="1"/>
  <c r="AB153" i="11"/>
  <c r="AB176" i="11" s="1"/>
  <c r="AB177" i="11" s="1"/>
  <c r="AB174" i="11"/>
  <c r="F154" i="11"/>
  <c r="F176" i="11"/>
  <c r="F177" i="11" s="1"/>
  <c r="W120" i="11"/>
  <c r="I65" i="11"/>
  <c r="I66" i="11" s="1"/>
  <c r="W190" i="11"/>
  <c r="V126" i="11"/>
  <c r="V127" i="11" s="1"/>
  <c r="V128" i="11" s="1"/>
  <c r="W126" i="11"/>
  <c r="J65" i="11"/>
  <c r="AC154" i="11"/>
  <c r="AC176" i="11"/>
  <c r="AC177" i="11" s="1"/>
  <c r="F144" i="11"/>
  <c r="F145" i="11" s="1"/>
  <c r="E10" i="11"/>
  <c r="F10" i="11" s="1"/>
  <c r="E225" i="11"/>
  <c r="F225" i="11" s="1"/>
  <c r="F160" i="11"/>
  <c r="V206" i="11"/>
  <c r="D237" i="11" s="1"/>
  <c r="C226" i="11"/>
  <c r="E226" i="11" s="1"/>
  <c r="F226" i="11" s="1"/>
  <c r="F198" i="11"/>
  <c r="V203" i="11"/>
  <c r="V204" i="11" s="1"/>
  <c r="F134" i="11"/>
  <c r="V134" i="11"/>
  <c r="AB166" i="11"/>
  <c r="E227" i="11"/>
  <c r="F227" i="11" s="1"/>
  <c r="F172" i="11"/>
  <c r="F166" i="11"/>
  <c r="AB172" i="11"/>
  <c r="F192" i="11"/>
  <c r="BN61" i="11"/>
  <c r="F208" i="11"/>
  <c r="F209" i="11" s="1"/>
  <c r="AB154" i="11"/>
  <c r="E75" i="11"/>
  <c r="F75" i="11" s="1"/>
  <c r="E235" i="11"/>
  <c r="F235" i="11" s="1"/>
  <c r="BU60" i="11"/>
  <c r="BQ59" i="11"/>
  <c r="BP59" i="11"/>
  <c r="Y197" i="11"/>
  <c r="V198" i="11"/>
  <c r="D109" i="11" l="1"/>
  <c r="E108" i="11"/>
  <c r="E107" i="11"/>
  <c r="E96" i="11"/>
  <c r="I96" i="11" s="1"/>
  <c r="D98" i="11"/>
  <c r="I85" i="11"/>
  <c r="T171" i="11"/>
  <c r="U171" i="11" s="1"/>
  <c r="AB41" i="11"/>
  <c r="W143" i="11"/>
  <c r="X122" i="11"/>
  <c r="Z143" i="11"/>
  <c r="BU34" i="11"/>
  <c r="BU61" i="11" s="1"/>
  <c r="BD34" i="11"/>
  <c r="S161" i="11"/>
  <c r="R154" i="11"/>
  <c r="X127" i="11"/>
  <c r="X192" i="11"/>
  <c r="X208" i="11"/>
  <c r="X209" i="11" s="1"/>
  <c r="K66" i="11"/>
  <c r="K65" i="11"/>
  <c r="V191" i="11"/>
  <c r="V192" i="11" s="1"/>
  <c r="V143" i="11"/>
  <c r="W207" i="11"/>
  <c r="W191" i="11"/>
  <c r="T156" i="11"/>
  <c r="U156" i="11" s="1"/>
  <c r="BT34" i="11"/>
  <c r="Y207" i="11"/>
  <c r="Y208" i="11" s="1"/>
  <c r="Y209" i="11" s="1"/>
  <c r="W127" i="11"/>
  <c r="E236" i="11"/>
  <c r="F236" i="11" s="1"/>
  <c r="W121" i="11"/>
  <c r="Y121" i="11" s="1"/>
  <c r="R164" i="11"/>
  <c r="Y203" i="11"/>
  <c r="V144" i="11"/>
  <c r="BW56" i="11"/>
  <c r="C86" i="11" l="1"/>
  <c r="I108" i="11"/>
  <c r="F108" i="11"/>
  <c r="I107" i="11"/>
  <c r="F107" i="11"/>
  <c r="F96" i="11"/>
  <c r="X128" i="11"/>
  <c r="Y127" i="11"/>
  <c r="X144" i="11"/>
  <c r="Z144" i="11" s="1"/>
  <c r="L67" i="11"/>
  <c r="V208" i="11"/>
  <c r="V209" i="11" s="1"/>
  <c r="W128" i="11"/>
  <c r="W144" i="11"/>
  <c r="W122" i="11"/>
  <c r="T154" i="11"/>
  <c r="U154" i="11" s="1"/>
  <c r="R157" i="11"/>
  <c r="T157" i="11" s="1"/>
  <c r="U157" i="11" s="1"/>
  <c r="T161" i="11"/>
  <c r="U161" i="11" s="1"/>
  <c r="S164" i="11"/>
  <c r="T164" i="11" s="1"/>
  <c r="U164" i="11" s="1"/>
  <c r="E86" i="11"/>
  <c r="BT61" i="11"/>
  <c r="BW57" i="11" s="1"/>
  <c r="BW30" i="11"/>
  <c r="W208" i="11"/>
  <c r="W209" i="11" s="1"/>
  <c r="Y191" i="11"/>
  <c r="W192" i="11"/>
  <c r="D351" i="11"/>
  <c r="F348" i="11"/>
  <c r="F351" i="11" s="1"/>
  <c r="C98" i="11" l="1"/>
  <c r="E98" i="11" s="1"/>
  <c r="F98" i="11" s="1"/>
  <c r="F86" i="11"/>
  <c r="I86" i="11"/>
  <c r="I97" i="11" l="1"/>
  <c r="F97" i="11"/>
  <c r="F25" i="29" l="1"/>
  <c r="G25" i="29" l="1"/>
  <c r="I25" i="29" s="1"/>
  <c r="I26" i="29" s="1"/>
  <c r="C73" i="11" l="1"/>
  <c r="I73" i="11"/>
  <c r="C234" i="11"/>
  <c r="C219" i="11"/>
  <c r="E234" i="11" l="1"/>
  <c r="F234" i="11" s="1"/>
  <c r="C237" i="11"/>
  <c r="E237" i="11" s="1"/>
  <c r="F237" i="11" s="1"/>
  <c r="C222" i="11"/>
  <c r="E222" i="11" s="1"/>
  <c r="F222" i="11" s="1"/>
  <c r="E219" i="11"/>
  <c r="F219" i="11" s="1"/>
  <c r="C106" i="11"/>
  <c r="C84" i="11"/>
  <c r="E73" i="11"/>
  <c r="F73" i="11" s="1"/>
  <c r="C76" i="11"/>
  <c r="E76" i="11" s="1"/>
  <c r="F76" i="11" s="1"/>
  <c r="E84" i="11" l="1"/>
  <c r="C87" i="11"/>
  <c r="E87" i="11" s="1"/>
  <c r="F87" i="11" s="1"/>
  <c r="E106" i="11"/>
  <c r="C109" i="11"/>
  <c r="E109" i="11" s="1"/>
  <c r="F109" i="11" s="1"/>
  <c r="I106" i="11" l="1"/>
  <c r="F106" i="11"/>
  <c r="I84" i="11"/>
  <c r="F84" i="11"/>
  <c r="C25" i="33" l="1"/>
  <c r="E25" i="33" s="1"/>
  <c r="G25" i="33" l="1"/>
  <c r="I25" i="33" s="1"/>
  <c r="I28" i="33" l="1"/>
  <c r="I26" i="33"/>
  <c r="I28"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Anthony Mungall</author>
  </authors>
  <commentList>
    <comment ref="F189" authorId="0" shapeId="0" xr:uid="{00000000-0006-0000-0800-000001000000}">
      <text>
        <r>
          <rPr>
            <b/>
            <sz val="9"/>
            <color indexed="81"/>
            <rFont val="Tahoma"/>
            <family val="2"/>
          </rPr>
          <t>OFGEM:</t>
        </r>
        <r>
          <rPr>
            <sz val="9"/>
            <color indexed="81"/>
            <rFont val="Tahoma"/>
            <family val="2"/>
          </rPr>
          <t xml:space="preserve">  T1 forecast value excludes the impact of actual/forecast spend across T1 reported by SHET in RRP18 incurred in relation to generation projects that SHET anticipates will deliver outputs beyond 1 April 2023. </t>
        </r>
        <r>
          <rPr>
            <u/>
            <sz val="9"/>
            <color indexed="81"/>
            <rFont val="Tahoma"/>
            <family val="2"/>
          </rPr>
          <t xml:space="preserve"> Value: £81.4m</t>
        </r>
        <r>
          <rPr>
            <sz val="9"/>
            <color indexed="81"/>
            <rFont val="Tahoma"/>
            <family val="2"/>
          </rPr>
          <t xml:space="preserve"> (18-19 prices).  </t>
        </r>
      </text>
    </comment>
    <comment ref="G189" authorId="0" shapeId="0" xr:uid="{00000000-0006-0000-0800-000002000000}">
      <text>
        <r>
          <rPr>
            <b/>
            <sz val="9"/>
            <color indexed="81"/>
            <rFont val="Tahoma"/>
            <family val="2"/>
          </rPr>
          <t>Ofgem</t>
        </r>
        <r>
          <rPr>
            <sz val="9"/>
            <color indexed="81"/>
            <rFont val="Tahoma"/>
            <family val="2"/>
          </rPr>
          <t>: T1 forecast value</t>
        </r>
        <r>
          <rPr>
            <b/>
            <sz val="9"/>
            <color indexed="81"/>
            <rFont val="Tahoma"/>
            <family val="2"/>
          </rPr>
          <t xml:space="preserve"> </t>
        </r>
        <r>
          <rPr>
            <sz val="9"/>
            <color indexed="81"/>
            <rFont val="Tahoma"/>
            <family val="2"/>
          </rPr>
          <t xml:space="preserve">includes the impact of actual/forecast spend across T1 reported by SHET in RRP19 incurred in relation to generation projects that SHET anticipates will deliver outputs beyond 1 April 2023.  </t>
        </r>
        <r>
          <rPr>
            <u/>
            <sz val="9"/>
            <color indexed="81"/>
            <rFont val="Tahoma"/>
            <family val="2"/>
          </rPr>
          <t>Value: £46.6m</t>
        </r>
        <r>
          <rPr>
            <sz val="9"/>
            <color indexed="81"/>
            <rFont val="Tahoma"/>
            <family val="2"/>
          </rPr>
          <t xml:space="preserve"> (18-19 prices).  
To facilitate comparison with RRP18 we adjust the spend to deduct the value of T1 expenditure of the identified crossover schemes.</t>
        </r>
      </text>
    </comment>
    <comment ref="V189" authorId="0" shapeId="0" xr:uid="{00000000-0006-0000-0800-000003000000}">
      <text>
        <r>
          <rPr>
            <b/>
            <sz val="9"/>
            <color indexed="81"/>
            <rFont val="Tahoma"/>
            <family val="2"/>
          </rPr>
          <t xml:space="preserve">Ofgem: </t>
        </r>
        <r>
          <rPr>
            <sz val="9"/>
            <color indexed="81"/>
            <rFont val="Tahoma"/>
            <family val="2"/>
          </rPr>
          <t xml:space="preserve">
The T1 forecast value excludes the impact of actual/forecast spend reported by SHET in RRP18 incurred in relation to generation projects that SHET anticipates will deliver outputs beyond 1 April 2023.  Value: £81m (18-19 prices)</t>
        </r>
      </text>
    </comment>
    <comment ref="W189" authorId="0" shapeId="0" xr:uid="{00000000-0006-0000-0800-000004000000}">
      <text>
        <r>
          <rPr>
            <b/>
            <sz val="9"/>
            <color indexed="81"/>
            <rFont val="Tahoma"/>
            <family val="2"/>
          </rPr>
          <t xml:space="preserve">Ofgem: </t>
        </r>
        <r>
          <rPr>
            <sz val="9"/>
            <color indexed="81"/>
            <rFont val="Tahoma"/>
            <family val="2"/>
          </rPr>
          <t xml:space="preserve"> The T1 forecast value includes the impact of actual/forecast spend reported by SHET in RRP19 incurred in relation to generation projects that SHET anticipates will deliver outputs beyond 1 April 2023.  Value: £46m (18-19 prices).  To facilitate comparison with RRP18 we adjust the spend to deduct the value of T1 expenditure of the identified crossover schemes.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Anthony Mungall</author>
  </authors>
  <commentList>
    <comment ref="C8" authorId="0" shapeId="0" xr:uid="{383395C1-2FE6-4508-B6F5-8142F0B1F5EA}">
      <text>
        <r>
          <rPr>
            <b/>
            <sz val="9"/>
            <color indexed="81"/>
            <rFont val="Tahoma"/>
            <family val="2"/>
          </rPr>
          <t>SOURCE: RRP20, T6.7 cell O201</t>
        </r>
      </text>
    </comment>
  </commentList>
</comments>
</file>

<file path=xl/sharedStrings.xml><?xml version="1.0" encoding="utf-8"?>
<sst xmlns="http://schemas.openxmlformats.org/spreadsheetml/2006/main" count="1400" uniqueCount="570">
  <si>
    <t>Company</t>
  </si>
  <si>
    <t>SPT</t>
  </si>
  <si>
    <t>Allowance</t>
  </si>
  <si>
    <t>Total</t>
  </si>
  <si>
    <t>Expenditure</t>
  </si>
  <si>
    <t>Table/Figure</t>
  </si>
  <si>
    <t>Actual expenditure</t>
  </si>
  <si>
    <t>RIIO-T1 Regulatory Instructions and Guidance</t>
  </si>
  <si>
    <t>Universal Data</t>
  </si>
  <si>
    <t>Company Name:</t>
  </si>
  <si>
    <t>Company Short Name:</t>
  </si>
  <si>
    <t>Reporting Year: (enter 2007 for 2006/07)</t>
  </si>
  <si>
    <t>Version (Number)</t>
  </si>
  <si>
    <t>Submitted Date:</t>
  </si>
  <si>
    <t>Reporting Year - 6</t>
  </si>
  <si>
    <t>Reporting Year - 5</t>
  </si>
  <si>
    <t>Reporting Year - 4</t>
  </si>
  <si>
    <t>Reporting Year - 3</t>
  </si>
  <si>
    <t>Reporting Year - 2</t>
  </si>
  <si>
    <t>Reporting Year - 1</t>
  </si>
  <si>
    <t>Reporting Year:</t>
  </si>
  <si>
    <t>Reporting Year + 1</t>
  </si>
  <si>
    <t>Reporting Year + 2</t>
  </si>
  <si>
    <t>Reporting Year + 3</t>
  </si>
  <si>
    <t>Reporting Year + 4</t>
  </si>
  <si>
    <t>Reporting Year + 5</t>
  </si>
  <si>
    <t>Error Limit lower than (Rounding)</t>
  </si>
  <si>
    <t>RPI Index</t>
  </si>
  <si>
    <t>Financial year average RPI</t>
  </si>
  <si>
    <t>2003/04</t>
  </si>
  <si>
    <t>2004/05</t>
  </si>
  <si>
    <t>2005/06</t>
  </si>
  <si>
    <t>2006/07</t>
  </si>
  <si>
    <t>2007/08</t>
  </si>
  <si>
    <t>2008/09</t>
  </si>
  <si>
    <t>2009/10</t>
  </si>
  <si>
    <t>2010/11</t>
  </si>
  <si>
    <t>2011/12</t>
  </si>
  <si>
    <t>2012/13</t>
  </si>
  <si>
    <t>2013/14</t>
  </si>
  <si>
    <t>2014/15</t>
  </si>
  <si>
    <t>2015/16</t>
  </si>
  <si>
    <t>2016/17</t>
  </si>
  <si>
    <t>2017/18</t>
  </si>
  <si>
    <t>2018/19</t>
  </si>
  <si>
    <t>2019/20</t>
  </si>
  <si>
    <t>2020/21</t>
  </si>
  <si>
    <t>Difference</t>
  </si>
  <si>
    <t>£m</t>
  </si>
  <si>
    <t>%</t>
  </si>
  <si>
    <t>NGET TO</t>
  </si>
  <si>
    <t>SHET</t>
  </si>
  <si>
    <t>TOTAL</t>
  </si>
  <si>
    <t>Year</t>
  </si>
  <si>
    <t xml:space="preserve">Output requirement </t>
  </si>
  <si>
    <t xml:space="preserve">RIIO measure </t>
  </si>
  <si>
    <t xml:space="preserve">i Safety </t>
  </si>
  <si>
    <t xml:space="preserve">To meet all safety legislation requirements. </t>
  </si>
  <si>
    <t>All met</t>
  </si>
  <si>
    <t>ii Reliability</t>
  </si>
  <si>
    <t xml:space="preserve">Minimise how much electricity is lost to our customers because of failures of the assets on the network </t>
  </si>
  <si>
    <t xml:space="preserve">iii Availability </t>
  </si>
  <si>
    <t xml:space="preserve">Implement and maintain policy. </t>
  </si>
  <si>
    <t xml:space="preserve">iv Environmental benefits </t>
  </si>
  <si>
    <t>Performance band:</t>
  </si>
  <si>
    <t>No financial incentive</t>
  </si>
  <si>
    <t xml:space="preserve">v Customer satisfaction </t>
  </si>
  <si>
    <t xml:space="preserve">vi Timely connections </t>
  </si>
  <si>
    <t xml:space="preserve">NGET (TO): Connection of new generation </t>
  </si>
  <si>
    <t xml:space="preserve">NGET (TO): Construction of new super grid transformers (SGT) </t>
  </si>
  <si>
    <t>SPT: New generation connections (MW)</t>
  </si>
  <si>
    <t xml:space="preserve">SHET </t>
  </si>
  <si>
    <t>13-14</t>
  </si>
  <si>
    <t>14-15</t>
  </si>
  <si>
    <t>15-16</t>
  </si>
  <si>
    <t>16-17</t>
  </si>
  <si>
    <t>NGET (TO)</t>
  </si>
  <si>
    <t>Forecast expenditure</t>
  </si>
  <si>
    <t>Forecast adjusted allowance</t>
  </si>
  <si>
    <t>Non-load related</t>
  </si>
  <si>
    <t>Actual allowance claimed for the year</t>
  </si>
  <si>
    <t>Table 1: Outputs and measures of performance</t>
  </si>
  <si>
    <t xml:space="preserve">Comply with Health &amp; Safety Executive law </t>
  </si>
  <si>
    <t>All below target</t>
  </si>
  <si>
    <t>Implement the Network Access Policy[1]</t>
  </si>
  <si>
    <t>Customer Satisfaction Survey (NGET only) and Stakeholder Satisfaction Survey (all)</t>
  </si>
  <si>
    <r>
      <t>·</t>
    </r>
    <r>
      <rPr>
        <sz val="7"/>
        <color rgb="FF000000"/>
        <rFont val="Times New Roman"/>
        <family val="1"/>
      </rPr>
      <t xml:space="preserve">         </t>
    </r>
    <r>
      <rPr>
        <sz val="9"/>
        <color rgb="FF000000"/>
        <rFont val="Verdana"/>
        <family val="2"/>
      </rPr>
      <t>NGET Customer 6.9/10</t>
    </r>
  </si>
  <si>
    <r>
      <t>·</t>
    </r>
    <r>
      <rPr>
        <sz val="7"/>
        <color rgb="FF000000"/>
        <rFont val="Times New Roman"/>
        <family val="1"/>
      </rPr>
      <t xml:space="preserve">         </t>
    </r>
    <r>
      <rPr>
        <sz val="9"/>
        <color rgb="FF000000"/>
        <rFont val="Verdana"/>
        <family val="2"/>
      </rPr>
      <t xml:space="preserve">NGET Stakeholder 7.4/10 </t>
    </r>
  </si>
  <si>
    <r>
      <t>·</t>
    </r>
    <r>
      <rPr>
        <sz val="7"/>
        <color rgb="FF000000"/>
        <rFont val="Times New Roman"/>
        <family val="1"/>
      </rPr>
      <t xml:space="preserve">         </t>
    </r>
    <r>
      <rPr>
        <sz val="9"/>
        <color rgb="FF000000"/>
        <rFont val="Verdana"/>
        <family val="2"/>
      </rPr>
      <t>SPT Stakeholder 7.4/10</t>
    </r>
  </si>
  <si>
    <r>
      <t>·</t>
    </r>
    <r>
      <rPr>
        <sz val="7"/>
        <color rgb="FF000000"/>
        <rFont val="Times New Roman"/>
        <family val="1"/>
      </rPr>
      <t xml:space="preserve">         </t>
    </r>
    <r>
      <rPr>
        <sz val="9"/>
        <color rgb="FF000000"/>
        <rFont val="Verdana"/>
        <family val="2"/>
      </rPr>
      <t>SHET Stakeholder  7.4/10</t>
    </r>
  </si>
  <si>
    <t xml:space="preserve"> </t>
  </si>
  <si>
    <t>Neutral point:     5.0/10</t>
  </si>
  <si>
    <t>The timely meeting of existing licence requirements in relation to delivering new generation &amp; new demand connections.</t>
  </si>
  <si>
    <t>Financial incentives apply to SPT/SHET only; no financial incentive on NGET as it is the contractual interface with customers.</t>
  </si>
  <si>
    <t>vii Connection works and Wider works</t>
  </si>
  <si>
    <t>Construction of new OHL to accommodate new customers</t>
  </si>
  <si>
    <r>
      <t>·</t>
    </r>
    <r>
      <rPr>
        <sz val="7"/>
        <color rgb="FF000000"/>
        <rFont val="Times New Roman"/>
        <family val="1"/>
      </rPr>
      <t xml:space="preserve">         </t>
    </r>
    <r>
      <rPr>
        <sz val="9"/>
        <color rgb="FF000000"/>
        <rFont val="Verdana"/>
        <family val="2"/>
      </rPr>
      <t>Baseline target: 215.4km OHL</t>
    </r>
  </si>
  <si>
    <t>These measures are subject to company specific volume driver mechanisms.</t>
  </si>
  <si>
    <r>
      <t>·</t>
    </r>
    <r>
      <rPr>
        <sz val="7"/>
        <color rgb="FF000000"/>
        <rFont val="Times New Roman"/>
        <family val="1"/>
      </rPr>
      <t xml:space="preserve">         </t>
    </r>
    <r>
      <rPr>
        <sz val="9"/>
        <color rgb="FF000000"/>
        <rFont val="Verdana"/>
        <family val="2"/>
      </rPr>
      <t>Baseline target: 27km OHL</t>
    </r>
  </si>
  <si>
    <t xml:space="preserve">NGET (TO): Incremental Wider Works to strengthen specific boundaries </t>
  </si>
  <si>
    <t xml:space="preserve">These measures are subject to company specific volume driver mechanisms. </t>
  </si>
  <si>
    <t>SPT: New network capacity (MVA)</t>
  </si>
  <si>
    <t>SHET: New network capacity (MVA)</t>
  </si>
  <si>
    <t xml:space="preserve">Delivery of Baseline Wider Works (BWW) </t>
  </si>
  <si>
    <r>
      <t>SHET:</t>
    </r>
    <r>
      <rPr>
        <sz val="8.5"/>
        <color rgb="FF000000"/>
        <rFont val="Verdana"/>
        <family val="2"/>
      </rPr>
      <t xml:space="preserve"> All BWW outputs delivered on time.</t>
    </r>
  </si>
  <si>
    <t xml:space="preserve">Delivery of  Strategic Wider Works (SWW) </t>
  </si>
  <si>
    <t xml:space="preserve">[1] In June 2015 the Authority approved a single common NAP for Scotland, applicable to both SPT and SHET, and a separate NAP for England and Wales, capturing NGET’s functions of SO and TO.  </t>
  </si>
  <si>
    <t>[2] The target for SF6 leakage increases as the number of assets on the network using SF6 increases.</t>
  </si>
  <si>
    <t>2013-14</t>
  </si>
  <si>
    <t>2014-15</t>
  </si>
  <si>
    <t>2015-16</t>
  </si>
  <si>
    <t>2016-17</t>
  </si>
  <si>
    <t>2017-18</t>
  </si>
  <si>
    <t xml:space="preserve">SPT </t>
  </si>
  <si>
    <t>16/17</t>
  </si>
  <si>
    <t>17/18</t>
  </si>
  <si>
    <t>Baseline</t>
  </si>
  <si>
    <t xml:space="preserve">KPI Scores </t>
  </si>
  <si>
    <t>MWh</t>
  </si>
  <si>
    <t>% below target</t>
  </si>
  <si>
    <t>% vs target</t>
  </si>
  <si>
    <t>17-18</t>
  </si>
  <si>
    <t>† The figures are based upon the TOs’ published values. Small rounding errors may exist.</t>
  </si>
  <si>
    <t>ACTUAL</t>
  </si>
  <si>
    <t>FORECAST</t>
  </si>
  <si>
    <t>RRP 18</t>
  </si>
  <si>
    <t xml:space="preserve">Difference </t>
  </si>
  <si>
    <t>a. Current forecast of T1 expenditure</t>
  </si>
  <si>
    <t>b. Current forecast of T1 allowance</t>
  </si>
  <si>
    <t>3 (1+2)</t>
  </si>
  <si>
    <t>6 (4+5)</t>
  </si>
  <si>
    <t>Original Forecast Customer Contributions</t>
  </si>
  <si>
    <t>Baseline allowance (post CC)</t>
  </si>
  <si>
    <t>Current forecast Customer Contributions</t>
  </si>
  <si>
    <t>Net current view of expenditure</t>
  </si>
  <si>
    <t>Forecast “true-up” value (Col 6 - Col 3)</t>
  </si>
  <si>
    <t>SPT: 8.5/10</t>
  </si>
  <si>
    <t>2018-19</t>
  </si>
  <si>
    <t>18/19</t>
  </si>
  <si>
    <t>18-19</t>
  </si>
  <si>
    <t xml:space="preserve">Table 3: ENS performance </t>
  </si>
  <si>
    <r>
      <t>Table 4: SF</t>
    </r>
    <r>
      <rPr>
        <b/>
        <vertAlign val="subscript"/>
        <sz val="10"/>
        <color theme="1"/>
        <rFont val="Verdana"/>
        <family val="2"/>
      </rPr>
      <t>6</t>
    </r>
    <r>
      <rPr>
        <b/>
        <sz val="10"/>
        <color theme="1"/>
        <rFont val="Verdana"/>
        <family val="2"/>
      </rPr>
      <t xml:space="preserve"> performance </t>
    </r>
  </si>
  <si>
    <t xml:space="preserve">TOTEX allowance (£/m) 2009/10 prices </t>
  </si>
  <si>
    <t>Load related</t>
  </si>
  <si>
    <t>RRP 19</t>
  </si>
  <si>
    <t>Non-op capex related</t>
  </si>
  <si>
    <t>Controllable opex related</t>
  </si>
  <si>
    <t>Baseline allowance (incl RPEs and pre CC)</t>
  </si>
  <si>
    <t>Table 6 – Company activity under the NIA</t>
  </si>
  <si>
    <t>[9] The MPR confirmed that SPT propose to deliver an alternative Voltage Control scheme (420MVAr) in lieu of delivering Kilmarnock South scheme and will utilise the baseline funding accordingly.</t>
  </si>
  <si>
    <t>All new or modified offers provided to customers within the 90 days.[7]</t>
  </si>
  <si>
    <r>
      <t xml:space="preserve">Minimise SF6 greenhouse gas emissions
</t>
    </r>
    <r>
      <rPr>
        <sz val="10"/>
        <color rgb="FF000000"/>
        <rFont val="Verdana"/>
        <family val="2"/>
      </rPr>
      <t xml:space="preserve">
Reward/penalty based on the non-traded carbon price for carbon equivalent emissions.</t>
    </r>
  </si>
  <si>
    <r>
      <t>Environmental Discretionary Reward (EDR)</t>
    </r>
    <r>
      <rPr>
        <sz val="10"/>
        <color theme="1"/>
        <rFont val="Verdana"/>
        <family val="2"/>
      </rPr>
      <t xml:space="preserve"> 
Annual funding of up to £4m will be available in each scheme year.</t>
    </r>
  </si>
  <si>
    <r>
      <t xml:space="preserve">Publish annual progress on 
</t>
    </r>
    <r>
      <rPr>
        <sz val="10"/>
        <color rgb="FF000000"/>
        <rFont val="Verdana"/>
        <family val="2"/>
      </rPr>
      <t xml:space="preserve">·         Business Carbon Footprint[5]
</t>
    </r>
  </si>
  <si>
    <r>
      <t>Construction of new OHL to accommodate new customers.</t>
    </r>
    <r>
      <rPr>
        <sz val="10"/>
        <color rgb="FF000000"/>
        <rFont val="Verdana"/>
        <family val="2"/>
      </rPr>
      <t xml:space="preserve"> </t>
    </r>
  </si>
  <si>
    <t>SHET: New generation connections (MW)</t>
  </si>
  <si>
    <t xml:space="preserve">Performance </t>
  </si>
  <si>
    <t>Table 9a</t>
  </si>
  <si>
    <t>Table 9b</t>
  </si>
  <si>
    <t>Table 11a</t>
  </si>
  <si>
    <t>Table 11b</t>
  </si>
  <si>
    <t xml:space="preserve">Figure 1a: Actual and forecast expenditure vs NGET TO forecast allowance </t>
  </si>
  <si>
    <t xml:space="preserve">Figure 3a: Actual and forecast expenditure vs SHET forecast allowance </t>
  </si>
  <si>
    <t>NOTE:</t>
  </si>
  <si>
    <t>Load related: £65m per annum (2009-10 prices)</t>
  </si>
  <si>
    <t>Non-load related: £175m per annum (2009-10 prices)</t>
  </si>
  <si>
    <t>Performance £m (a-b)</t>
  </si>
  <si>
    <t>Performance %</t>
  </si>
  <si>
    <t>CHECK</t>
  </si>
  <si>
    <t>09-10 prices</t>
  </si>
  <si>
    <t>Load related: £23.7m per annum (2009-10 prices)</t>
  </si>
  <si>
    <t xml:space="preserve">This value has beem allocated equally across the final two years of T1. </t>
  </si>
  <si>
    <t>This value has beem allocated equally across the final two years of T1.</t>
  </si>
  <si>
    <t>Figure 1b: Actual and forecast expenditure vs NGET TO forecast allowance (Pre true-up. Impact of MPR included. Impact of voluntary deferral excluded)</t>
  </si>
  <si>
    <t>Figure 3b: Actual and forecast expenditure vs SHET forecast allowance (Pre true-up. Impact of 'hand back' included)</t>
  </si>
  <si>
    <r>
      <t xml:space="preserve">Current RIIO-ET1 company forecast </t>
    </r>
    <r>
      <rPr>
        <i/>
        <sz val="8"/>
        <color rgb="FF000000"/>
        <rFont val="Verdana"/>
        <family val="2"/>
      </rPr>
      <t>(the figures reflect a RIIO-T1 pre-true up position in respect of excluded services)</t>
    </r>
    <r>
      <rPr>
        <b/>
        <vertAlign val="superscript"/>
        <sz val="8"/>
        <color theme="1"/>
        <rFont val="Verdana"/>
        <family val="2"/>
      </rPr>
      <t xml:space="preserve"> </t>
    </r>
    <r>
      <rPr>
        <b/>
        <vertAlign val="superscript"/>
        <sz val="9"/>
        <color theme="1"/>
        <rFont val="Verdana"/>
        <family val="2"/>
      </rPr>
      <t>†</t>
    </r>
  </si>
  <si>
    <t>The figures reflect a RIIO-T1 pre-true up position in respect of excluded services</t>
  </si>
  <si>
    <r>
      <t xml:space="preserve">Current RIIO-ET1 company forecast </t>
    </r>
    <r>
      <rPr>
        <i/>
        <sz val="8"/>
        <color rgb="FF000000"/>
        <rFont val="Verdana"/>
        <family val="2"/>
      </rPr>
      <t>(including an adjustment for the RIIO-T1 forecast excluded services true-up)</t>
    </r>
  </si>
  <si>
    <t>Table 8a: TO view of totex expenditure vs adjusted allowed totex (£m)</t>
  </si>
  <si>
    <t>Final Proposals define that there will be a ‘true-up’ of the pre-construction allowances associated with specific Strategic Wider Works projects to the level of actual expenditure incurrred at the end of RIIO-T1.
The true up is faciliated through paragraph 17 of Special condition 3L of the transmission licence ("Pre-construction Engineering Outputs for prospective Strategic Wider Works"), which  sets out an ability to adjust baseline expenditure in the event that the licensee does not deliver or only partially delivers a 'named' Output (captured in table 1 of the condition). This means that potential non-delivery of the prescribed Outputs, and the associated level of allowed expenditure, will be further considered as part of the RIIO-ET1 ‘close out’ process.</t>
  </si>
  <si>
    <t>For the avoidance of doubt, the approach applied in our “true-up” assessment is a snapshot based on current information and is not a conclusion on the form and scope of the end of period reconciliation. Separate discussions will continue with the network companies on the parameters to be applied at the end of the T1 period.</t>
  </si>
  <si>
    <t>The agreed value of NGET's voluntary deferral is £480m (2009/10 prices)</t>
  </si>
  <si>
    <t>The agreed value of SHET's 'hand back' is £47.5m (2009/10 prices)</t>
  </si>
  <si>
    <t>of a Green Economy Fund (GEF) to enable uptake of low carbon technology.</t>
  </si>
  <si>
    <t xml:space="preserve">Figure 2a: Actual and forecast expenditure vs SPT forecast allowance </t>
  </si>
  <si>
    <t>Figure 2b: Actual and forecast expenditure vs SPT forecast allowance (Impact of GEF removed)</t>
  </si>
  <si>
    <t>Figure 2b: Actual and forecast expenditure vs SPT forecast allowance (impact of GEF removed)</t>
  </si>
  <si>
    <t>NGET</t>
  </si>
  <si>
    <t>SPT target 225MWh</t>
  </si>
  <si>
    <t>SHET target 120 MWh</t>
  </si>
  <si>
    <t>NGET TO target 316 MWh</t>
  </si>
  <si>
    <r>
      <t>Table 4: SF</t>
    </r>
    <r>
      <rPr>
        <b/>
        <vertAlign val="subscript"/>
        <sz val="10"/>
        <color theme="1"/>
        <rFont val="Verdana"/>
        <family val="2"/>
      </rPr>
      <t>6</t>
    </r>
    <r>
      <rPr>
        <b/>
        <sz val="10"/>
        <color theme="1"/>
        <rFont val="Verdana"/>
        <family val="2"/>
      </rPr>
      <t xml:space="preserve"> performance, difference from annual target</t>
    </r>
  </si>
  <si>
    <t>Table 2a: Performance Scores for the SSO Survey</t>
  </si>
  <si>
    <t>Table 2b: Performance Scores for the Customer survey (NGET only)</t>
  </si>
  <si>
    <t xml:space="preserve">Ofgem Panel  </t>
  </si>
  <si>
    <t xml:space="preserve">Stakeholder Survey Scores </t>
  </si>
  <si>
    <t>Customer Survey Scores (NGET only)</t>
  </si>
  <si>
    <t xml:space="preserve">NGET  </t>
  </si>
  <si>
    <t xml:space="preserve">5/10 </t>
  </si>
  <si>
    <t>69/100</t>
  </si>
  <si>
    <t>89/100</t>
  </si>
  <si>
    <t>7.4/10</t>
  </si>
  <si>
    <t>6.9/10</t>
  </si>
  <si>
    <t>% Diff</t>
  </si>
  <si>
    <t>Diff kg</t>
  </si>
  <si>
    <t>Actual leakage kg</t>
  </si>
  <si>
    <t>Target kg</t>
  </si>
  <si>
    <t>TOTAL RRP18</t>
  </si>
  <si>
    <t>TOTAL RRP19</t>
  </si>
  <si>
    <t>kg</t>
  </si>
  <si>
    <r>
      <t>·</t>
    </r>
    <r>
      <rPr>
        <b/>
        <sz val="7"/>
        <color rgb="FF000000"/>
        <rFont val="Times New Roman"/>
        <family val="1"/>
      </rPr>
      <t xml:space="preserve">         </t>
    </r>
    <r>
      <rPr>
        <b/>
        <sz val="9"/>
        <color rgb="FF000000"/>
        <rFont val="Verdana"/>
        <family val="2"/>
      </rPr>
      <t>Baseline target: 72 SGT</t>
    </r>
  </si>
  <si>
    <r>
      <t>·</t>
    </r>
    <r>
      <rPr>
        <b/>
        <sz val="7"/>
        <color rgb="FF000000"/>
        <rFont val="Times New Roman"/>
        <family val="1"/>
      </rPr>
      <t xml:space="preserve">         </t>
    </r>
    <r>
      <rPr>
        <b/>
        <sz val="9"/>
        <color rgb="FF000000"/>
        <rFont val="Verdana"/>
        <family val="2"/>
      </rPr>
      <t>Baseline target of 23GW</t>
    </r>
  </si>
  <si>
    <r>
      <t>·</t>
    </r>
    <r>
      <rPr>
        <b/>
        <sz val="7"/>
        <color rgb="FF000000"/>
        <rFont val="Times New Roman"/>
        <family val="1"/>
      </rPr>
      <t xml:space="preserve">         </t>
    </r>
    <r>
      <rPr>
        <b/>
        <sz val="9"/>
        <color rgb="FF000000"/>
        <rFont val="Verdana"/>
        <family val="2"/>
      </rPr>
      <t>Baseline threshold: 2,503MW</t>
    </r>
  </si>
  <si>
    <r>
      <t>·</t>
    </r>
    <r>
      <rPr>
        <b/>
        <sz val="7"/>
        <color rgb="FF000000"/>
        <rFont val="Times New Roman"/>
        <family val="1"/>
      </rPr>
      <t xml:space="preserve">         </t>
    </r>
    <r>
      <rPr>
        <b/>
        <sz val="9"/>
        <color rgb="FF000000"/>
        <rFont val="Verdana"/>
        <family val="2"/>
      </rPr>
      <t>Baseline threshold: 1,073MVa</t>
    </r>
  </si>
  <si>
    <r>
      <t>·</t>
    </r>
    <r>
      <rPr>
        <b/>
        <sz val="7"/>
        <color rgb="FF000000"/>
        <rFont val="Times New Roman"/>
        <family val="1"/>
      </rPr>
      <t xml:space="preserve">         </t>
    </r>
    <r>
      <rPr>
        <b/>
        <sz val="9"/>
        <color rgb="FF000000"/>
        <rFont val="Verdana"/>
        <family val="2"/>
      </rPr>
      <t>Baseline threshold: 1,168MW</t>
    </r>
  </si>
  <si>
    <r>
      <t>·</t>
    </r>
    <r>
      <rPr>
        <b/>
        <sz val="7"/>
        <color rgb="FF000000"/>
        <rFont val="Times New Roman"/>
        <family val="1"/>
      </rPr>
      <t xml:space="preserve">         </t>
    </r>
    <r>
      <rPr>
        <b/>
        <sz val="9"/>
        <color rgb="FF000000"/>
        <rFont val="Verdana"/>
        <family val="2"/>
      </rPr>
      <t>Baseline threshold: 1,006MVa</t>
    </r>
  </si>
  <si>
    <r>
      <t>·    Baseline target</t>
    </r>
    <r>
      <rPr>
        <b/>
        <i/>
        <sz val="9"/>
        <color rgb="FF000000"/>
        <rFont val="Verdana"/>
        <family val="2"/>
      </rPr>
      <t xml:space="preserve">: </t>
    </r>
    <r>
      <rPr>
        <b/>
        <sz val="9"/>
        <color rgb="FF000000"/>
        <rFont val="Verdana"/>
        <family val="2"/>
      </rPr>
      <t>33.7 GW[8]</t>
    </r>
  </si>
  <si>
    <t>Table 8b: TO view of totex expenditure vs adjusted allowed totex to date (£m)</t>
  </si>
  <si>
    <t>Table 8c: TO view of totex expenditure vs adjusted allowed totex (£m). Post true-up of excluded services</t>
  </si>
  <si>
    <r>
      <t xml:space="preserve">Current RIIO-ET1 Load Related forecast performance </t>
    </r>
    <r>
      <rPr>
        <i/>
        <sz val="8"/>
        <color rgb="FF000000"/>
        <rFont val="Verdana"/>
        <family val="2"/>
      </rPr>
      <t/>
    </r>
  </si>
  <si>
    <r>
      <t xml:space="preserve">Current RIIO-ET1 Non-Load Related forecast performance </t>
    </r>
    <r>
      <rPr>
        <i/>
        <sz val="8"/>
        <color rgb="FF000000"/>
        <rFont val="Verdana"/>
        <family val="2"/>
      </rPr>
      <t/>
    </r>
  </si>
  <si>
    <r>
      <t xml:space="preserve">Current RIIO-ET1 Non-op capex forecast performance </t>
    </r>
    <r>
      <rPr>
        <i/>
        <sz val="8"/>
        <color rgb="FF000000"/>
        <rFont val="Verdana"/>
        <family val="2"/>
      </rPr>
      <t/>
    </r>
  </si>
  <si>
    <t>CAPEX CATEGORY SUMMARY of tables 9a, 10a and 11a</t>
  </si>
  <si>
    <t>RIIO-ET1 operational RoRE</t>
  </si>
  <si>
    <t>Financing and tax performance</t>
  </si>
  <si>
    <t>Total RoRE</t>
  </si>
  <si>
    <t>To show the full value the regulated company has earnt during the price control period, adjustments for allowances that are not related to T1 performance and known "true-ups" that will impact T1 performance will be further considered as part of the ‘close out’ process at the end of the price control period.  
The original business plan included forecasts of the contributions expected to be received from customers with connections to single users ("excluded services"). The net expenditure for these connections is funded directly by the customer and any income received by the TO is not treated as part of the allowed revenue permitted to be recovered through network charges. Final Proposals clarified that the position on excluded services would be “trued up” at the end of T1.  For the purposes of this reporting summary the true-up requirement includes sole use entry and sole use exit connection revenues and costs. The “true up” reflects the removal of actual “excluded services” income from total allowed revenue, and the expectation that the monies received by TOs through customer contributions will be paid back.</t>
  </si>
  <si>
    <t>Revenue (£ Real customer bill per typical domestic consumer)</t>
  </si>
  <si>
    <t>Year Beginning</t>
  </si>
  <si>
    <t> GB average</t>
  </si>
  <si>
    <t>Region</t>
  </si>
  <si>
    <t>Licensee</t>
  </si>
  <si>
    <t>North West</t>
  </si>
  <si>
    <t>ENWL</t>
  </si>
  <si>
    <t>North East</t>
  </si>
  <si>
    <t>NPgN</t>
  </si>
  <si>
    <t>Yorkshire</t>
  </si>
  <si>
    <t>NPgY</t>
  </si>
  <si>
    <t>Midlands</t>
  </si>
  <si>
    <t>WMID</t>
  </si>
  <si>
    <t>East Midlands</t>
  </si>
  <si>
    <t>EMID</t>
  </si>
  <si>
    <t>South Wales</t>
  </si>
  <si>
    <t>SWALES</t>
  </si>
  <si>
    <t>South West</t>
  </si>
  <si>
    <t>SWEST</t>
  </si>
  <si>
    <t>London</t>
  </si>
  <si>
    <t>LPN</t>
  </si>
  <si>
    <t>South East</t>
  </si>
  <si>
    <t>SPN</t>
  </si>
  <si>
    <t>East Anglia</t>
  </si>
  <si>
    <t>EPN</t>
  </si>
  <si>
    <t>South Scotland</t>
  </si>
  <si>
    <t>SPD</t>
  </si>
  <si>
    <t>Merseyside and N Wales</t>
  </si>
  <si>
    <t>SPMW</t>
  </si>
  <si>
    <t>North Scotland</t>
  </si>
  <si>
    <t>SSEH</t>
  </si>
  <si>
    <t>Southern</t>
  </si>
  <si>
    <t>SSES</t>
  </si>
  <si>
    <t>2019-20</t>
  </si>
  <si>
    <t>Table 7b: Regional estimates of typical GB consumer cost to meet allowed revenue (£ (nominal) customer bill per typical domestic consumer)</t>
  </si>
  <si>
    <t>average</t>
  </si>
  <si>
    <t>Table 8c: TO view of totex expenditure vs adjusted allowed totex (£m).  Post-true up of excluded services</t>
  </si>
  <si>
    <t>† The figures are based upon the TOs’ values. Small rounding errors may exist.</t>
  </si>
  <si>
    <t>Table 8d: TO view of totex expenditure vs adjusted allowed totex (£m).  Post-true up of excluded services. Impact of 'hand back'/voluntary deferral/GEF included</t>
  </si>
  <si>
    <t>The impact is not reflected in the values above.</t>
  </si>
  <si>
    <t>The impact of SPT's GEF and NGET's 'voluntary deferral' is included.</t>
  </si>
  <si>
    <t xml:space="preserve">SPT agreed to provide £20m through the introduction </t>
  </si>
  <si>
    <t>impact of the current forecast of customer contributions included</t>
  </si>
  <si>
    <t>Average</t>
  </si>
  <si>
    <t xml:space="preserve">Average </t>
  </si>
  <si>
    <t>Generation Connection (6F)</t>
  </si>
  <si>
    <t>Local Demand Volume Driver (6L)</t>
  </si>
  <si>
    <t>Wider Works</t>
  </si>
  <si>
    <t>% change 2017-18 vs 2018-19</t>
  </si>
  <si>
    <t>A: Price Control</t>
  </si>
  <si>
    <t>B: External Market</t>
  </si>
  <si>
    <t>C: Total Impact (A+B)</t>
  </si>
  <si>
    <t>Value engineering – this includes network analysis and regular evaluation of system requirements, as well as lean design solutions including re-use of assets where possible and optimisation of site layouts, which ensure that the scope of works and construction periods are kept to a minimum.</t>
  </si>
  <si>
    <t>Engagement with supply chain – this includes NGET's approach to contracting and procurement, including negotiation with suppliers and creation of design commonalities and economies of scale.</t>
  </si>
  <si>
    <t>Commercial – this includes customer negotiation as well as continuous challenge and review of contractual requirements to ensure optimal design solutions are achieved; and changing the commercial framework.</t>
  </si>
  <si>
    <t>A: Efficiency</t>
  </si>
  <si>
    <t xml:space="preserve">B: Circumstantial </t>
  </si>
  <si>
    <t>C: Price control effect</t>
  </si>
  <si>
    <t>D: Total Impact (A+B+C)</t>
  </si>
  <si>
    <r>
      <t xml:space="preserve">Column A: Provision in the price control settlement. </t>
    </r>
    <r>
      <rPr>
        <sz val="10"/>
        <color theme="1"/>
        <rFont val="Verdana"/>
        <family val="2"/>
      </rPr>
      <t>Assumptions made within the RIIO-ET1 settlement that have varied against the actual position.</t>
    </r>
    <r>
      <rPr>
        <b/>
        <sz val="10"/>
        <color theme="1"/>
        <rFont val="Verdana"/>
        <family val="2"/>
      </rPr>
      <t xml:space="preserve">  </t>
    </r>
  </si>
  <si>
    <r>
      <t>Column B: External factors. F</t>
    </r>
    <r>
      <rPr>
        <sz val="10"/>
        <color theme="1"/>
        <rFont val="Verdana"/>
        <family val="2"/>
      </rPr>
      <t>actors outside the control of TOs’ and unforeseeable at the time of the price control.  This includes factors such as weather and economic conditions.</t>
    </r>
  </si>
  <si>
    <r>
      <t xml:space="preserve">Column D: Provision in the price control settlement.  </t>
    </r>
    <r>
      <rPr>
        <sz val="10"/>
        <color theme="1"/>
        <rFont val="Verdana"/>
        <family val="2"/>
      </rPr>
      <t xml:space="preserve">Assumptions made within the RIIO-ET1 settlement that have varied against the actual position.  </t>
    </r>
  </si>
  <si>
    <r>
      <rPr>
        <b/>
        <sz val="10"/>
        <color theme="1"/>
        <rFont val="Verdana"/>
        <family val="2"/>
      </rPr>
      <t>Column A: Efficiency.</t>
    </r>
    <r>
      <rPr>
        <sz val="10"/>
        <color theme="1"/>
        <rFont val="Verdana"/>
        <family val="2"/>
      </rPr>
      <t xml:space="preserve"> Associated with projects that deliver outputs exactly as per with the original ‘baseline’ assumptions at a different cost (or where there have been substitutions the delivery involves like-for-like replacements).</t>
    </r>
  </si>
  <si>
    <t>Table 15</t>
  </si>
  <si>
    <r>
      <t>External factors.</t>
    </r>
    <r>
      <rPr>
        <sz val="10"/>
        <color theme="1"/>
        <rFont val="Verdana"/>
        <family val="2"/>
      </rPr>
      <t xml:space="preserve"> Factors outside the control of network companies’ and unforeseeable at the time of the price control.  This includes factors such as weather and economic conditions.</t>
    </r>
  </si>
  <si>
    <r>
      <t xml:space="preserve">Circumstantial factors. </t>
    </r>
    <r>
      <rPr>
        <sz val="10"/>
        <color theme="1"/>
        <rFont val="Verdana"/>
        <family val="2"/>
      </rPr>
      <t>Associated with the delivery of outputs in line with the original ‘baseline’ assumptions but where the method of delivery differs in some regard (factors within the control of the network company).</t>
    </r>
  </si>
  <si>
    <r>
      <t xml:space="preserve">Column C: Provision in the price control settlement.  </t>
    </r>
    <r>
      <rPr>
        <sz val="10"/>
        <color theme="1"/>
        <rFont val="Verdana"/>
        <family val="2"/>
      </rPr>
      <t xml:space="preserve">Assumptions made within the RIIO-ET1 settlement that have varied against the actual position.  </t>
    </r>
  </si>
  <si>
    <t>Column B**</t>
  </si>
  <si>
    <t>* We recognise that categorising requires an element of judgement by the TO.</t>
  </si>
  <si>
    <r>
      <rPr>
        <b/>
        <sz val="10"/>
        <color theme="1"/>
        <rFont val="Verdana"/>
        <family val="2"/>
      </rPr>
      <t>Efficiency.</t>
    </r>
    <r>
      <rPr>
        <sz val="10"/>
        <color theme="1"/>
        <rFont val="Verdana"/>
        <family val="2"/>
      </rPr>
      <t xml:space="preserve"> Associated with projects that deliver outputs exactly as per with the original ‘baseline’ assumptions at a different cost (or where there have been substitutions the delivery involves like-for-like replacements).</t>
    </r>
  </si>
  <si>
    <t>Column A</t>
  </si>
  <si>
    <t>Column C</t>
  </si>
  <si>
    <t>Explanatory notes applicable to SPT's categorisation</t>
  </si>
  <si>
    <t>Explanatory notes applicable to NGET's categorisation</t>
  </si>
  <si>
    <r>
      <t xml:space="preserve">** SPT have assigned External &amp; Circumstantial factors to </t>
    </r>
    <r>
      <rPr>
        <u/>
        <sz val="10"/>
        <color theme="1"/>
        <rFont val="Verdana"/>
        <family val="2"/>
      </rPr>
      <t>Circumstantial</t>
    </r>
    <r>
      <rPr>
        <sz val="10"/>
        <color theme="1"/>
        <rFont val="Verdana"/>
        <family val="2"/>
      </rPr>
      <t xml:space="preserve"> based on the definition of External factors. </t>
    </r>
  </si>
  <si>
    <t>Explanatory notes applicable to SHET's categorisation</t>
  </si>
  <si>
    <t>2017-18 NGET forecast</t>
  </si>
  <si>
    <t>2018-19 NGET forecast</t>
  </si>
  <si>
    <t>Efficiency Examples</t>
  </si>
  <si>
    <r>
      <rPr>
        <b/>
        <sz val="10"/>
        <color theme="1"/>
        <rFont val="Verdana"/>
        <family val="2"/>
      </rPr>
      <t xml:space="preserve">Efficiencies at a project level.  </t>
    </r>
    <r>
      <rPr>
        <sz val="10"/>
        <color theme="1"/>
        <rFont val="Verdana"/>
        <family val="2"/>
      </rPr>
      <t>This combines the effects in the following categories:</t>
    </r>
  </si>
  <si>
    <t>2017-18 SPT forecast</t>
  </si>
  <si>
    <t>2018-19 SPT forecast</t>
  </si>
  <si>
    <t xml:space="preserve">Pre true-up. Negative numbers show spend greater than allowances.  </t>
  </si>
  <si>
    <t xml:space="preserve">Column B** </t>
  </si>
  <si>
    <t xml:space="preserve">Pre true-up and including voluntary deferral. Negative numbers show spend greater than allowances.  </t>
  </si>
  <si>
    <r>
      <t>** Ofgem have assigned External &amp; Circumstantial factors to Column B "</t>
    </r>
    <r>
      <rPr>
        <u/>
        <sz val="10"/>
        <color theme="1"/>
        <rFont val="Verdana"/>
        <family val="2"/>
      </rPr>
      <t>Circumstantial</t>
    </r>
    <r>
      <rPr>
        <sz val="10"/>
        <color theme="1"/>
        <rFont val="Verdana"/>
        <family val="2"/>
      </rPr>
      <t xml:space="preserve">" to be consistent with SPT's presentation.  Where SHET have split values across category A (efficiency) and category D (price control provision), we have applied a 50% allocation method beween each category. </t>
    </r>
  </si>
  <si>
    <t>RRP18 spend</t>
  </si>
  <si>
    <t>RRP18 adjusted allow</t>
  </si>
  <si>
    <t>Source: RRP18 T2.4 (converted to 18-19 prices)</t>
  </si>
  <si>
    <t>† pre true up of excluded services; small rounding errors may exist</t>
  </si>
  <si>
    <t>Table 13: NGET load-related driven efficiencies across the RIIO-ET1 period</t>
  </si>
  <si>
    <t>Table 14: SPT load-related driven efficiencies across the RIIO-ET1 period</t>
  </si>
  <si>
    <t>Table 15: SHET load-related driven efficiencies across the RIIO-ET1 period</t>
  </si>
  <si>
    <t>NGET load-related driven efficiencies across the RIIO-ET1 period*</t>
  </si>
  <si>
    <t>Table 13</t>
  </si>
  <si>
    <t>SPT load-related driven efficiencies across the RIIO-ET1 period*</t>
  </si>
  <si>
    <t>Table 14</t>
  </si>
  <si>
    <t>SHET load-related driven efficiencies across the RIIO-ET1 period*</t>
  </si>
  <si>
    <t>Table 17</t>
  </si>
  <si>
    <t xml:space="preserve">SHET excluded services true-up, including RPEs </t>
  </si>
  <si>
    <t>Table 18</t>
  </si>
  <si>
    <t>Table 19</t>
  </si>
  <si>
    <t>Table 20</t>
  </si>
  <si>
    <r>
      <t>SPT excluded services true-up, including RPEs</t>
    </r>
    <r>
      <rPr>
        <b/>
        <sz val="9"/>
        <color rgb="FFFF0000"/>
        <rFont val="Calibri"/>
        <family val="2"/>
      </rPr>
      <t xml:space="preserve"> </t>
    </r>
  </si>
  <si>
    <r>
      <t>NGET TO excluded services true-up, including RPEs</t>
    </r>
    <r>
      <rPr>
        <b/>
        <sz val="9"/>
        <color rgb="FFFF0000"/>
        <rFont val="Calibri"/>
        <family val="2"/>
      </rPr>
      <t xml:space="preserve"> </t>
    </r>
  </si>
  <si>
    <t xml:space="preserve">Table 21 </t>
  </si>
  <si>
    <t>Table 22</t>
  </si>
  <si>
    <t>Table 23</t>
  </si>
  <si>
    <r>
      <t>Special Condition 3L true-up, including RPEs</t>
    </r>
    <r>
      <rPr>
        <b/>
        <sz val="9"/>
        <rFont val="Calibri"/>
        <family val="2"/>
      </rPr>
      <t xml:space="preserve"> </t>
    </r>
    <r>
      <rPr>
        <b/>
        <sz val="10"/>
        <rFont val="Verdana"/>
        <family val="2"/>
      </rPr>
      <t>(SPT)</t>
    </r>
  </si>
  <si>
    <r>
      <t>Special Condition 3L</t>
    </r>
    <r>
      <rPr>
        <b/>
        <sz val="10"/>
        <rFont val="Verdana"/>
        <family val="2"/>
      </rPr>
      <t xml:space="preserve"> true-up, including RPEs (NGET TO)</t>
    </r>
  </si>
  <si>
    <t>Special condition 3L true-up, including RPEs (SHET)</t>
  </si>
  <si>
    <r>
      <t xml:space="preserve">NGET </t>
    </r>
    <r>
      <rPr>
        <sz val="8"/>
        <color theme="1"/>
        <rFont val="Verdana"/>
        <family val="2"/>
      </rPr>
      <t>(includes ‘voluntary deferral’)</t>
    </r>
  </si>
  <si>
    <r>
      <t xml:space="preserve">SPT </t>
    </r>
    <r>
      <rPr>
        <sz val="8"/>
        <color theme="1"/>
        <rFont val="Verdana"/>
        <family val="2"/>
      </rPr>
      <t>(includes end-of-period clawback)</t>
    </r>
  </si>
  <si>
    <t>Table 12a</t>
  </si>
  <si>
    <t>Table 12b</t>
  </si>
  <si>
    <t>NGET CHECK</t>
  </si>
  <si>
    <t>SPT CHECK</t>
  </si>
  <si>
    <t>SHET CHECK</t>
  </si>
  <si>
    <t xml:space="preserve">Pre true-up and excluding 'hand back'. Spend on crossover projects included. Negative numbers show spend greater than allowances.  </t>
  </si>
  <si>
    <t>Load</t>
  </si>
  <si>
    <t>Non-Load</t>
  </si>
  <si>
    <t>RIIO-1 period</t>
  </si>
  <si>
    <t>RIIO-ET1</t>
  </si>
  <si>
    <t>RoRE based on Notional Gearing</t>
  </si>
  <si>
    <t>Allowed Equity Return + IQI</t>
  </si>
  <si>
    <t>Operational performance - Totex</t>
  </si>
  <si>
    <t>Operational performance - other</t>
  </si>
  <si>
    <t>Operational RoRE</t>
  </si>
  <si>
    <t>Total RoRE - with financing and tax</t>
  </si>
  <si>
    <t>Totex Incentive Strength Rate</t>
  </si>
  <si>
    <t>Consumer benefit</t>
  </si>
  <si>
    <t>LR allowance: hand back inlcuded</t>
  </si>
  <si>
    <t>Figure 4a: Actual and forecast expenditure vs forecast allowance: All TOs</t>
  </si>
  <si>
    <t>Figure 4b: Actual and forecast expenditure vs forecast allowance: All TOs (pre true-up, impact of 'hand back'/voluntary deferral/GEF included)</t>
  </si>
  <si>
    <t xml:space="preserve">Figure 5: Actual and forecast expenditure vs NGESO forecast allowance </t>
  </si>
  <si>
    <t xml:space="preserve">Figure 6: RoRE based on Notional Gearing – RIIO-ET1 period </t>
  </si>
  <si>
    <t>NGET TO (voluntary deferral included)</t>
  </si>
  <si>
    <t>and is reflected in the values above.</t>
  </si>
  <si>
    <t>Figure 4c: Actual and forecast expenditure vs forecast allowance: All TOs (pre true-up, impact of 'hand back'/voluntary deferral/GEF included. )</t>
  </si>
  <si>
    <t>SHET (hand back excluded)</t>
  </si>
  <si>
    <t>SHET (hand back included)</t>
  </si>
  <si>
    <r>
      <t xml:space="preserve">and is </t>
    </r>
    <r>
      <rPr>
        <b/>
        <sz val="10"/>
        <color theme="1"/>
        <rFont val="Verdana"/>
        <family val="2"/>
      </rPr>
      <t xml:space="preserve">not </t>
    </r>
    <r>
      <rPr>
        <sz val="10"/>
        <color theme="1"/>
        <rFont val="Verdana"/>
        <family val="2"/>
      </rPr>
      <t>reflected in the values above.</t>
    </r>
  </si>
  <si>
    <t>This is figure 4 in the annual report summary</t>
  </si>
  <si>
    <t>This is table 2 in the annual report summary</t>
  </si>
  <si>
    <t>This is figure 2 in the annual report summary</t>
  </si>
  <si>
    <t>This is figure 3 in the annual report summary</t>
  </si>
  <si>
    <t>This is figure 1 in the annual report summary</t>
  </si>
  <si>
    <t>This is table 1 in the annual report summary</t>
  </si>
  <si>
    <t>This is figure 5 in the annual report summary</t>
  </si>
  <si>
    <t>This is table 3 in the annual report summary</t>
  </si>
  <si>
    <t>Summary annual report reference</t>
  </si>
  <si>
    <r>
      <t xml:space="preserve">Table 2: Performance Scores for the SSO </t>
    </r>
    <r>
      <rPr>
        <b/>
        <sz val="9"/>
        <color theme="1"/>
        <rFont val="Verdana"/>
        <family val="2"/>
      </rPr>
      <t>Survey</t>
    </r>
  </si>
  <si>
    <t>Figure 1, page three</t>
  </si>
  <si>
    <t>Table 1, page four</t>
  </si>
  <si>
    <t>Figures 2 and 3, page five</t>
  </si>
  <si>
    <t>Figure 4a: Actual and forecast expenditure vs forecast allowance: All TOs (pre true up)</t>
  </si>
  <si>
    <t>Figure 3c: Actual and forecast expenditure vs SHET forecast allowance (Pre true-up. Impact of 'hand back' included)</t>
  </si>
  <si>
    <t xml:space="preserve">[7] All offers issued within licence timescales.  </t>
  </si>
  <si>
    <t>excludes hand back</t>
  </si>
  <si>
    <t>19-20</t>
  </si>
  <si>
    <t>20-21</t>
  </si>
  <si>
    <t>NOTE: The methodology chosen by Ofgem and relevant network companies have simplifying assumptions that may result in a different customer bill value</t>
  </si>
  <si>
    <t>Figure 3b: Actual and forecast expenditure vs SHET forecast allowance (pre true-up, impact of 'hand back' included)</t>
  </si>
  <si>
    <r>
      <t xml:space="preserve">NGET </t>
    </r>
    <r>
      <rPr>
        <sz val="8"/>
        <rFont val="Verdana"/>
        <family val="2"/>
      </rPr>
      <t>(excludes ‘voluntary deferral’)</t>
    </r>
  </si>
  <si>
    <r>
      <t xml:space="preserve">SPT </t>
    </r>
    <r>
      <rPr>
        <sz val="8"/>
        <rFont val="Verdana"/>
        <family val="2"/>
      </rPr>
      <t>(includes end-of-period clawback)</t>
    </r>
  </si>
  <si>
    <t>Table 10a</t>
  </si>
  <si>
    <t>Table 10b</t>
  </si>
  <si>
    <t>CAPEX CATEGORY SUMMARY of tables 9b, 10b and 11b</t>
  </si>
  <si>
    <t>Table 2, page eight</t>
  </si>
  <si>
    <t>Figure 4, page nine</t>
  </si>
  <si>
    <t>Figure 5, page fourteen</t>
  </si>
  <si>
    <t>Table 3, page fourteen</t>
  </si>
  <si>
    <t>£m, 2019-20 prices unless stated otherwise</t>
  </si>
  <si>
    <t>£m, 2019-20 prices </t>
  </si>
  <si>
    <t>To date (1 April 2013 to 31 March 2020) †</t>
  </si>
  <si>
    <t>NGET TO: T1 expenditure and T1 allowance comparison RRP19 and RRP20 (Pre true-up. Impact of MPR included. Impact of voluntary deferral included)</t>
  </si>
  <si>
    <t>£ billion, 2019-20 Prices</t>
  </si>
  <si>
    <t>TOTEX allowance (£/m) 2019/20 prices</t>
  </si>
  <si>
    <t>source T2.4 RRP20</t>
  </si>
  <si>
    <t>SPT PUBLIC FILE</t>
  </si>
  <si>
    <t>SSEN PUBLIC FILE</t>
  </si>
  <si>
    <t>NGET PUBLIC FILE pg26</t>
  </si>
  <si>
    <t>Load related allowance (£/m) 2019/20 prices</t>
  </si>
  <si>
    <t>Non-Load related allowance (£/m) 2019/20 prices</t>
  </si>
  <si>
    <t>Non-op capex related allowance (£/m) 2019/20 prices</t>
  </si>
  <si>
    <t>Controllable opex allowance (£/m) 2019/20 prices</t>
  </si>
  <si>
    <t>CAPEX allowance (£/m) 2019/20 prices</t>
  </si>
  <si>
    <t>Load expenditure (actual and forecast) (£/m) 2019/20 prices</t>
  </si>
  <si>
    <t>Non-Load expenditure (actual and forecast) (£/m) 2019/20 prices</t>
  </si>
  <si>
    <t>Non-op capex (actual and forecast) (£/m) 2019/20 prices</t>
  </si>
  <si>
    <t>Controllable opex (actual and forecast) (£/m) 2019/20 prices</t>
  </si>
  <si>
    <t>TOTEX expenditure (actual and forecast) (£/m) 2019/20 prices</t>
  </si>
  <si>
    <t>TOTEX expenditure £m 2019/20 prices</t>
  </si>
  <si>
    <t>convert 2018/19 to 2019/20 prices</t>
  </si>
  <si>
    <t>RRP19: 8 year forecast</t>
  </si>
  <si>
    <t xml:space="preserve">includes voluntary deferral allocated equally across the final two years of T1. </t>
  </si>
  <si>
    <t xml:space="preserve">includes hand back allocated equally across the final two years of T1. </t>
  </si>
  <si>
    <t>£m, 2019/20</t>
  </si>
  <si>
    <t>£m, 2019/20 prices</t>
  </si>
  <si>
    <t>2019/20 performance</t>
  </si>
  <si>
    <t>2019/20 leakage[2]</t>
  </si>
  <si>
    <t>2019/20 targets</t>
  </si>
  <si>
    <t xml:space="preserve">SHET: 99% less than 120 MWh benchmark (1.2MWh) </t>
  </si>
  <si>
    <t>NGET TO: 83% less than 316 MWh benchmark (54.4MWh)</t>
  </si>
  <si>
    <t>SPT: 99% less than 225 MWh benchmark (2MWh)</t>
  </si>
  <si>
    <t>NGET:  12,441 tCO2e. 0.4% below annual target (12,486).</t>
  </si>
  <si>
    <t>SPT:     530 tCO2e.  40% below annual target (890).</t>
  </si>
  <si>
    <t>SHET:   433 tCO2e. 12% above annual target (387).</t>
  </si>
  <si>
    <t>NGET: 8.21/10</t>
  </si>
  <si>
    <t>NGET: 8.64/10</t>
  </si>
  <si>
    <r>
      <t xml:space="preserve">Stakeholder engagement discretionary reward. 
</t>
    </r>
    <r>
      <rPr>
        <sz val="10"/>
        <color theme="1"/>
        <rFont val="Verdana"/>
        <family val="2"/>
      </rPr>
      <t xml:space="preserve">
Using the stakeholder engagement methodology[6], the financial reward for each company is shown in brackets in 2019-20 prices.</t>
    </r>
  </si>
  <si>
    <t>https://www.ofgem.gov.uk/publications-and-updates/panel-report-stakeholder-engagement-and-consumer-vulnerability-incentive-2019-20</t>
  </si>
  <si>
    <t>[6] SEI decision</t>
  </si>
  <si>
    <t>SPT:   5.94/10 (£0.74m)</t>
  </si>
  <si>
    <t>NGET: 5.91/10 (£3.14m)</t>
  </si>
  <si>
    <t>SHET: 6.55/10 (£0.9m)</t>
  </si>
  <si>
    <t>Financial reward[6]</t>
  </si>
  <si>
    <t xml:space="preserve">[8] The baseline assumed 33.7GW of generation would connect during the 8-year period, which was based on an energy outlook premised on the 2012 Gone Green scenario and NGET’s 2012 Business Plan. This value is reflected in Table 1 of  special licence condition 6F (Baseline Generation Connections Outputs and Generation Connections volume driver) </t>
  </si>
  <si>
    <t>19/20</t>
  </si>
  <si>
    <t>TOTAL RRP20</t>
  </si>
  <si>
    <t>Increase / Decrease vs RRP19</t>
  </si>
  <si>
    <r>
      <t>Table 5 - BCF in terms of tonnes of CO</t>
    </r>
    <r>
      <rPr>
        <b/>
        <vertAlign val="subscript"/>
        <sz val="10"/>
        <color theme="1"/>
        <rFont val="Verdana"/>
        <family val="2"/>
      </rPr>
      <t>2</t>
    </r>
    <r>
      <rPr>
        <b/>
        <sz val="10"/>
        <color theme="1"/>
        <rFont val="Verdana"/>
        <family val="2"/>
      </rPr>
      <t xml:space="preserve"> equivalent per licensee</t>
    </r>
  </si>
  <si>
    <t>https://www.ofgem.gov.uk/network-regulation-riio-model/current-network-price-controls-riio-1/network-innovation/electricity-network-innovation-competition</t>
  </si>
  <si>
    <t>2020 Decision</t>
  </si>
  <si>
    <t>https://www.ofgem.gov.uk/publications-and-updates/decision-2020-low-cost-networks-fund-and-network-innovation-competition-successful-delivery-reward-application</t>
  </si>
  <si>
    <t>In May 2020 we received one application for a Successful Delivery Reward for one electricity Network Innovation Competition project.</t>
  </si>
  <si>
    <t>2020-21</t>
  </si>
  <si>
    <t>Table 7a: Regional estimates of typical GB consumer cost to meet allowed revenue (£ Real (2019-20 price basis) customer bill per typical domestic consumer)</t>
  </si>
  <si>
    <t>RoRE based on Notional Gearing – RIIO-ET1 period 2019-120</t>
  </si>
  <si>
    <t xml:space="preserve">NGET TO 2019-20 </t>
  </si>
  <si>
    <t xml:space="preserve">SPT TO 2019-20 </t>
  </si>
  <si>
    <t>SHET TO 2019-20</t>
  </si>
  <si>
    <t>(£m, 19-20 prices)</t>
  </si>
  <si>
    <r>
      <t>·</t>
    </r>
    <r>
      <rPr>
        <sz val="7"/>
        <rFont val="Times New Roman"/>
        <family val="1"/>
      </rPr>
      <t xml:space="preserve">         </t>
    </r>
    <r>
      <rPr>
        <i/>
        <sz val="9"/>
        <rFont val="Verdana"/>
        <family val="2"/>
      </rPr>
      <t>Current T1 forecast: 1,950MW</t>
    </r>
    <r>
      <rPr>
        <sz val="9"/>
        <rFont val="Verdana"/>
        <family val="2"/>
      </rPr>
      <t xml:space="preserve"> (below target)</t>
    </r>
  </si>
  <si>
    <r>
      <t>·</t>
    </r>
    <r>
      <rPr>
        <sz val="7"/>
        <color rgb="FF000000"/>
        <rFont val="Times New Roman"/>
        <family val="1"/>
      </rPr>
      <t xml:space="preserve">         </t>
    </r>
    <r>
      <rPr>
        <i/>
        <sz val="9"/>
        <color rgb="FF000000"/>
        <rFont val="Verdana"/>
        <family val="2"/>
      </rPr>
      <t>Current T1 forecast: 12.41GW</t>
    </r>
    <r>
      <rPr>
        <sz val="9"/>
        <color rgb="FF000000"/>
        <rFont val="Symbol"/>
        <family val="1"/>
        <charset val="2"/>
      </rPr>
      <t xml:space="preserve"> </t>
    </r>
    <r>
      <rPr>
        <sz val="9"/>
        <color rgb="FF000000"/>
        <rFont val="Verdana"/>
        <family val="2"/>
      </rPr>
      <t>(below target)</t>
    </r>
  </si>
  <si>
    <r>
      <t>·</t>
    </r>
    <r>
      <rPr>
        <sz val="7"/>
        <color rgb="FF000000"/>
        <rFont val="Times New Roman"/>
        <family val="1"/>
      </rPr>
      <t xml:space="preserve">         </t>
    </r>
    <r>
      <rPr>
        <i/>
        <sz val="9"/>
        <color rgb="FF000000"/>
        <rFont val="Verdana"/>
        <family val="2"/>
      </rPr>
      <t>Current T1 forecast: 5.42km OHL</t>
    </r>
    <r>
      <rPr>
        <sz val="9"/>
        <color rgb="FF000000"/>
        <rFont val="Symbol"/>
        <family val="1"/>
        <charset val="2"/>
      </rPr>
      <t xml:space="preserve"> </t>
    </r>
    <r>
      <rPr>
        <sz val="9"/>
        <color rgb="FF000000"/>
        <rFont val="Verdana"/>
        <family val="2"/>
      </rPr>
      <t>(below target)</t>
    </r>
  </si>
  <si>
    <r>
      <t>·</t>
    </r>
    <r>
      <rPr>
        <sz val="7"/>
        <color rgb="FF000000"/>
        <rFont val="Times New Roman"/>
        <family val="1"/>
      </rPr>
      <t xml:space="preserve">         </t>
    </r>
    <r>
      <rPr>
        <i/>
        <sz val="9"/>
        <color rgb="FF000000"/>
        <rFont val="Verdana"/>
        <family val="2"/>
      </rPr>
      <t>Current T1 forecast: 39 SGT</t>
    </r>
    <r>
      <rPr>
        <sz val="9"/>
        <color rgb="FF000000"/>
        <rFont val="Symbol"/>
        <family val="1"/>
        <charset val="2"/>
      </rPr>
      <t xml:space="preserve"> </t>
    </r>
    <r>
      <rPr>
        <sz val="9"/>
        <color rgb="FF000000"/>
        <rFont val="Verdana"/>
        <family val="2"/>
      </rPr>
      <t>(below target)</t>
    </r>
  </si>
  <si>
    <r>
      <rPr>
        <sz val="9"/>
        <rFont val="Symbol"/>
        <family val="1"/>
        <charset val="2"/>
      </rPr>
      <t>·</t>
    </r>
    <r>
      <rPr>
        <sz val="7"/>
        <rFont val="Times New Roman"/>
        <family val="1"/>
      </rPr>
      <t xml:space="preserve">         </t>
    </r>
    <r>
      <rPr>
        <i/>
        <sz val="9"/>
        <rFont val="Verdana"/>
        <family val="2"/>
      </rPr>
      <t>Current T1 forecast: 1,398MW (above target)</t>
    </r>
  </si>
  <si>
    <r>
      <t>·</t>
    </r>
    <r>
      <rPr>
        <sz val="7"/>
        <rFont val="Times New Roman"/>
        <family val="1"/>
      </rPr>
      <t xml:space="preserve">         </t>
    </r>
    <r>
      <rPr>
        <i/>
        <sz val="9"/>
        <rFont val="Verdana"/>
        <family val="2"/>
      </rPr>
      <t>Current T1 forecast: 2,506MVa (above target)</t>
    </r>
  </si>
  <si>
    <r>
      <rPr>
        <b/>
        <sz val="8.5"/>
        <color theme="1"/>
        <rFont val="Verdana"/>
        <family val="2"/>
      </rPr>
      <t xml:space="preserve">SPT: </t>
    </r>
    <r>
      <rPr>
        <sz val="8.5"/>
        <color theme="1"/>
        <rFont val="Verdana"/>
        <family val="2"/>
      </rPr>
      <t xml:space="preserve">Three BWW outputs delivered on time. The WHVDC link is in full operational service following commercial take-over in November 2019. The Kilmarnock South scheme is the subject of a substitution.[9] </t>
    </r>
  </si>
  <si>
    <r>
      <t>NGET (TO)</t>
    </r>
    <r>
      <rPr>
        <sz val="8.5"/>
        <color rgb="FF000000"/>
        <rFont val="Verdana"/>
        <family val="2"/>
      </rPr>
      <t xml:space="preserve">: Three BWW outputs delivered on time. The WHVDC link is operational. </t>
    </r>
  </si>
  <si>
    <r>
      <rPr>
        <b/>
        <sz val="8.5"/>
        <color theme="1"/>
        <rFont val="Verdana"/>
        <family val="2"/>
      </rPr>
      <t>NGET (TO):</t>
    </r>
    <r>
      <rPr>
        <sz val="8.5"/>
        <color theme="1"/>
        <rFont val="Verdana"/>
        <family val="2"/>
      </rPr>
      <t xml:space="preserve">  Ofgem issued their final determination confirming construction allowances for the new Hinkley-Seabank overhead line. [10]</t>
    </r>
  </si>
  <si>
    <t>[10] Hinkley Seabank decision</t>
  </si>
  <si>
    <t>Forecast “true-up” value; allowance excluding RPEs</t>
  </si>
  <si>
    <t>Current view of expenditure (excl RPMs disallowed)</t>
  </si>
  <si>
    <t xml:space="preserve">Current view of expenditure </t>
  </si>
  <si>
    <t>see row 65</t>
  </si>
  <si>
    <t>19-20 prices</t>
  </si>
  <si>
    <t>RRP 20</t>
  </si>
  <si>
    <t>Difference  vs RRP19</t>
  </si>
  <si>
    <t>SPT: T1 expenditure and T1 allowance comparison RRP19 and RRP20 (Pre true-up, GEF included)</t>
  </si>
  <si>
    <r>
      <t xml:space="preserve">SHET </t>
    </r>
    <r>
      <rPr>
        <sz val="8"/>
        <rFont val="Verdana"/>
        <family val="2"/>
      </rPr>
      <t>(excludes ‘hand back’ allowance adjustment)</t>
    </r>
  </si>
  <si>
    <t xml:space="preserve">2019-20 annual report: TO view of totex expenditure vs adjusted allowed totex (£m).  </t>
  </si>
  <si>
    <r>
      <t xml:space="preserve">SHET </t>
    </r>
    <r>
      <rPr>
        <sz val="8"/>
        <rFont val="Verdana"/>
        <family val="2"/>
      </rPr>
      <t>(includes ‘hand back’ allowance adjustment )</t>
    </r>
  </si>
  <si>
    <r>
      <t xml:space="preserve">Current RIIO-ET1 company forecast </t>
    </r>
    <r>
      <rPr>
        <i/>
        <sz val="8"/>
        <color rgb="FF000000"/>
        <rFont val="Verdana"/>
        <family val="2"/>
      </rPr>
      <t>(</t>
    </r>
    <r>
      <rPr>
        <i/>
        <sz val="8"/>
        <color rgb="FFFF0000"/>
        <rFont val="Verdana"/>
        <family val="2"/>
      </rPr>
      <t>including</t>
    </r>
    <r>
      <rPr>
        <i/>
        <sz val="8"/>
        <color rgb="FF000000"/>
        <rFont val="Verdana"/>
        <family val="2"/>
      </rPr>
      <t xml:space="preserve"> an adjustment for the RIIO-T1 forecast excluded services true-up)</t>
    </r>
  </si>
  <si>
    <t xml:space="preserve">GEF expenditure is reported under ‘Other Capex’ category in the 2020RRP. </t>
  </si>
  <si>
    <t>The expenditure is spread across ET1 as follows.</t>
  </si>
  <si>
    <t>% change 2018-19 vs 2019-20</t>
  </si>
  <si>
    <t>Load-Related                                     (£m, 2019-20 prices)</t>
  </si>
  <si>
    <t>2019-20 SPT forecast</t>
  </si>
  <si>
    <t>TPWW (6J)</t>
  </si>
  <si>
    <t>DNO Volume Driver (6k)</t>
  </si>
  <si>
    <t>Undergrounding provision (6k)</t>
  </si>
  <si>
    <t>Strategic Wider Works (construction)</t>
  </si>
  <si>
    <t>Baseline Wider Works (6I)</t>
  </si>
  <si>
    <t>Non-variant</t>
  </si>
  <si>
    <t>-'</t>
  </si>
  <si>
    <t>2019-20 NGET forecast</t>
  </si>
  <si>
    <t>Strategic Wider Works (construction only)</t>
  </si>
  <si>
    <t>non-variant</t>
  </si>
  <si>
    <t>Convert 2017/18 to 2009/10</t>
  </si>
  <si>
    <t>Convert 2009/10 prices to 2017/18</t>
  </si>
  <si>
    <t>Convert 2009/10 prices to 2019/20</t>
  </si>
  <si>
    <t>n/a</t>
  </si>
  <si>
    <t>request updated file from SPT</t>
  </si>
  <si>
    <t>source: Table 2.2.2 Summary of level and driver of performance</t>
  </si>
  <si>
    <t>source: Ofgem buckets post_IRMadj 2018 (excel file)</t>
  </si>
  <si>
    <t>source: Ofgem buckets post_IRMadj 2019 (excel file)</t>
  </si>
  <si>
    <t>source: para 102 RRP18 narrative (8-year performance for price control mechanisms)</t>
  </si>
  <si>
    <t>source: para 2.39 RRP19 narrative (8-year performance for price control mechanisms)</t>
  </si>
  <si>
    <t>source: para ES27 RRP20 narrative (8-year performance for price control mechanisms)</t>
  </si>
  <si>
    <t>Difference between T8a and T8c is the estimated value of excluded services end of period "true up"</t>
  </si>
  <si>
    <t>White: no financial incentive</t>
  </si>
  <si>
    <t>Green: on target / ahead of target</t>
  </si>
  <si>
    <t>Orange: partially missing target</t>
  </si>
  <si>
    <t xml:space="preserve">Red: substantially missing target </t>
  </si>
  <si>
    <t xml:space="preserve">SPT and NGET below annual targets.  
</t>
  </si>
  <si>
    <t xml:space="preserve">
SHET above annual target [3]</t>
  </si>
  <si>
    <r>
      <t>·</t>
    </r>
    <r>
      <rPr>
        <i/>
        <sz val="7"/>
        <color rgb="FF000000"/>
        <rFont val="Times New Roman"/>
        <family val="1"/>
      </rPr>
      <t xml:space="preserve">         </t>
    </r>
    <r>
      <rPr>
        <i/>
        <sz val="9"/>
        <color rgb="FF000000"/>
        <rFont val="Verdana"/>
        <family val="2"/>
      </rPr>
      <t>Current T1 forecast: 12.559GW</t>
    </r>
    <r>
      <rPr>
        <i/>
        <sz val="9"/>
        <color rgb="FF000000"/>
        <rFont val="Symbol"/>
        <family val="1"/>
        <charset val="2"/>
      </rPr>
      <t xml:space="preserve"> (</t>
    </r>
    <r>
      <rPr>
        <i/>
        <sz val="9"/>
        <color rgb="FF000000"/>
        <rFont val="Verdana"/>
        <family val="2"/>
      </rPr>
      <t>below target)</t>
    </r>
  </si>
  <si>
    <r>
      <t>·</t>
    </r>
    <r>
      <rPr>
        <sz val="7"/>
        <color rgb="FF000000"/>
        <rFont val="Times New Roman"/>
        <family val="1"/>
      </rPr>
      <t xml:space="preserve">         </t>
    </r>
    <r>
      <rPr>
        <i/>
        <sz val="9"/>
        <color rgb="FF000000"/>
        <rFont val="Verdana"/>
        <family val="2"/>
      </rPr>
      <t>Current T1 forecast: 41.47km OHL</t>
    </r>
    <r>
      <rPr>
        <sz val="9"/>
        <color rgb="FF000000"/>
        <rFont val="Symbol"/>
        <family val="1"/>
        <charset val="2"/>
      </rPr>
      <t xml:space="preserve"> </t>
    </r>
    <r>
      <rPr>
        <sz val="9"/>
        <color rgb="FF000000"/>
        <rFont val="Verdana"/>
        <family val="2"/>
      </rPr>
      <t>(below target)</t>
    </r>
  </si>
  <si>
    <r>
      <t>·</t>
    </r>
    <r>
      <rPr>
        <i/>
        <sz val="7"/>
        <rFont val="Times New Roman"/>
        <family val="1"/>
      </rPr>
      <t xml:space="preserve">         </t>
    </r>
    <r>
      <rPr>
        <i/>
        <sz val="9"/>
        <rFont val="Verdana"/>
        <family val="2"/>
      </rPr>
      <t>Current T1 forecast: 3,561MVa</t>
    </r>
    <r>
      <rPr>
        <i/>
        <sz val="9"/>
        <rFont val="Symbol"/>
        <family val="1"/>
        <charset val="2"/>
      </rPr>
      <t xml:space="preserve"> </t>
    </r>
    <r>
      <rPr>
        <i/>
        <sz val="9"/>
        <rFont val="Verdana"/>
        <family val="2"/>
      </rPr>
      <t>(above target)</t>
    </r>
  </si>
  <si>
    <t>average to date</t>
  </si>
  <si>
    <t>Difference between T8c and T8d is the value of the SHET "hand back"</t>
  </si>
  <si>
    <t>Table 8e: TO view of totex expenditure vs adjusted allowed totex (£m).  Pre-true up of excluded services. Impact of 'hand back'/voluntary deferral/GEF included</t>
  </si>
  <si>
    <t>Difference between T8a and T8e is the value of the SHET "hand back"</t>
  </si>
  <si>
    <t>Table 8f: TO view of totex expenditure vs adjusted allowed totex (£m).  Post-true up of excluded services. Impact of 'hand back'/voluntary deferral/GEF included</t>
  </si>
  <si>
    <t>Difference between T8c and T8f is the value of the NGET's liquidated damages receipts. (£87m)</t>
  </si>
  <si>
    <t xml:space="preserve">Table 8d: TO view of totex expenditure vs adjusted allowed totex (£m).  Post-true up of excluded services. </t>
  </si>
  <si>
    <r>
      <t xml:space="preserve">SHET (hand back </t>
    </r>
    <r>
      <rPr>
        <sz val="9"/>
        <color rgb="FFFF0000"/>
        <rFont val="Verdana"/>
        <family val="2"/>
      </rPr>
      <t>included</t>
    </r>
    <r>
      <rPr>
        <sz val="9"/>
        <color rgb="FF000000"/>
        <rFont val="Verdana"/>
        <family val="2"/>
      </rPr>
      <t>)</t>
    </r>
  </si>
  <si>
    <r>
      <t xml:space="preserve">Current RIIO-ET1 company forecast </t>
    </r>
    <r>
      <rPr>
        <i/>
        <sz val="8"/>
        <color rgb="FF000000"/>
        <rFont val="Verdana"/>
        <family val="2"/>
      </rPr>
      <t>(</t>
    </r>
    <r>
      <rPr>
        <b/>
        <i/>
        <sz val="8"/>
        <color rgb="FFFF0000"/>
        <rFont val="Verdana"/>
        <family val="2"/>
      </rPr>
      <t>excluding</t>
    </r>
    <r>
      <rPr>
        <i/>
        <sz val="8"/>
        <color rgb="FF000000"/>
        <rFont val="Verdana"/>
        <family val="2"/>
      </rPr>
      <t xml:space="preserve"> an adjustment for the RIIO-T1 forecast excluded services true-up)</t>
    </r>
  </si>
  <si>
    <r>
      <t xml:space="preserve">NGET TO (voluntary deferral included </t>
    </r>
    <r>
      <rPr>
        <sz val="9"/>
        <color rgb="FFFF0000"/>
        <rFont val="Verdana"/>
        <family val="2"/>
      </rPr>
      <t>plus liquidated damages</t>
    </r>
    <r>
      <rPr>
        <sz val="9"/>
        <color rgb="FF000000"/>
        <rFont val="Verdana"/>
        <family val="2"/>
      </rPr>
      <t>)</t>
    </r>
  </si>
  <si>
    <t>[11] It was noted in prior reporting years that works would be carried out under Strategic Wider Works category for Dumfries and Galloway (DGSR), ‘East Coast’ Kincardine and East Coast HVDC.  The current forecast is that none of these will take place in the RIIO-T1 period.</t>
  </si>
  <si>
    <r>
      <t xml:space="preserve">SPT: </t>
    </r>
    <r>
      <rPr>
        <sz val="8.5"/>
        <color rgb="FF000000"/>
        <rFont val="Verdana"/>
        <family val="2"/>
      </rPr>
      <t>No approved SWW projects or potential SWW projects within RIIO-ET1.</t>
    </r>
    <r>
      <rPr>
        <b/>
        <sz val="8.5"/>
        <color rgb="FF000000"/>
        <rFont val="Verdana"/>
        <family val="2"/>
      </rPr>
      <t xml:space="preserve"> </t>
    </r>
    <r>
      <rPr>
        <sz val="8.5"/>
        <color rgb="FF000000"/>
        <rFont val="Verdana"/>
        <family val="2"/>
      </rPr>
      <t>[11]</t>
    </r>
  </si>
  <si>
    <r>
      <t xml:space="preserve">SHET: </t>
    </r>
    <r>
      <rPr>
        <sz val="8.5"/>
        <color rgb="FF000000"/>
        <rFont val="Verdana"/>
        <family val="2"/>
      </rPr>
      <t>All three approved SWW projects have been delivered.</t>
    </r>
    <r>
      <rPr>
        <b/>
        <sz val="8.5"/>
        <color rgb="FF000000"/>
        <rFont val="Verdana"/>
        <family val="2"/>
      </rPr>
      <t xml:space="preserve"> </t>
    </r>
    <r>
      <rPr>
        <sz val="8.5"/>
        <color rgb="FF000000"/>
        <rFont val="Verdana"/>
        <family val="2"/>
      </rPr>
      <t>Development wotk continues regarding SHET's SWW Needs Case submissions for Western Isles and Orkney, in conjunction with the other TO’s, for the Eastern HVDC link.</t>
    </r>
  </si>
  <si>
    <t>OPEX allowance</t>
  </si>
  <si>
    <t>LOAD expenditure</t>
  </si>
  <si>
    <t xml:space="preserve">NON LOAD expenditure </t>
  </si>
  <si>
    <t>NON-OP allowance</t>
  </si>
  <si>
    <t>NON-OP expenditure</t>
  </si>
  <si>
    <t>OPEX expenditure</t>
  </si>
  <si>
    <t>NON LOAD allowance</t>
  </si>
  <si>
    <t>LOAD allowance (inc estimated clawback)</t>
  </si>
  <si>
    <t>LOAD allowance (excl hand back)</t>
  </si>
  <si>
    <t>SHET underspend</t>
  </si>
  <si>
    <t>SPT underspend</t>
  </si>
  <si>
    <t>NGET underspend</t>
  </si>
  <si>
    <t>hand back included</t>
  </si>
  <si>
    <r>
      <t xml:space="preserve">Alongside the "voluntary deferral" of allowances (£647m in 2019-20 prices), NGET reports making a further adjustment to reflect liquidated damages receipts relating to the delayed Western HVDC link (£87m in 2019-20 prices). See page 25 of NGET's public performance report. 
</t>
    </r>
    <r>
      <rPr>
        <i/>
        <sz val="10"/>
        <color theme="1"/>
        <rFont val="Verdana"/>
        <family val="2"/>
      </rPr>
      <t xml:space="preserve">"Our overall total expenditure forecast for the RIIO T1 period is £10.08bn </t>
    </r>
    <r>
      <rPr>
        <b/>
        <i/>
        <sz val="10"/>
        <color theme="1"/>
        <rFont val="Verdana"/>
        <family val="2"/>
      </rPr>
      <t>[See cell D106]</t>
    </r>
    <r>
      <rPr>
        <i/>
        <sz val="10"/>
        <color theme="1"/>
        <rFont val="Verdana"/>
        <family val="2"/>
      </rPr>
      <t xml:space="preserve"> against forecast allowances of £12.56bn </t>
    </r>
    <r>
      <rPr>
        <b/>
        <i/>
        <sz val="10"/>
        <color theme="1"/>
        <rFont val="Verdana"/>
        <family val="2"/>
      </rPr>
      <t>[See cell C106]</t>
    </r>
    <r>
      <rPr>
        <i/>
        <sz val="10"/>
        <color theme="1"/>
        <rFont val="Verdana"/>
        <family val="2"/>
      </rPr>
      <t xml:space="preserve">. This total is a £2.48bn reduction of costs below allowances. </t>
    </r>
    <r>
      <rPr>
        <b/>
        <i/>
        <sz val="10"/>
        <color theme="1"/>
        <rFont val="Verdana"/>
        <family val="2"/>
      </rPr>
      <t>[See cell E106]</t>
    </r>
    <r>
      <rPr>
        <sz val="10"/>
        <color theme="1"/>
        <rFont val="Verdana"/>
        <family val="2"/>
      </rPr>
      <t xml:space="preserve">" 
</t>
    </r>
  </si>
  <si>
    <t>LOAD allowance (inc Vol Deferral impact)</t>
  </si>
  <si>
    <t>NON LOAD allowance (incl Vol Deferral impact)</t>
  </si>
  <si>
    <r>
      <t>Table 5 - BCF in terms of tonnes of CO</t>
    </r>
    <r>
      <rPr>
        <b/>
        <vertAlign val="subscript"/>
        <sz val="10"/>
        <color theme="1"/>
        <rFont val="Verdana"/>
        <family val="2"/>
      </rPr>
      <t>2</t>
    </r>
    <r>
      <rPr>
        <b/>
        <sz val="10"/>
        <color theme="1"/>
        <rFont val="Verdana"/>
        <family val="2"/>
      </rPr>
      <t xml:space="preserve"> equivalent per licensee in 2019-20</t>
    </r>
  </si>
  <si>
    <t>Table 9a: NGET TO: T1 expenditure and T1 allowance comparison RRP18, RRP19 and RRP20 (Pre true-up. Impact of voluntary deferral &amp; Mid Period Review included)</t>
  </si>
  <si>
    <t>Table 10b: SPT TO: T1 expenditure and T1 allowance comparison RRP18, RRP19 and RRP20 (pre true-up, GEF removed)</t>
  </si>
  <si>
    <t>Table 10a: SPT TO: T1 expenditure and T1 allowance comparison RRP18, RRP19 and RRP20 (pre true-up)</t>
  </si>
  <si>
    <t>Table 9b: NGET TO: T1 expenditure and T1 allowance comparison RRP18, RRP19 and RRP20 (Pre true-up. Impact of Mid Period Review included. Impact of voluntary deferral excluded)</t>
  </si>
  <si>
    <t>Table 11a: SHET TO: T1 expenditure and T1 allowance comparison RRP18, RRP19 and RRP20 (Pre true-up. Impact of 'hand back' excluded)</t>
  </si>
  <si>
    <t>Table 11b: SHET TO: T1 expenditure and T1 allowance comparison RRP18, RRP19 and RRP20 (Pre true-up. Impact of 'hand back' included)</t>
  </si>
  <si>
    <t xml:space="preserve">Table 12a: 2019-20 annual report: TO view of totex expenditure vs adjusted allowed totex (£m).  </t>
  </si>
  <si>
    <t xml:space="preserve">Table 12b: 2019-20 annual report: TO view of totex expenditure vs adjusted allowed totex (£m).  </t>
  </si>
  <si>
    <t xml:space="preserve">Table 16: RoRE based on Notional Gearing – RIIO-ET1 period 2019-20 </t>
  </si>
  <si>
    <t>SHET: T1 expenditure and T1 allowance comparison RRP19 and RRP20 (Pre true-up. Impact of 'hand back' excluded)</t>
  </si>
  <si>
    <r>
      <rPr>
        <b/>
        <sz val="10"/>
        <rFont val="Verdana"/>
        <family val="2"/>
      </rPr>
      <t>NGET TO: T1 expenditure and T1 allowance comparison RRP19 and RRP20 (Pre true-up. Impact of MPR included.</t>
    </r>
    <r>
      <rPr>
        <b/>
        <sz val="10"/>
        <color theme="1"/>
        <rFont val="Verdana"/>
        <family val="2"/>
      </rPr>
      <t xml:space="preserve"> Impact of volun</t>
    </r>
    <r>
      <rPr>
        <b/>
        <sz val="10"/>
        <rFont val="Verdana"/>
        <family val="2"/>
      </rPr>
      <t>tary deferral excluded</t>
    </r>
    <r>
      <rPr>
        <b/>
        <sz val="10"/>
        <color theme="1"/>
        <rFont val="Verdana"/>
        <family val="2"/>
      </rPr>
      <t>)</t>
    </r>
  </si>
  <si>
    <t>SPT: T1 expenditure and T1 allowance comparison RRP19 and RRP20 (Pre true-up.  GEF removed)</t>
  </si>
  <si>
    <t>SHET: T1 expenditure and T1 allowance comparison RRP19 and RRP20 (Pre true-up. Impact of 'hand back' included)</t>
  </si>
  <si>
    <t xml:space="preserve">[3] SHET report annual leakage rate to be above the pre-agreed annual limit (this year exceeding target by 5.1kg).  </t>
  </si>
  <si>
    <t>[5] Total BCF (tonnes per CO2 equivalent) available in table 5 on the next tab.</t>
  </si>
  <si>
    <t>SHET: 8.4/10</t>
  </si>
  <si>
    <t xml:space="preserve">SPT: </t>
  </si>
  <si>
    <t xml:space="preserve">SHET: </t>
  </si>
  <si>
    <t>NGET:</t>
  </si>
  <si>
    <t xml:space="preserve">NGET: </t>
  </si>
  <si>
    <t>Publication of decision expected shortly.</t>
  </si>
  <si>
    <t>Financial reward[4]  Not yet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</si>
</sst>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8" formatCode="&quot;£&quot;#,##0.00;[Red]\-&quot;£&quot;#,##0.00"/>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
    <numFmt numFmtId="170" formatCode="[$-809]d\ mmmm\ yyyy;@"/>
    <numFmt numFmtId="171" formatCode="0.000"/>
    <numFmt numFmtId="172" formatCode="[$$-409]#,##0.00"/>
    <numFmt numFmtId="173" formatCode="#,##0.0;[Red]\(#,##0.0\)"/>
    <numFmt numFmtId="174" formatCode="#,##0.0"/>
    <numFmt numFmtId="175" formatCode="_-* #,##0_-;\-* #,##0_-;_-* &quot;-&quot;??_-;_-@_-"/>
    <numFmt numFmtId="176" formatCode="#,##0;[Red]\(#,##0\)"/>
    <numFmt numFmtId="177" formatCode="#,##0.000"/>
    <numFmt numFmtId="178" formatCode="#,##0.0000"/>
    <numFmt numFmtId="179" formatCode="0.00000000000000"/>
    <numFmt numFmtId="180" formatCode="0.0000000000000"/>
    <numFmt numFmtId="181" formatCode="#,##0.0000000000000000"/>
    <numFmt numFmtId="182" formatCode="0.0000%"/>
    <numFmt numFmtId="183" formatCode="0.000000000%"/>
    <numFmt numFmtId="184" formatCode="0.000000000000"/>
    <numFmt numFmtId="185" formatCode="#,##0.0_);\(#,##0.0\);\-_)"/>
    <numFmt numFmtId="186" formatCode="_-* #,##0.0_-;\-* #,##0.0_-;_-* &quot;-&quot;??_-;_-@_-"/>
    <numFmt numFmtId="187" formatCode="[$-F800]dddd\,\ mmmm\ dd\,\ yyyy"/>
    <numFmt numFmtId="188" formatCode="#,##0;\(#,##0\)"/>
    <numFmt numFmtId="189" formatCode="d\-mmm\-yyyy"/>
    <numFmt numFmtId="190" formatCode="0.000000"/>
    <numFmt numFmtId="191" formatCode="#,##0.00;[Red]\-#,##0.00;\-"/>
    <numFmt numFmtId="192" formatCode="#,##0.00;[Red]#,##0.00;\-"/>
    <numFmt numFmtId="193" formatCode="#,##0.0_);[Red]\(#,##0.0\);\-"/>
    <numFmt numFmtId="194" formatCode="0.0000"/>
    <numFmt numFmtId="195" formatCode="_(* #,##0_);_(* \(#,##0\);_(* &quot;-&quot;??_);_(@_)"/>
    <numFmt numFmtId="196" formatCode="0.000%"/>
  </numFmts>
  <fonts count="159">
    <font>
      <sz val="10"/>
      <color theme="1"/>
      <name val="Verdana"/>
      <family val="2"/>
    </font>
    <font>
      <sz val="10"/>
      <color theme="1"/>
      <name val="Verdana"/>
      <family val="2"/>
    </font>
    <font>
      <b/>
      <sz val="10"/>
      <color theme="1"/>
      <name val="Verdana"/>
      <family val="2"/>
    </font>
    <font>
      <b/>
      <sz val="12"/>
      <color theme="1"/>
      <name val="Verdana"/>
      <family val="2"/>
    </font>
    <font>
      <b/>
      <sz val="10"/>
      <color rgb="FF000000"/>
      <name val="Verdana"/>
      <family val="2"/>
    </font>
    <font>
      <sz val="10"/>
      <color rgb="FF000000"/>
      <name val="Verdana"/>
      <family val="2"/>
    </font>
    <font>
      <sz val="10"/>
      <name val="Verdana"/>
      <family val="2"/>
    </font>
    <font>
      <b/>
      <sz val="20"/>
      <name val="CG Omega"/>
      <family val="2"/>
    </font>
    <font>
      <b/>
      <sz val="16"/>
      <name val="CG Omega"/>
      <family val="2"/>
    </font>
    <font>
      <b/>
      <sz val="10"/>
      <color indexed="8"/>
      <name val="CG Omega"/>
      <family val="2"/>
    </font>
    <font>
      <sz val="11"/>
      <name val="CG Omega"/>
      <family val="2"/>
    </font>
    <font>
      <b/>
      <sz val="16"/>
      <color rgb="FF3E3E3E"/>
      <name val="CG Omega"/>
      <family val="2"/>
    </font>
    <font>
      <b/>
      <sz val="10"/>
      <name val="Verdana"/>
      <family val="2"/>
    </font>
    <font>
      <b/>
      <sz val="14"/>
      <color theme="1"/>
      <name val="Gill Sans MT"/>
      <family val="2"/>
    </font>
    <font>
      <sz val="11"/>
      <name val="Verdana"/>
      <family val="2"/>
    </font>
    <font>
      <sz val="10"/>
      <color theme="1"/>
      <name val="Times New Roman"/>
      <family val="1"/>
    </font>
    <font>
      <sz val="11"/>
      <color rgb="FF000000"/>
      <name val="Calibri"/>
      <family val="2"/>
    </font>
    <font>
      <b/>
      <sz val="11"/>
      <color rgb="FF000000"/>
      <name val="Calibri"/>
      <family val="2"/>
    </font>
    <font>
      <sz val="8"/>
      <color rgb="FF000000"/>
      <name val="Verdana"/>
      <family val="2"/>
    </font>
    <font>
      <i/>
      <sz val="8"/>
      <color rgb="FF000000"/>
      <name val="Verdana"/>
      <family val="2"/>
    </font>
    <font>
      <b/>
      <sz val="8"/>
      <color rgb="FF000000"/>
      <name val="Verdana"/>
      <family val="2"/>
    </font>
    <font>
      <b/>
      <sz val="9"/>
      <color theme="1"/>
      <name val="Verdana"/>
      <family val="2"/>
    </font>
    <font>
      <sz val="10"/>
      <color indexed="8"/>
      <name val="Verdana"/>
      <family val="2"/>
    </font>
    <font>
      <b/>
      <sz val="9"/>
      <color rgb="FF000000"/>
      <name val="Verdana"/>
      <family val="2"/>
    </font>
    <font>
      <sz val="9"/>
      <color theme="1"/>
      <name val="Verdana"/>
      <family val="2"/>
    </font>
    <font>
      <u/>
      <sz val="10"/>
      <color theme="10"/>
      <name val="Verdana"/>
      <family val="2"/>
    </font>
    <font>
      <sz val="9"/>
      <color rgb="FF000000"/>
      <name val="Verdana"/>
      <family val="2"/>
    </font>
    <font>
      <sz val="11"/>
      <name val="Calibri"/>
      <family val="2"/>
      <scheme val="minor"/>
    </font>
    <font>
      <u/>
      <sz val="9"/>
      <color rgb="FF000000"/>
      <name val="Verdana"/>
      <family val="2"/>
    </font>
    <font>
      <sz val="9"/>
      <color rgb="FF000000"/>
      <name val="Symbol"/>
      <family val="1"/>
      <charset val="2"/>
    </font>
    <font>
      <sz val="7"/>
      <color rgb="FF000000"/>
      <name val="Times New Roman"/>
      <family val="1"/>
    </font>
    <font>
      <b/>
      <sz val="9"/>
      <color rgb="FF000000"/>
      <name val="Arial"/>
      <family val="2"/>
    </font>
    <font>
      <sz val="9"/>
      <color rgb="FF000000"/>
      <name val="Arial"/>
      <family val="2"/>
    </font>
    <font>
      <i/>
      <sz val="9"/>
      <color rgb="FF000000"/>
      <name val="Verdana"/>
      <family val="2"/>
    </font>
    <font>
      <sz val="8.5"/>
      <color rgb="FF000000"/>
      <name val="Verdana"/>
      <family val="2"/>
    </font>
    <font>
      <b/>
      <sz val="8.5"/>
      <color rgb="FF000000"/>
      <name val="Verdana"/>
      <family val="2"/>
    </font>
    <font>
      <sz val="9"/>
      <color rgb="FF000000"/>
      <name val="Calibri"/>
      <family val="2"/>
    </font>
    <font>
      <b/>
      <sz val="9"/>
      <color rgb="FF000000"/>
      <name val="Calibri"/>
      <family val="2"/>
    </font>
    <font>
      <i/>
      <sz val="8"/>
      <color rgb="FF000000"/>
      <name val="Calibri"/>
      <family val="2"/>
    </font>
    <font>
      <sz val="8"/>
      <color theme="1"/>
      <name val="Verdana"/>
      <family val="2"/>
    </font>
    <font>
      <b/>
      <sz val="9"/>
      <color rgb="FFFF0000"/>
      <name val="Calibri"/>
      <family val="2"/>
    </font>
    <font>
      <u/>
      <sz val="9"/>
      <color theme="1"/>
      <name val="Verdana"/>
      <family val="2"/>
    </font>
    <font>
      <b/>
      <vertAlign val="superscript"/>
      <sz val="9"/>
      <color theme="1"/>
      <name val="Verdana"/>
      <family val="2"/>
    </font>
    <font>
      <b/>
      <sz val="8"/>
      <color theme="1"/>
      <name val="Verdana"/>
      <family val="2"/>
    </font>
    <font>
      <b/>
      <vertAlign val="subscript"/>
      <sz val="10"/>
      <color theme="1"/>
      <name val="Verdana"/>
      <family val="2"/>
    </font>
    <font>
      <b/>
      <vertAlign val="superscript"/>
      <sz val="8"/>
      <color theme="1"/>
      <name val="Verdana"/>
      <family val="2"/>
    </font>
    <font>
      <i/>
      <sz val="8"/>
      <color theme="1"/>
      <name val="Verdana"/>
      <family val="2"/>
    </font>
    <font>
      <i/>
      <sz val="9"/>
      <color rgb="FF000000"/>
      <name val="Arial"/>
      <family val="2"/>
    </font>
    <font>
      <sz val="8.5"/>
      <color theme="1"/>
      <name val="Verdana"/>
      <family val="2"/>
    </font>
    <font>
      <b/>
      <sz val="8.5"/>
      <color theme="1"/>
      <name val="Verdana"/>
      <family val="2"/>
    </font>
    <font>
      <b/>
      <sz val="10"/>
      <color rgb="FFFF0000"/>
      <name val="Arial"/>
      <family val="2"/>
    </font>
    <font>
      <b/>
      <sz val="10"/>
      <color rgb="FFFF0000"/>
      <name val="Verdana"/>
      <family val="2"/>
    </font>
    <font>
      <b/>
      <sz val="8"/>
      <color theme="1"/>
      <name val="Calibri"/>
      <family val="2"/>
      <scheme val="minor"/>
    </font>
    <font>
      <b/>
      <sz val="9"/>
      <name val="Calibri"/>
      <family val="2"/>
    </font>
    <font>
      <sz val="10"/>
      <color rgb="FFFF0000"/>
      <name val="Verdana"/>
      <family val="2"/>
    </font>
    <font>
      <b/>
      <sz val="12"/>
      <color rgb="FF000000"/>
      <name val="Verdana"/>
      <family val="2"/>
    </font>
    <font>
      <b/>
      <sz val="14"/>
      <color rgb="FF000000"/>
      <name val="Verdana"/>
      <family val="2"/>
    </font>
    <font>
      <b/>
      <sz val="18"/>
      <color rgb="FF000000"/>
      <name val="Verdana"/>
      <family val="2"/>
    </font>
    <font>
      <sz val="10"/>
      <color theme="1"/>
      <name val="Symbol"/>
      <family val="1"/>
      <charset val="2"/>
    </font>
    <font>
      <i/>
      <sz val="10"/>
      <color theme="1"/>
      <name val="Verdana"/>
      <family val="2"/>
    </font>
    <font>
      <i/>
      <sz val="10"/>
      <color theme="0" tint="-0.249977111117893"/>
      <name val="Verdana"/>
      <family val="2"/>
    </font>
    <font>
      <sz val="10"/>
      <color theme="0" tint="-0.249977111117893"/>
      <name val="Verdana"/>
      <family val="2"/>
    </font>
    <font>
      <sz val="10"/>
      <color rgb="FF1F497D"/>
      <name val="Verdana"/>
      <family val="2"/>
    </font>
    <font>
      <sz val="8"/>
      <color theme="1"/>
      <name val="Calibri"/>
      <family val="2"/>
    </font>
    <font>
      <sz val="11"/>
      <color rgb="FF1F497D"/>
      <name val="Calibri"/>
      <family val="2"/>
    </font>
    <font>
      <sz val="11"/>
      <color theme="1"/>
      <name val="Calibri"/>
      <family val="2"/>
      <scheme val="minor"/>
    </font>
    <font>
      <u/>
      <sz val="11"/>
      <color indexed="12"/>
      <name val="CG Omega"/>
      <family val="2"/>
    </font>
    <font>
      <sz val="9"/>
      <color indexed="81"/>
      <name val="Tahoma"/>
      <family val="2"/>
    </font>
    <font>
      <b/>
      <sz val="9"/>
      <color indexed="81"/>
      <name val="Tahoma"/>
      <family val="2"/>
    </font>
    <font>
      <sz val="10"/>
      <color rgb="FFFF0000"/>
      <name val="Arial"/>
      <family val="2"/>
    </font>
    <font>
      <b/>
      <sz val="9"/>
      <color rgb="FF000000"/>
      <name val="Symbol"/>
      <family val="1"/>
      <charset val="2"/>
    </font>
    <font>
      <b/>
      <sz val="7"/>
      <color rgb="FF000000"/>
      <name val="Times New Roman"/>
      <family val="1"/>
    </font>
    <font>
      <b/>
      <i/>
      <sz val="9"/>
      <color rgb="FF000000"/>
      <name val="Verdana"/>
      <family val="2"/>
    </font>
    <font>
      <sz val="10"/>
      <color theme="0" tint="-0.14999847407452621"/>
      <name val="Verdana"/>
      <family val="2"/>
    </font>
    <font>
      <b/>
      <sz val="9"/>
      <color theme="1"/>
      <name val="Calibri"/>
      <family val="2"/>
      <scheme val="minor"/>
    </font>
    <font>
      <b/>
      <sz val="10"/>
      <color rgb="FF848484"/>
      <name val="Verdana"/>
      <family val="2"/>
    </font>
    <font>
      <b/>
      <sz val="9"/>
      <color rgb="FFFFFFFF"/>
      <name val="Verdana"/>
      <family val="2"/>
    </font>
    <font>
      <i/>
      <sz val="8"/>
      <color theme="1"/>
      <name val="Calibri"/>
      <family val="2"/>
      <scheme val="minor"/>
    </font>
    <font>
      <sz val="10"/>
      <color theme="0"/>
      <name val="Verdana"/>
      <family val="2"/>
    </font>
    <font>
      <sz val="10"/>
      <name val="Arial"/>
      <family val="2"/>
    </font>
    <font>
      <b/>
      <sz val="10"/>
      <color theme="1"/>
      <name val="Arial"/>
      <family val="2"/>
    </font>
    <font>
      <sz val="8"/>
      <name val="Verdana"/>
      <family val="2"/>
    </font>
    <font>
      <sz val="11"/>
      <color rgb="FF000000"/>
      <name val="Arial"/>
      <family val="2"/>
    </font>
    <font>
      <b/>
      <i/>
      <sz val="11"/>
      <color theme="3" tint="0.59999389629810485"/>
      <name val="Verdana"/>
      <family val="2"/>
    </font>
    <font>
      <u/>
      <sz val="10"/>
      <color theme="1"/>
      <name val="Verdana"/>
      <family val="2"/>
    </font>
    <font>
      <b/>
      <sz val="11"/>
      <color rgb="FF000000"/>
      <name val="Arial"/>
      <family val="2"/>
    </font>
    <font>
      <b/>
      <i/>
      <sz val="10"/>
      <color theme="3" tint="0.59999389629810485"/>
      <name val="Verdana"/>
      <family val="2"/>
    </font>
    <font>
      <sz val="10"/>
      <color theme="1"/>
      <name val="Arial"/>
      <family val="2"/>
    </font>
    <font>
      <u/>
      <sz val="9"/>
      <color indexed="81"/>
      <name val="Tahoma"/>
      <family val="2"/>
    </font>
    <font>
      <sz val="9"/>
      <color theme="0" tint="-0.14999847407452621"/>
      <name val="Verdana"/>
      <family val="2"/>
    </font>
    <font>
      <b/>
      <sz val="10"/>
      <color theme="0" tint="-0.14999847407452621"/>
      <name val="Verdana"/>
      <family val="2"/>
    </font>
    <font>
      <b/>
      <sz val="9"/>
      <color theme="0" tint="-0.14999847407452621"/>
      <name val="Calibri"/>
      <family val="2"/>
    </font>
    <font>
      <b/>
      <i/>
      <sz val="10"/>
      <color theme="1"/>
      <name val="Verdana"/>
      <family val="2"/>
    </font>
    <font>
      <b/>
      <i/>
      <sz val="10"/>
      <color theme="0" tint="-0.14999847407452621"/>
      <name val="Verdana"/>
      <family val="2"/>
    </font>
    <font>
      <sz val="8"/>
      <color theme="1"/>
      <name val="Calibri"/>
      <family val="2"/>
      <scheme val="minor"/>
    </font>
    <font>
      <i/>
      <sz val="8"/>
      <name val="Calibri"/>
      <family val="2"/>
      <scheme val="minor"/>
    </font>
    <font>
      <b/>
      <sz val="9"/>
      <name val="Verdana"/>
      <family val="2"/>
    </font>
    <font>
      <i/>
      <sz val="9"/>
      <color rgb="FF000000"/>
      <name val="Calibri"/>
      <family val="2"/>
      <scheme val="minor"/>
    </font>
    <font>
      <sz val="10"/>
      <name val="Gill Sans MT"/>
      <family val="2"/>
    </font>
    <font>
      <sz val="10"/>
      <color theme="1"/>
      <name val="Gill Sans MT"/>
      <family val="2"/>
    </font>
    <font>
      <u/>
      <sz val="10"/>
      <color theme="1"/>
      <name val="Gill Sans MT"/>
      <family val="2"/>
    </font>
    <font>
      <sz val="10"/>
      <color theme="0" tint="-4.9989318521683403E-2"/>
      <name val="Gill Sans MT"/>
      <family val="2"/>
    </font>
    <font>
      <b/>
      <sz val="10"/>
      <name val="Arial"/>
      <family val="2"/>
    </font>
    <font>
      <sz val="10"/>
      <name val="Helv"/>
      <charset val="204"/>
    </font>
    <font>
      <sz val="10"/>
      <color indexed="8"/>
      <name val="Arial"/>
      <family val="2"/>
    </font>
    <font>
      <sz val="10"/>
      <color indexed="9"/>
      <name val="Arial"/>
      <family val="2"/>
    </font>
    <font>
      <sz val="11"/>
      <color indexed="8"/>
      <name val="Calibri"/>
      <family val="2"/>
    </font>
    <font>
      <sz val="11"/>
      <color indexed="9"/>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sz val="10"/>
      <name val="MS Sans Serif"/>
      <family val="2"/>
    </font>
    <font>
      <i/>
      <sz val="10"/>
      <color indexed="18"/>
      <name val="Arial"/>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u/>
      <sz val="11"/>
      <color indexed="48"/>
      <name val="CG Omega"/>
      <family val="2"/>
    </font>
    <font>
      <sz val="11"/>
      <color indexed="17"/>
      <name val="Calibri"/>
      <family val="2"/>
    </font>
    <font>
      <b/>
      <sz val="14"/>
      <name val="Arial"/>
      <family val="2"/>
    </font>
    <font>
      <sz val="10"/>
      <color indexed="12"/>
      <name val="Arial"/>
      <family val="2"/>
    </font>
    <font>
      <sz val="8"/>
      <name val="Arial"/>
      <family val="2"/>
    </font>
    <font>
      <b/>
      <sz val="11"/>
      <color indexed="63"/>
      <name val="Calibri"/>
      <family val="2"/>
    </font>
    <font>
      <i/>
      <sz val="10"/>
      <color indexed="10"/>
      <name val="Arial"/>
      <family val="2"/>
    </font>
    <font>
      <sz val="8"/>
      <color indexed="62"/>
      <name val="Arial"/>
      <family val="2"/>
    </font>
    <font>
      <b/>
      <sz val="8"/>
      <color indexed="8"/>
      <name val="Arial"/>
      <family val="2"/>
    </font>
    <font>
      <b/>
      <sz val="8"/>
      <name val="Arial"/>
      <family val="2"/>
    </font>
    <font>
      <sz val="8"/>
      <color indexed="8"/>
      <name val="Arial"/>
      <family val="2"/>
    </font>
    <font>
      <sz val="19"/>
      <name val="Arial"/>
      <family val="2"/>
    </font>
    <font>
      <sz val="8"/>
      <color indexed="14"/>
      <name val="Arial"/>
      <family val="2"/>
    </font>
    <font>
      <b/>
      <sz val="18"/>
      <color indexed="62"/>
      <name val="Cambria"/>
      <family val="2"/>
    </font>
    <font>
      <sz val="9"/>
      <name val="NewsGoth Lt BT"/>
      <family val="2"/>
    </font>
    <font>
      <sz val="11"/>
      <color indexed="14"/>
      <name val="Calibri"/>
      <family val="2"/>
    </font>
    <font>
      <b/>
      <i/>
      <sz val="11"/>
      <color theme="1"/>
      <name val="Calibri"/>
      <family val="2"/>
      <scheme val="minor"/>
    </font>
    <font>
      <b/>
      <sz val="13"/>
      <color rgb="FFFF0000"/>
      <name val="Verdana"/>
      <family val="2"/>
    </font>
    <font>
      <sz val="10"/>
      <color theme="0" tint="-0.34998626667073579"/>
      <name val="Verdana"/>
      <family val="2"/>
    </font>
    <font>
      <sz val="12"/>
      <color theme="1"/>
      <name val="Verdana"/>
      <family val="2"/>
    </font>
    <font>
      <b/>
      <sz val="12"/>
      <color theme="1"/>
      <name val="Calibri"/>
      <family val="2"/>
      <scheme val="minor"/>
    </font>
    <font>
      <b/>
      <i/>
      <sz val="9"/>
      <color theme="1"/>
      <name val="Calibri"/>
      <family val="2"/>
      <scheme val="minor"/>
    </font>
    <font>
      <i/>
      <sz val="9"/>
      <color rgb="FF000000"/>
      <name val="Symbol"/>
      <family val="1"/>
      <charset val="2"/>
    </font>
    <font>
      <i/>
      <sz val="7"/>
      <color rgb="FF000000"/>
      <name val="Times New Roman"/>
      <family val="1"/>
    </font>
    <font>
      <sz val="9"/>
      <name val="Symbol"/>
      <family val="1"/>
      <charset val="2"/>
    </font>
    <font>
      <sz val="7"/>
      <name val="Times New Roman"/>
      <family val="1"/>
    </font>
    <font>
      <i/>
      <sz val="9"/>
      <name val="Verdana"/>
      <family val="2"/>
    </font>
    <font>
      <sz val="9"/>
      <name val="Verdana"/>
      <family val="2"/>
    </font>
    <font>
      <b/>
      <sz val="9"/>
      <color theme="1"/>
      <name val="Arial"/>
      <family val="2"/>
    </font>
    <font>
      <b/>
      <i/>
      <sz val="12"/>
      <color theme="1"/>
      <name val="Calibri"/>
      <family val="2"/>
      <scheme val="minor"/>
    </font>
    <font>
      <i/>
      <sz val="10"/>
      <name val="Verdana"/>
      <family val="2"/>
    </font>
    <font>
      <i/>
      <sz val="8"/>
      <color rgb="FFFF0000"/>
      <name val="Verdana"/>
      <family val="2"/>
    </font>
    <font>
      <sz val="11"/>
      <color theme="1"/>
      <name val="Calibri"/>
      <family val="2"/>
    </font>
    <font>
      <sz val="11"/>
      <color theme="1"/>
      <name val="Arial"/>
      <family val="2"/>
    </font>
    <font>
      <i/>
      <sz val="9"/>
      <name val="Symbol"/>
      <family val="1"/>
      <charset val="2"/>
    </font>
    <font>
      <i/>
      <sz val="7"/>
      <name val="Times New Roman"/>
      <family val="1"/>
    </font>
    <font>
      <sz val="9"/>
      <color rgb="FFFF0000"/>
      <name val="Verdana"/>
      <family val="2"/>
    </font>
    <font>
      <b/>
      <i/>
      <sz val="8"/>
      <color rgb="FFFF0000"/>
      <name val="Verdana"/>
      <family val="2"/>
    </font>
    <font>
      <u/>
      <sz val="10"/>
      <color rgb="FF0032D2"/>
      <name val="Verdana"/>
      <family val="2"/>
    </font>
    <font>
      <i/>
      <sz val="12"/>
      <color theme="1"/>
      <name val="Calibri"/>
      <family val="2"/>
      <scheme val="minor"/>
    </font>
    <font>
      <sz val="10"/>
      <color theme="0" tint="-4.9989318521683403E-2"/>
      <name val="Verdana"/>
      <family val="2"/>
    </font>
  </fonts>
  <fills count="93">
    <fill>
      <patternFill patternType="none"/>
    </fill>
    <fill>
      <patternFill patternType="gray125"/>
    </fill>
    <fill>
      <patternFill patternType="solid">
        <fgColor rgb="FFFF9900"/>
        <bgColor indexed="64"/>
      </patternFill>
    </fill>
    <fill>
      <patternFill patternType="solid">
        <fgColor indexed="9"/>
        <bgColor indexed="64"/>
      </patternFill>
    </fill>
    <fill>
      <patternFill patternType="solid">
        <fgColor theme="0"/>
        <bgColor indexed="64"/>
      </patternFill>
    </fill>
    <fill>
      <patternFill patternType="solid">
        <fgColor indexed="47"/>
        <bgColor indexed="64"/>
      </patternFill>
    </fill>
    <fill>
      <patternFill patternType="solid">
        <fgColor indexed="43"/>
        <bgColor indexed="64"/>
      </patternFill>
    </fill>
    <fill>
      <patternFill patternType="solid">
        <fgColor indexed="22"/>
        <bgColor indexed="64"/>
      </patternFill>
    </fill>
    <fill>
      <patternFill patternType="solid">
        <fgColor indexed="52"/>
        <bgColor indexed="64"/>
      </patternFill>
    </fill>
    <fill>
      <patternFill patternType="solid">
        <fgColor rgb="FFB8CCE4"/>
        <bgColor indexed="64"/>
      </patternFill>
    </fill>
    <fill>
      <patternFill patternType="solid">
        <fgColor rgb="FFFFFFFF"/>
        <bgColor indexed="64"/>
      </patternFill>
    </fill>
    <fill>
      <patternFill patternType="solid">
        <fgColor rgb="FFC2D69B"/>
        <bgColor indexed="64"/>
      </patternFill>
    </fill>
    <fill>
      <patternFill patternType="solid">
        <fgColor rgb="FFD9D9D9"/>
        <bgColor indexed="64"/>
      </patternFill>
    </fill>
    <fill>
      <patternFill patternType="solid">
        <fgColor rgb="FFBFBFBF"/>
        <bgColor indexed="64"/>
      </patternFill>
    </fill>
    <fill>
      <patternFill patternType="solid">
        <fgColor rgb="FF95B3D7"/>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1"/>
        <bgColor indexed="64"/>
      </patternFill>
    </fill>
    <fill>
      <patternFill patternType="solid">
        <fgColor rgb="FF757171"/>
        <bgColor indexed="64"/>
      </patternFill>
    </fill>
    <fill>
      <patternFill patternType="solid">
        <fgColor theme="4" tint="0.59996337778862885"/>
        <bgColor indexed="64"/>
      </patternFill>
    </fill>
    <fill>
      <patternFill patternType="solid">
        <fgColor rgb="FFFFC00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6D9F1"/>
        <bgColor indexed="64"/>
      </patternFill>
    </fill>
    <fill>
      <patternFill patternType="solid">
        <fgColor rgb="FFC4BD97"/>
        <bgColor indexed="64"/>
      </patternFill>
    </fill>
    <fill>
      <patternFill patternType="solid">
        <fgColor theme="7" tint="0.79998168889431442"/>
        <bgColor indexed="64"/>
      </patternFill>
    </fill>
    <fill>
      <patternFill patternType="solid">
        <fgColor indexed="22"/>
      </patternFill>
    </fill>
    <fill>
      <patternFill patternType="solid">
        <fgColor indexed="26"/>
        <bgColor indexed="64"/>
      </patternFill>
    </fill>
    <fill>
      <patternFill patternType="solid">
        <fgColor theme="0" tint="-0.499984740745262"/>
        <bgColor indexed="64"/>
      </patternFill>
    </fill>
    <fill>
      <patternFill patternType="solid">
        <fgColor rgb="FFC5E1FF"/>
        <bgColor indexed="64"/>
      </patternFill>
    </fill>
    <fill>
      <patternFill patternType="solid">
        <fgColor indexed="41"/>
      </patternFill>
    </fill>
    <fill>
      <patternFill patternType="solid">
        <fgColor indexed="40"/>
      </patternFill>
    </fill>
    <fill>
      <patternFill patternType="solid">
        <fgColor indexed="50"/>
      </patternFill>
    </fill>
    <fill>
      <patternFill patternType="solid">
        <fgColor indexed="35"/>
      </patternFill>
    </fill>
    <fill>
      <patternFill patternType="solid">
        <fgColor indexed="47"/>
      </patternFill>
    </fill>
    <fill>
      <patternFill patternType="solid">
        <fgColor indexed="57"/>
      </patternFill>
    </fill>
    <fill>
      <patternFill patternType="solid">
        <fgColor indexed="24"/>
      </patternFill>
    </fill>
    <fill>
      <patternFill patternType="solid">
        <fgColor indexed="54"/>
      </patternFill>
    </fill>
    <fill>
      <patternFill patternType="solid">
        <fgColor indexed="58"/>
      </patternFill>
    </fill>
    <fill>
      <patternFill patternType="solid">
        <fgColor indexed="51"/>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26"/>
      </patternFill>
    </fill>
    <fill>
      <patternFill patternType="solid">
        <fgColor indexed="51"/>
        <bgColor indexed="64"/>
      </patternFill>
    </fill>
    <fill>
      <patternFill patternType="solid">
        <fgColor indexed="42"/>
        <bgColor indexed="64"/>
      </patternFill>
    </fill>
    <fill>
      <patternFill patternType="solid">
        <fgColor indexed="27"/>
        <bgColor indexed="64"/>
      </patternFill>
    </fill>
    <fill>
      <patternFill patternType="solid">
        <fgColor indexed="43"/>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2"/>
      </patternFill>
    </fill>
    <fill>
      <patternFill patternType="solid">
        <fgColor indexed="53"/>
      </patternFill>
    </fill>
    <fill>
      <patternFill patternType="solid">
        <fgColor indexed="11"/>
      </patternFill>
    </fill>
    <fill>
      <patternFill patternType="lightUp">
        <fgColor indexed="48"/>
        <bgColor indexed="41"/>
      </patternFill>
    </fill>
    <fill>
      <patternFill patternType="solid">
        <fgColor indexed="23"/>
      </patternFill>
    </fill>
    <fill>
      <patternFill patternType="solid">
        <fgColor indexed="44"/>
      </patternFill>
    </fill>
    <fill>
      <patternFill patternType="solid">
        <fgColor indexed="9"/>
      </patternFill>
    </fill>
    <fill>
      <patternFill patternType="solid">
        <fgColor indexed="15"/>
      </patternFill>
    </fill>
    <fill>
      <patternFill patternType="solid">
        <fgColor indexed="20"/>
      </patternFill>
    </fill>
    <fill>
      <patternFill patternType="solid">
        <fgColor indexed="58"/>
        <bgColor indexed="64"/>
      </patternFill>
    </fill>
    <fill>
      <patternFill patternType="solid">
        <fgColor rgb="FFFF0000"/>
        <bgColor indexed="64"/>
      </patternFill>
    </fill>
    <fill>
      <patternFill patternType="solid">
        <fgColor rgb="FFFABF8F"/>
        <bgColor indexed="64"/>
      </patternFill>
    </fill>
    <fill>
      <patternFill patternType="solid">
        <fgColor rgb="FFD99594"/>
        <bgColor indexed="64"/>
      </patternFill>
    </fill>
    <fill>
      <patternFill patternType="solid">
        <fgColor theme="9" tint="0.39997558519241921"/>
        <bgColor indexed="64"/>
      </patternFill>
    </fill>
    <fill>
      <patternFill patternType="solid">
        <fgColor rgb="FFDCE6F1"/>
        <bgColor indexed="64"/>
      </patternFill>
    </fill>
  </fills>
  <borders count="13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style="thick">
        <color rgb="FF000000"/>
      </top>
      <bottom style="medium">
        <color rgb="FF000000"/>
      </bottom>
      <diagonal/>
    </border>
    <border>
      <left/>
      <right style="dotted">
        <color indexed="64"/>
      </right>
      <top/>
      <bottom/>
      <diagonal/>
    </border>
    <border>
      <left/>
      <right style="medium">
        <color indexed="64"/>
      </right>
      <top/>
      <bottom/>
      <diagonal/>
    </border>
    <border>
      <left style="thin">
        <color auto="1"/>
      </left>
      <right/>
      <top style="thin">
        <color auto="1"/>
      </top>
      <bottom style="thin">
        <color auto="1"/>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thick">
        <color rgb="FF000000"/>
      </bottom>
      <diagonal/>
    </border>
    <border>
      <left style="medium">
        <color rgb="FF000000"/>
      </left>
      <right/>
      <top style="thick">
        <color rgb="FF000000"/>
      </top>
      <bottom/>
      <diagonal/>
    </border>
    <border>
      <left/>
      <right/>
      <top style="thick">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right/>
      <top style="medium">
        <color rgb="FF000000"/>
      </top>
      <bottom/>
      <diagonal/>
    </border>
    <border>
      <left style="dotted">
        <color indexed="64"/>
      </left>
      <right/>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hair">
        <color indexed="22"/>
      </top>
      <bottom/>
      <diagonal/>
    </border>
    <border>
      <left/>
      <right/>
      <top style="thin">
        <color indexed="48"/>
      </top>
      <bottom style="double">
        <color indexed="48"/>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18"/>
      </left>
      <right style="thin">
        <color indexed="18"/>
      </right>
      <top style="thin">
        <color indexed="18"/>
      </top>
      <bottom style="thin">
        <color indexed="18"/>
      </bottom>
      <diagonal/>
    </border>
    <border>
      <left/>
      <right/>
      <top style="thin">
        <color indexed="64"/>
      </top>
      <bottom/>
      <diagonal/>
    </border>
    <border>
      <left/>
      <right/>
      <top style="thin">
        <color auto="1"/>
      </top>
      <bottom style="thin">
        <color auto="1"/>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64"/>
      </top>
      <bottom/>
      <diagonal/>
    </border>
    <border>
      <left/>
      <right/>
      <top style="thin">
        <color indexed="48"/>
      </top>
      <bottom style="double">
        <color indexed="48"/>
      </bottom>
      <diagonal/>
    </border>
    <border>
      <left/>
      <right/>
      <top style="thin">
        <color auto="1"/>
      </top>
      <bottom style="thin">
        <color auto="1"/>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64"/>
      </top>
      <bottom/>
      <diagonal/>
    </border>
    <border>
      <left/>
      <right/>
      <top style="thin">
        <color indexed="48"/>
      </top>
      <bottom style="double">
        <color indexed="48"/>
      </bottom>
      <diagonal/>
    </border>
    <border>
      <left/>
      <right/>
      <top style="thin">
        <color auto="1"/>
      </top>
      <bottom style="thin">
        <color auto="1"/>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64"/>
      </top>
      <bottom/>
      <diagonal/>
    </border>
    <border>
      <left/>
      <right/>
      <top style="thin">
        <color indexed="48"/>
      </top>
      <bottom style="double">
        <color indexed="48"/>
      </bottom>
      <diagonal/>
    </border>
    <border>
      <left/>
      <right/>
      <top style="thin">
        <color auto="1"/>
      </top>
      <bottom style="thin">
        <color auto="1"/>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54"/>
      </left>
      <right/>
      <top style="thin">
        <color indexed="54"/>
      </top>
      <bottom/>
      <diagonal/>
    </border>
    <border>
      <left/>
      <right/>
      <top style="thin">
        <color indexed="64"/>
      </top>
      <bottom/>
      <diagonal/>
    </border>
    <border>
      <left/>
      <right/>
      <top style="thin">
        <color indexed="48"/>
      </top>
      <bottom style="double">
        <color indexed="48"/>
      </bottom>
      <diagonal/>
    </border>
    <border>
      <left/>
      <right/>
      <top style="thin">
        <color indexed="64"/>
      </top>
      <bottom/>
      <diagonal/>
    </border>
    <border>
      <left/>
      <right/>
      <top style="thin">
        <color auto="1"/>
      </top>
      <bottom style="thin">
        <color auto="1"/>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48"/>
      </top>
      <bottom style="double">
        <color indexed="48"/>
      </bottom>
      <diagonal/>
    </border>
    <border>
      <left style="thin">
        <color indexed="18"/>
      </left>
      <right style="thin">
        <color indexed="18"/>
      </right>
      <top style="thin">
        <color indexed="18"/>
      </top>
      <bottom style="thin">
        <color indexed="18"/>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48"/>
      </top>
      <bottom style="double">
        <color indexed="48"/>
      </bottom>
      <diagonal/>
    </border>
    <border>
      <left/>
      <right/>
      <top style="thin">
        <color auto="1"/>
      </top>
      <bottom style="thin">
        <color auto="1"/>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64"/>
      </top>
      <bottom/>
      <diagonal/>
    </border>
    <border>
      <left/>
      <right/>
      <top style="thin">
        <color indexed="48"/>
      </top>
      <bottom style="double">
        <color indexed="48"/>
      </bottom>
      <diagonal/>
    </border>
    <border>
      <left/>
      <right/>
      <top style="thin">
        <color auto="1"/>
      </top>
      <bottom style="thin">
        <color auto="1"/>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48"/>
      </top>
      <bottom style="double">
        <color indexed="48"/>
      </bottom>
      <diagonal/>
    </border>
  </borders>
  <cellStyleXfs count="2734">
    <xf numFmtId="0" fontId="0" fillId="0" borderId="0"/>
    <xf numFmtId="0" fontId="6" fillId="0" borderId="0"/>
    <xf numFmtId="0" fontId="1" fillId="0" borderId="0"/>
    <xf numFmtId="0" fontId="10" fillId="0" borderId="0"/>
    <xf numFmtId="0" fontId="10" fillId="0" borderId="0"/>
    <xf numFmtId="172" fontId="10" fillId="0" borderId="0"/>
    <xf numFmtId="172" fontId="22" fillId="0" borderId="0"/>
    <xf numFmtId="172" fontId="10" fillId="0" borderId="0"/>
    <xf numFmtId="172" fontId="1" fillId="0" borderId="0"/>
    <xf numFmtId="0" fontId="25" fillId="0" borderId="0" applyNumberForma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0" fontId="65" fillId="0" borderId="0"/>
    <xf numFmtId="172" fontId="1" fillId="0" borderId="0"/>
    <xf numFmtId="172" fontId="66" fillId="0" borderId="0" applyNumberFormat="0" applyFill="0" applyBorder="0" applyAlignment="0" applyProtection="0">
      <alignment vertical="top"/>
      <protection locked="0"/>
    </xf>
    <xf numFmtId="172" fontId="1" fillId="0" borderId="0"/>
    <xf numFmtId="172" fontId="1" fillId="0" borderId="0"/>
    <xf numFmtId="172" fontId="1" fillId="0" borderId="0"/>
    <xf numFmtId="185" fontId="100" fillId="0" borderId="0" applyFill="0" applyBorder="0">
      <alignment vertical="center"/>
    </xf>
    <xf numFmtId="185" fontId="101" fillId="33" borderId="0"/>
    <xf numFmtId="185" fontId="99" fillId="27" borderId="0"/>
    <xf numFmtId="185" fontId="98" fillId="26" borderId="0"/>
    <xf numFmtId="185" fontId="98" fillId="34" borderId="0" applyBorder="0">
      <alignment vertical="center"/>
    </xf>
    <xf numFmtId="187" fontId="122" fillId="61" borderId="82" applyNumberFormat="0" applyFont="0" applyAlignment="0" applyProtection="0"/>
    <xf numFmtId="10" fontId="99" fillId="0" borderId="0" applyFont="0" applyFill="0" applyBorder="0" applyAlignment="0" applyProtection="0">
      <alignment vertical="center"/>
    </xf>
    <xf numFmtId="0" fontId="1" fillId="0" borderId="0"/>
    <xf numFmtId="167" fontId="1" fillId="0" borderId="0" applyFont="0" applyFill="0" applyBorder="0" applyAlignment="0" applyProtection="0"/>
    <xf numFmtId="0" fontId="1" fillId="0" borderId="0"/>
    <xf numFmtId="9" fontId="1" fillId="0" borderId="0" applyFont="0" applyFill="0" applyBorder="0" applyAlignment="0" applyProtection="0"/>
    <xf numFmtId="167" fontId="87" fillId="0" borderId="0" applyFont="0" applyFill="0" applyBorder="0" applyAlignment="0" applyProtection="0"/>
    <xf numFmtId="0" fontId="1" fillId="0" borderId="0"/>
    <xf numFmtId="0" fontId="10" fillId="0" borderId="0"/>
    <xf numFmtId="0" fontId="79" fillId="0" borderId="0"/>
    <xf numFmtId="0" fontId="79" fillId="0" borderId="0"/>
    <xf numFmtId="173" fontId="1" fillId="24" borderId="1">
      <alignment vertical="center"/>
    </xf>
    <xf numFmtId="0" fontId="10" fillId="0" borderId="0"/>
    <xf numFmtId="0" fontId="25" fillId="0" borderId="0" applyNumberFormat="0" applyFill="0" applyBorder="0" applyAlignment="0" applyProtection="0">
      <alignment vertical="top"/>
      <protection locked="0"/>
    </xf>
    <xf numFmtId="187" fontId="65" fillId="0" borderId="0"/>
    <xf numFmtId="187" fontId="1" fillId="0" borderId="0"/>
    <xf numFmtId="187" fontId="87" fillId="0" borderId="0"/>
    <xf numFmtId="9" fontId="87" fillId="0" borderId="0" applyFont="0" applyFill="0" applyBorder="0" applyAlignment="0" applyProtection="0"/>
    <xf numFmtId="187" fontId="79" fillId="0" borderId="0"/>
    <xf numFmtId="187" fontId="79" fillId="0" borderId="0"/>
    <xf numFmtId="187" fontId="10" fillId="0" borderId="0"/>
    <xf numFmtId="187" fontId="79" fillId="0" borderId="0"/>
    <xf numFmtId="187" fontId="10" fillId="0" borderId="0"/>
    <xf numFmtId="187" fontId="10"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10" fillId="0" borderId="0"/>
    <xf numFmtId="187" fontId="10" fillId="0" borderId="0"/>
    <xf numFmtId="187" fontId="10" fillId="0" borderId="0"/>
    <xf numFmtId="187" fontId="79" fillId="0" borderId="0"/>
    <xf numFmtId="187" fontId="10" fillId="0" borderId="0"/>
    <xf numFmtId="187" fontId="79" fillId="0" borderId="0"/>
    <xf numFmtId="187" fontId="10" fillId="0" borderId="0"/>
    <xf numFmtId="187" fontId="10" fillId="0" borderId="0"/>
    <xf numFmtId="187" fontId="10"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103" fillId="0" borderId="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79" fillId="0" borderId="0" applyFont="0" applyFill="0" applyBorder="0" applyAlignment="0" applyProtection="0"/>
    <xf numFmtId="187" fontId="103" fillId="0" borderId="0"/>
    <xf numFmtId="187" fontId="79" fillId="0" borderId="0" applyFont="0" applyFill="0" applyBorder="0" applyAlignment="0" applyProtection="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alignment vertical="center"/>
    </xf>
    <xf numFmtId="187" fontId="10" fillId="0" borderId="0"/>
    <xf numFmtId="187" fontId="10" fillId="0" borderId="0"/>
    <xf numFmtId="187" fontId="10" fillId="0" borderId="0"/>
    <xf numFmtId="187" fontId="10" fillId="0" borderId="0"/>
    <xf numFmtId="187" fontId="10" fillId="0" borderId="0"/>
    <xf numFmtId="187" fontId="10" fillId="0" borderId="0"/>
    <xf numFmtId="187" fontId="79" fillId="0" borderId="0">
      <alignment vertical="center"/>
    </xf>
    <xf numFmtId="187" fontId="79" fillId="0" borderId="0">
      <alignment vertical="center"/>
    </xf>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10" fillId="0" borderId="0"/>
    <xf numFmtId="187" fontId="10" fillId="0" borderId="0"/>
    <xf numFmtId="187" fontId="10" fillId="0" borderId="0"/>
    <xf numFmtId="187" fontId="79" fillId="0" borderId="0"/>
    <xf numFmtId="187" fontId="79" fillId="0" borderId="0"/>
    <xf numFmtId="187" fontId="79" fillId="0" borderId="0"/>
    <xf numFmtId="187" fontId="79" fillId="0" borderId="0"/>
    <xf numFmtId="187" fontId="79" fillId="0" borderId="0"/>
    <xf numFmtId="187" fontId="10" fillId="0" borderId="0"/>
    <xf numFmtId="187" fontId="10" fillId="0" borderId="0">
      <alignment vertical="justify"/>
    </xf>
    <xf numFmtId="187" fontId="104" fillId="35" borderId="0" applyNumberFormat="0" applyBorder="0" applyAlignment="0" applyProtection="0"/>
    <xf numFmtId="187" fontId="104" fillId="35" borderId="0" applyNumberFormat="0" applyBorder="0" applyAlignment="0" applyProtection="0"/>
    <xf numFmtId="187" fontId="104" fillId="36" borderId="0" applyNumberFormat="0" applyBorder="0" applyAlignment="0" applyProtection="0"/>
    <xf numFmtId="187" fontId="104" fillId="36" borderId="0" applyNumberFormat="0" applyBorder="0" applyAlignment="0" applyProtection="0"/>
    <xf numFmtId="187" fontId="104" fillId="37" borderId="0" applyNumberFormat="0" applyBorder="0" applyAlignment="0" applyProtection="0"/>
    <xf numFmtId="187" fontId="104" fillId="37" borderId="0" applyNumberFormat="0" applyBorder="0" applyAlignment="0" applyProtection="0"/>
    <xf numFmtId="187" fontId="104" fillId="38" borderId="0" applyNumberFormat="0" applyBorder="0" applyAlignment="0" applyProtection="0"/>
    <xf numFmtId="187" fontId="104" fillId="38" borderId="0" applyNumberFormat="0" applyBorder="0" applyAlignment="0" applyProtection="0"/>
    <xf numFmtId="187" fontId="104" fillId="35" borderId="0" applyNumberFormat="0" applyBorder="0" applyAlignment="0" applyProtection="0"/>
    <xf numFmtId="187" fontId="104" fillId="35" borderId="0" applyNumberFormat="0" applyBorder="0" applyAlignment="0" applyProtection="0"/>
    <xf numFmtId="187" fontId="104" fillId="39" borderId="0" applyNumberFormat="0" applyBorder="0" applyAlignment="0" applyProtection="0"/>
    <xf numFmtId="187" fontId="104" fillId="39" borderId="0" applyNumberFormat="0" applyBorder="0" applyAlignment="0" applyProtection="0"/>
    <xf numFmtId="187" fontId="104" fillId="31" borderId="0" applyNumberFormat="0" applyBorder="0" applyAlignment="0" applyProtection="0"/>
    <xf numFmtId="187" fontId="104" fillId="31" borderId="0" applyNumberFormat="0" applyBorder="0" applyAlignment="0" applyProtection="0"/>
    <xf numFmtId="187" fontId="104" fillId="36" borderId="0" applyNumberFormat="0" applyBorder="0" applyAlignment="0" applyProtection="0"/>
    <xf numFmtId="187" fontId="104" fillId="36" borderId="0" applyNumberFormat="0" applyBorder="0" applyAlignment="0" applyProtection="0"/>
    <xf numFmtId="187" fontId="104" fillId="40" borderId="0" applyNumberFormat="0" applyBorder="0" applyAlignment="0" applyProtection="0"/>
    <xf numFmtId="187" fontId="104" fillId="40" borderId="0" applyNumberFormat="0" applyBorder="0" applyAlignment="0" applyProtection="0"/>
    <xf numFmtId="187" fontId="104" fillId="41" borderId="0" applyNumberFormat="0" applyBorder="0" applyAlignment="0" applyProtection="0"/>
    <xf numFmtId="187" fontId="104" fillId="41" borderId="0" applyNumberFormat="0" applyBorder="0" applyAlignment="0" applyProtection="0"/>
    <xf numFmtId="187" fontId="104" fillId="42" borderId="0" applyNumberFormat="0" applyBorder="0" applyAlignment="0" applyProtection="0"/>
    <xf numFmtId="187" fontId="104" fillId="42" borderId="0" applyNumberFormat="0" applyBorder="0" applyAlignment="0" applyProtection="0"/>
    <xf numFmtId="187" fontId="104" fillId="39" borderId="0" applyNumberFormat="0" applyBorder="0" applyAlignment="0" applyProtection="0"/>
    <xf numFmtId="187" fontId="104" fillId="39" borderId="0" applyNumberFormat="0" applyBorder="0" applyAlignment="0" applyProtection="0"/>
    <xf numFmtId="187" fontId="105" fillId="43" borderId="0" applyNumberFormat="0" applyBorder="0" applyAlignment="0" applyProtection="0"/>
    <xf numFmtId="187" fontId="105" fillId="43" borderId="0" applyNumberFormat="0" applyBorder="0" applyAlignment="0" applyProtection="0"/>
    <xf numFmtId="187" fontId="105" fillId="36" borderId="0" applyNumberFormat="0" applyBorder="0" applyAlignment="0" applyProtection="0"/>
    <xf numFmtId="187" fontId="105" fillId="36" borderId="0" applyNumberFormat="0" applyBorder="0" applyAlignment="0" applyProtection="0"/>
    <xf numFmtId="187" fontId="105" fillId="40" borderId="0" applyNumberFormat="0" applyBorder="0" applyAlignment="0" applyProtection="0"/>
    <xf numFmtId="187" fontId="105" fillId="40" borderId="0" applyNumberFormat="0" applyBorder="0" applyAlignment="0" applyProtection="0"/>
    <xf numFmtId="187" fontId="105" fillId="41" borderId="0" applyNumberFormat="0" applyBorder="0" applyAlignment="0" applyProtection="0"/>
    <xf numFmtId="187" fontId="105" fillId="41" borderId="0" applyNumberFormat="0" applyBorder="0" applyAlignment="0" applyProtection="0"/>
    <xf numFmtId="187" fontId="105" fillId="43" borderId="0" applyNumberFormat="0" applyBorder="0" applyAlignment="0" applyProtection="0"/>
    <xf numFmtId="187" fontId="105" fillId="43" borderId="0" applyNumberFormat="0" applyBorder="0" applyAlignment="0" applyProtection="0"/>
    <xf numFmtId="187" fontId="105" fillId="44" borderId="0" applyNumberFormat="0" applyBorder="0" applyAlignment="0" applyProtection="0"/>
    <xf numFmtId="187" fontId="105" fillId="44" borderId="0" applyNumberFormat="0" applyBorder="0" applyAlignment="0" applyProtection="0"/>
    <xf numFmtId="187" fontId="106" fillId="45" borderId="0" applyNumberFormat="0" applyBorder="0" applyAlignment="0" applyProtection="0"/>
    <xf numFmtId="187" fontId="106" fillId="46" borderId="0" applyNumberFormat="0" applyBorder="0" applyAlignment="0" applyProtection="0"/>
    <xf numFmtId="187" fontId="107" fillId="47" borderId="0" applyNumberFormat="0" applyBorder="0" applyAlignment="0" applyProtection="0"/>
    <xf numFmtId="187" fontId="107" fillId="48" borderId="0" applyNumberFormat="0" applyBorder="0" applyAlignment="0" applyProtection="0"/>
    <xf numFmtId="187" fontId="107" fillId="48" borderId="0" applyNumberFormat="0" applyBorder="0" applyAlignment="0" applyProtection="0"/>
    <xf numFmtId="187" fontId="106" fillId="49" borderId="0" applyNumberFormat="0" applyBorder="0" applyAlignment="0" applyProtection="0"/>
    <xf numFmtId="187" fontId="106" fillId="50" borderId="0" applyNumberFormat="0" applyBorder="0" applyAlignment="0" applyProtection="0"/>
    <xf numFmtId="187" fontId="107" fillId="51" borderId="0" applyNumberFormat="0" applyBorder="0" applyAlignment="0" applyProtection="0"/>
    <xf numFmtId="187" fontId="107" fillId="52" borderId="0" applyNumberFormat="0" applyBorder="0" applyAlignment="0" applyProtection="0"/>
    <xf numFmtId="187" fontId="107" fillId="52" borderId="0" applyNumberFormat="0" applyBorder="0" applyAlignment="0" applyProtection="0"/>
    <xf numFmtId="187" fontId="106" fillId="53" borderId="0" applyNumberFormat="0" applyBorder="0" applyAlignment="0" applyProtection="0"/>
    <xf numFmtId="187" fontId="106" fillId="54" borderId="0" applyNumberFormat="0" applyBorder="0" applyAlignment="0" applyProtection="0"/>
    <xf numFmtId="187" fontId="107" fillId="55" borderId="0" applyNumberFormat="0" applyBorder="0" applyAlignment="0" applyProtection="0"/>
    <xf numFmtId="187" fontId="107" fillId="56" borderId="0" applyNumberFormat="0" applyBorder="0" applyAlignment="0" applyProtection="0"/>
    <xf numFmtId="187" fontId="107" fillId="56" borderId="0" applyNumberFormat="0" applyBorder="0" applyAlignment="0" applyProtection="0"/>
    <xf numFmtId="187" fontId="106" fillId="49" borderId="0" applyNumberFormat="0" applyBorder="0" applyAlignment="0" applyProtection="0"/>
    <xf numFmtId="187" fontId="106" fillId="57" borderId="0" applyNumberFormat="0" applyBorder="0" applyAlignment="0" applyProtection="0"/>
    <xf numFmtId="187" fontId="107" fillId="50" borderId="0" applyNumberFormat="0" applyBorder="0" applyAlignment="0" applyProtection="0"/>
    <xf numFmtId="187" fontId="107" fillId="58" borderId="0" applyNumberFormat="0" applyBorder="0" applyAlignment="0" applyProtection="0"/>
    <xf numFmtId="187" fontId="107" fillId="58" borderId="0" applyNumberFormat="0" applyBorder="0" applyAlignment="0" applyProtection="0"/>
    <xf numFmtId="187" fontId="106" fillId="59" borderId="0" applyNumberFormat="0" applyBorder="0" applyAlignment="0" applyProtection="0"/>
    <xf numFmtId="187" fontId="106" fillId="60" borderId="0" applyNumberFormat="0" applyBorder="0" applyAlignment="0" applyProtection="0"/>
    <xf numFmtId="187" fontId="107" fillId="47" borderId="0" applyNumberFormat="0" applyBorder="0" applyAlignment="0" applyProtection="0"/>
    <xf numFmtId="187" fontId="107" fillId="47" borderId="0" applyNumberFormat="0" applyBorder="0" applyAlignment="0" applyProtection="0"/>
    <xf numFmtId="187" fontId="107" fillId="47" borderId="0" applyNumberFormat="0" applyBorder="0" applyAlignment="0" applyProtection="0"/>
    <xf numFmtId="187" fontId="106" fillId="61" borderId="0" applyNumberFormat="0" applyBorder="0" applyAlignment="0" applyProtection="0"/>
    <xf numFmtId="187" fontId="106" fillId="62" borderId="0" applyNumberFormat="0" applyBorder="0" applyAlignment="0" applyProtection="0"/>
    <xf numFmtId="187" fontId="107" fillId="63" borderId="0" applyNumberFormat="0" applyBorder="0" applyAlignment="0" applyProtection="0"/>
    <xf numFmtId="187" fontId="107" fillId="64" borderId="0" applyNumberFormat="0" applyBorder="0" applyAlignment="0" applyProtection="0"/>
    <xf numFmtId="187" fontId="107" fillId="64" borderId="0" applyNumberFormat="0" applyBorder="0" applyAlignment="0" applyProtection="0"/>
    <xf numFmtId="187" fontId="108" fillId="61" borderId="0" applyNumberFormat="0" applyBorder="0" applyAlignment="0" applyProtection="0"/>
    <xf numFmtId="187" fontId="108" fillId="61" borderId="0" applyNumberFormat="0" applyBorder="0" applyAlignment="0" applyProtection="0"/>
    <xf numFmtId="187" fontId="109" fillId="65" borderId="47" applyNumberFormat="0" applyAlignment="0" applyProtection="0"/>
    <xf numFmtId="187" fontId="109" fillId="65" borderId="47" applyNumberFormat="0" applyAlignment="0" applyProtection="0"/>
    <xf numFmtId="187" fontId="110" fillId="58" borderId="48" applyNumberFormat="0" applyAlignment="0" applyProtection="0"/>
    <xf numFmtId="187" fontId="110" fillId="58" borderId="48" applyNumberFormat="0" applyAlignment="0" applyProtection="0"/>
    <xf numFmtId="37" fontId="102" fillId="0" borderId="21">
      <alignment horizontal="center"/>
    </xf>
    <xf numFmtId="37" fontId="102" fillId="0" borderId="0">
      <alignment horizontal="center" vertical="center" wrapText="1"/>
    </xf>
    <xf numFmtId="187" fontId="79" fillId="0" borderId="0" applyNumberFormat="0" applyFont="0" applyBorder="0" applyAlignment="0"/>
    <xf numFmtId="187" fontId="79" fillId="0" borderId="0" applyNumberFormat="0" applyFont="0" applyBorder="0" applyAlignment="0"/>
    <xf numFmtId="187" fontId="79" fillId="0" borderId="0" applyNumberFormat="0" applyFont="0" applyBorder="0" applyAlignment="0"/>
    <xf numFmtId="187" fontId="79" fillId="0" borderId="0" applyNumberFormat="0" applyFont="0" applyBorder="0" applyAlignment="0"/>
    <xf numFmtId="187" fontId="79" fillId="0" borderId="0" applyNumberFormat="0" applyFont="0" applyBorder="0" applyAlignment="0"/>
    <xf numFmtId="187" fontId="79" fillId="0" borderId="0" applyNumberFormat="0" applyFont="0" applyBorder="0" applyAlignment="0"/>
    <xf numFmtId="187" fontId="79" fillId="0" borderId="0" applyNumberFormat="0" applyFont="0" applyBorder="0" applyAlignment="0"/>
    <xf numFmtId="187" fontId="79" fillId="0" borderId="0" applyNumberFormat="0" applyFont="0" applyBorder="0" applyAlignment="0"/>
    <xf numFmtId="187" fontId="79" fillId="0" borderId="0" applyNumberFormat="0" applyFont="0" applyBorder="0" applyAlignment="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7" fontId="106"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7" fontId="106" fillId="0" borderId="0" applyFont="0" applyFill="0" applyBorder="0" applyAlignment="0" applyProtection="0"/>
    <xf numFmtId="167" fontId="79"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9" fontId="10" fillId="0" borderId="0" applyFont="0" applyFill="0" applyBorder="0" applyAlignment="0" applyProtection="0"/>
    <xf numFmtId="167" fontId="79"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106"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106" fillId="0" borderId="0" applyFont="0" applyFill="0" applyBorder="0" applyAlignment="0" applyProtection="0"/>
    <xf numFmtId="167" fontId="10" fillId="0" borderId="0" applyFont="0" applyFill="0" applyBorder="0" applyAlignment="0" applyProtection="0"/>
    <xf numFmtId="167" fontId="104"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89" fontId="79" fillId="0" borderId="0" applyFill="0" applyBorder="0"/>
    <xf numFmtId="189" fontId="79" fillId="0" borderId="0" applyFill="0" applyBorder="0"/>
    <xf numFmtId="189" fontId="79" fillId="0" borderId="0" applyFill="0" applyBorder="0"/>
    <xf numFmtId="165" fontId="79" fillId="0" borderId="0" applyFont="0" applyFill="0" applyBorder="0" applyAlignment="0" applyProtection="0"/>
    <xf numFmtId="167" fontId="79" fillId="0" borderId="0" applyFont="0" applyFill="0" applyBorder="0" applyAlignment="0" applyProtection="0"/>
    <xf numFmtId="187" fontId="111" fillId="66" borderId="0" applyNumberFormat="0" applyBorder="0" applyAlignment="0" applyProtection="0"/>
    <xf numFmtId="187" fontId="111" fillId="67" borderId="0" applyNumberFormat="0" applyBorder="0" applyAlignment="0" applyProtection="0"/>
    <xf numFmtId="187" fontId="111" fillId="68" borderId="0" applyNumberFormat="0" applyBorder="0" applyAlignment="0" applyProtection="0"/>
    <xf numFmtId="187" fontId="112" fillId="0" borderId="0" applyFont="0" applyFill="0" applyBorder="0" applyAlignment="0" applyProtection="0"/>
    <xf numFmtId="187" fontId="113" fillId="0" borderId="0" applyNumberFormat="0" applyFill="0" applyBorder="0" applyAlignment="0" applyProtection="0"/>
    <xf numFmtId="187" fontId="113" fillId="0" borderId="0" applyNumberFormat="0" applyFill="0" applyBorder="0" applyAlignment="0" applyProtection="0"/>
    <xf numFmtId="187" fontId="106" fillId="54" borderId="0" applyNumberFormat="0" applyBorder="0" applyAlignment="0" applyProtection="0"/>
    <xf numFmtId="187" fontId="106" fillId="54" borderId="0" applyNumberFormat="0" applyBorder="0" applyAlignment="0" applyProtection="0"/>
    <xf numFmtId="187" fontId="79" fillId="31" borderId="0" applyNumberFormat="0" applyFont="0" applyBorder="0" applyAlignment="0" applyProtection="0"/>
    <xf numFmtId="187" fontId="79" fillId="31" borderId="0" applyNumberFormat="0" applyFont="0" applyBorder="0" applyAlignment="0" applyProtection="0"/>
    <xf numFmtId="187" fontId="79" fillId="31" borderId="0" applyNumberFormat="0" applyFont="0" applyBorder="0" applyAlignment="0" applyProtection="0"/>
    <xf numFmtId="187" fontId="79" fillId="31" borderId="0" applyNumberFormat="0" applyFont="0" applyBorder="0" applyAlignment="0" applyProtection="0"/>
    <xf numFmtId="187" fontId="79" fillId="31" borderId="0" applyNumberFormat="0" applyFont="0" applyBorder="0" applyAlignment="0" applyProtection="0"/>
    <xf numFmtId="187" fontId="79" fillId="31" borderId="0" applyNumberFormat="0" applyFont="0" applyBorder="0" applyAlignment="0" applyProtection="0"/>
    <xf numFmtId="187" fontId="79" fillId="31" borderId="0" applyNumberFormat="0" applyFont="0" applyBorder="0" applyAlignment="0" applyProtection="0"/>
    <xf numFmtId="187" fontId="79" fillId="31" borderId="0" applyNumberFormat="0" applyFont="0" applyBorder="0" applyAlignment="0" applyProtection="0"/>
    <xf numFmtId="187" fontId="79" fillId="31" borderId="0" applyNumberFormat="0" applyFont="0" applyBorder="0" applyAlignment="0" applyProtection="0"/>
    <xf numFmtId="187" fontId="114" fillId="0" borderId="49" applyNumberFormat="0" applyFill="0" applyAlignment="0" applyProtection="0"/>
    <xf numFmtId="187" fontId="114" fillId="0" borderId="49" applyNumberFormat="0" applyFill="0" applyAlignment="0" applyProtection="0"/>
    <xf numFmtId="187" fontId="115" fillId="0" borderId="50" applyNumberFormat="0" applyFill="0" applyAlignment="0" applyProtection="0"/>
    <xf numFmtId="187" fontId="115" fillId="0" borderId="50" applyNumberFormat="0" applyFill="0" applyAlignment="0" applyProtection="0"/>
    <xf numFmtId="187" fontId="116" fillId="0" borderId="51" applyNumberFormat="0" applyFill="0" applyAlignment="0" applyProtection="0"/>
    <xf numFmtId="187" fontId="116" fillId="0" borderId="51" applyNumberFormat="0" applyFill="0" applyAlignment="0" applyProtection="0"/>
    <xf numFmtId="187" fontId="116" fillId="0" borderId="0" applyNumberFormat="0" applyFill="0" applyBorder="0" applyAlignment="0" applyProtection="0"/>
    <xf numFmtId="187" fontId="116" fillId="0" borderId="0" applyNumberFormat="0" applyFill="0" applyBorder="0" applyAlignment="0" applyProtection="0"/>
    <xf numFmtId="187" fontId="117" fillId="62" borderId="47" applyNumberFormat="0" applyAlignment="0" applyProtection="0"/>
    <xf numFmtId="187" fontId="117" fillId="62" borderId="47" applyNumberFormat="0" applyAlignment="0" applyProtection="0"/>
    <xf numFmtId="187" fontId="118" fillId="69" borderId="0"/>
    <xf numFmtId="187" fontId="119" fillId="0" borderId="52" applyNumberFormat="0" applyFill="0" applyAlignment="0" applyProtection="0"/>
    <xf numFmtId="187" fontId="119" fillId="0" borderId="52" applyNumberFormat="0" applyFill="0" applyAlignment="0" applyProtection="0"/>
    <xf numFmtId="37" fontId="120" fillId="0" borderId="0"/>
    <xf numFmtId="187" fontId="119" fillId="62" borderId="0" applyNumberFormat="0" applyBorder="0" applyAlignment="0" applyProtection="0"/>
    <xf numFmtId="187" fontId="119" fillId="62" borderId="0" applyNumberFormat="0" applyBorder="0" applyAlignment="0" applyProtection="0"/>
    <xf numFmtId="38" fontId="79" fillId="0" borderId="0" applyFont="0" applyFill="0" applyBorder="0" applyAlignment="0" applyProtection="0"/>
    <xf numFmtId="187" fontId="22" fillId="0" borderId="0"/>
    <xf numFmtId="187" fontId="22" fillId="0" borderId="0"/>
    <xf numFmtId="187" fontId="22" fillId="0" borderId="0"/>
    <xf numFmtId="187" fontId="22" fillId="0" borderId="0"/>
    <xf numFmtId="187" fontId="22" fillId="0" borderId="0"/>
    <xf numFmtId="187" fontId="79" fillId="0" borderId="0"/>
    <xf numFmtId="187" fontId="79" fillId="0" borderId="0"/>
    <xf numFmtId="187" fontId="79" fillId="0" borderId="0"/>
    <xf numFmtId="187" fontId="79" fillId="0" borderId="0"/>
    <xf numFmtId="0" fontId="1" fillId="0" borderId="0"/>
    <xf numFmtId="187" fontId="106" fillId="0" borderId="0" applyFill="0" applyBorder="0" applyAlignment="0" applyProtection="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106" fillId="0" borderId="0"/>
    <xf numFmtId="187" fontId="106" fillId="0" borderId="0" applyFill="0" applyBorder="0" applyAlignment="0" applyProtection="0"/>
    <xf numFmtId="187" fontId="79"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79" fillId="0" borderId="0"/>
    <xf numFmtId="187" fontId="79" fillId="0" borderId="0"/>
    <xf numFmtId="187" fontId="79" fillId="0" borderId="0"/>
    <xf numFmtId="187" fontId="79" fillId="0" borderId="0"/>
    <xf numFmtId="187" fontId="79" fillId="0" borderId="0"/>
    <xf numFmtId="187" fontId="106" fillId="0" borderId="0" applyFill="0" applyBorder="0" applyAlignment="0" applyProtection="0"/>
    <xf numFmtId="187" fontId="106" fillId="0" borderId="0" applyFill="0" applyBorder="0" applyAlignment="0" applyProtection="0"/>
    <xf numFmtId="187" fontId="79" fillId="0" borderId="0"/>
    <xf numFmtId="187" fontId="79" fillId="0" borderId="0"/>
    <xf numFmtId="187" fontId="79" fillId="0" borderId="0"/>
    <xf numFmtId="187" fontId="79" fillId="0" borderId="0"/>
    <xf numFmtId="187" fontId="79" fillId="0" borderId="0"/>
    <xf numFmtId="187" fontId="79"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79" fillId="0" borderId="0"/>
    <xf numFmtId="187" fontId="79" fillId="0" borderId="0"/>
    <xf numFmtId="187" fontId="79" fillId="0" borderId="0"/>
    <xf numFmtId="187" fontId="79" fillId="0" borderId="0"/>
    <xf numFmtId="187" fontId="79" fillId="0" borderId="0"/>
    <xf numFmtId="187" fontId="79" fillId="0" borderId="0"/>
    <xf numFmtId="187" fontId="79" fillId="0" borderId="0"/>
    <xf numFmtId="187" fontId="106" fillId="0" borderId="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79" fillId="0" borderId="0"/>
    <xf numFmtId="187" fontId="79" fillId="0" borderId="0"/>
    <xf numFmtId="187" fontId="79" fillId="0" borderId="0"/>
    <xf numFmtId="187" fontId="79" fillId="0" borderId="0"/>
    <xf numFmtId="187" fontId="87" fillId="0" borderId="0"/>
    <xf numFmtId="187" fontId="87" fillId="0" borderId="0"/>
    <xf numFmtId="187" fontId="87" fillId="0" borderId="0"/>
    <xf numFmtId="187" fontId="87" fillId="0" borderId="0"/>
    <xf numFmtId="187" fontId="87" fillId="0" borderId="0"/>
    <xf numFmtId="187" fontId="87" fillId="0" borderId="0"/>
    <xf numFmtId="187" fontId="87" fillId="0" borderId="0"/>
    <xf numFmtId="187" fontId="87" fillId="0" borderId="0"/>
    <xf numFmtId="187" fontId="87" fillId="0" borderId="0"/>
    <xf numFmtId="187" fontId="87" fillId="0" borderId="0"/>
    <xf numFmtId="187" fontId="87" fillId="0" borderId="0"/>
    <xf numFmtId="187" fontId="79" fillId="0" borderId="0"/>
    <xf numFmtId="187" fontId="79" fillId="0" borderId="0"/>
    <xf numFmtId="187" fontId="79" fillId="0" borderId="0"/>
    <xf numFmtId="187" fontId="79"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87" fillId="0" borderId="0"/>
    <xf numFmtId="187" fontId="87" fillId="0" borderId="0"/>
    <xf numFmtId="187" fontId="87" fillId="0" borderId="0"/>
    <xf numFmtId="187" fontId="87" fillId="0" borderId="0"/>
    <xf numFmtId="187" fontId="87" fillId="0" borderId="0"/>
    <xf numFmtId="187" fontId="87"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87" fillId="0" borderId="0"/>
    <xf numFmtId="187" fontId="87"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79" fillId="0" borderId="0"/>
    <xf numFmtId="187" fontId="106" fillId="0" borderId="0" applyFill="0" applyBorder="0" applyAlignment="0" applyProtection="0"/>
    <xf numFmtId="187" fontId="22" fillId="0" borderId="0"/>
    <xf numFmtId="187" fontId="22"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xf numFmtId="187" fontId="106" fillId="0" borderId="0"/>
    <xf numFmtId="187" fontId="106" fillId="0" borderId="0"/>
    <xf numFmtId="187" fontId="106" fillId="0" borderId="0"/>
    <xf numFmtId="187" fontId="106" fillId="0" borderId="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applyFill="0" applyBorder="0" applyAlignment="0" applyProtection="0"/>
    <xf numFmtId="187" fontId="106" fillId="0" borderId="0" applyFill="0" applyBorder="0" applyAlignment="0" applyProtection="0"/>
    <xf numFmtId="187" fontId="106" fillId="0" borderId="0"/>
    <xf numFmtId="187" fontId="106" fillId="0" borderId="0"/>
    <xf numFmtId="187" fontId="10" fillId="0" borderId="0">
      <alignment vertical="top"/>
    </xf>
    <xf numFmtId="187" fontId="10" fillId="0" borderId="0">
      <alignment vertical="top"/>
    </xf>
    <xf numFmtId="187" fontId="121" fillId="0" borderId="0" applyFill="0" applyBorder="0">
      <protection locked="0"/>
    </xf>
    <xf numFmtId="187" fontId="122" fillId="61" borderId="47" applyNumberFormat="0" applyFont="0" applyAlignment="0" applyProtection="0"/>
    <xf numFmtId="187" fontId="122" fillId="61" borderId="47" applyNumberFormat="0" applyFont="0" applyAlignment="0" applyProtection="0"/>
    <xf numFmtId="187" fontId="122" fillId="61" borderId="47" applyNumberFormat="0" applyFont="0" applyAlignment="0" applyProtection="0"/>
    <xf numFmtId="187" fontId="122" fillId="61" borderId="47" applyNumberFormat="0" applyFont="0" applyAlignment="0" applyProtection="0"/>
    <xf numFmtId="187" fontId="122" fillId="61" borderId="47" applyNumberFormat="0" applyFont="0" applyAlignment="0" applyProtection="0"/>
    <xf numFmtId="187" fontId="122" fillId="61" borderId="47" applyNumberFormat="0" applyFont="0" applyAlignment="0" applyProtection="0"/>
    <xf numFmtId="187" fontId="122" fillId="61" borderId="47" applyNumberFormat="0" applyFont="0" applyAlignment="0" applyProtection="0"/>
    <xf numFmtId="187" fontId="122" fillId="61" borderId="47" applyNumberFormat="0" applyFont="0" applyAlignment="0" applyProtection="0"/>
    <xf numFmtId="187" fontId="122" fillId="61" borderId="47" applyNumberFormat="0" applyFont="0" applyAlignment="0" applyProtection="0"/>
    <xf numFmtId="187" fontId="123" fillId="65" borderId="53" applyNumberFormat="0" applyAlignment="0" applyProtection="0"/>
    <xf numFmtId="187" fontId="123" fillId="65" borderId="53" applyNumberFormat="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79"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04"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9"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190" fontId="22" fillId="70" borderId="1">
      <alignment vertical="center"/>
    </xf>
    <xf numFmtId="191" fontId="22" fillId="70" borderId="1">
      <alignment vertical="center"/>
    </xf>
    <xf numFmtId="191" fontId="22" fillId="70" borderId="1">
      <alignment vertical="center"/>
    </xf>
    <xf numFmtId="187" fontId="22" fillId="70" borderId="1">
      <alignment vertical="center"/>
    </xf>
    <xf numFmtId="187" fontId="22" fillId="70" borderId="1">
      <alignment vertical="center"/>
    </xf>
    <xf numFmtId="187" fontId="22" fillId="70" borderId="1">
      <alignment vertical="center"/>
    </xf>
    <xf numFmtId="187" fontId="22" fillId="70" borderId="1">
      <alignment vertical="center"/>
    </xf>
    <xf numFmtId="173" fontId="22" fillId="70" borderId="1">
      <alignment vertical="center"/>
    </xf>
    <xf numFmtId="173" fontId="22" fillId="70" borderId="1">
      <alignment vertical="center"/>
    </xf>
    <xf numFmtId="190" fontId="22" fillId="70" borderId="1">
      <alignment vertical="center"/>
    </xf>
    <xf numFmtId="187" fontId="124" fillId="0" borderId="0"/>
    <xf numFmtId="192" fontId="22" fillId="0" borderId="0">
      <protection locked="0"/>
    </xf>
    <xf numFmtId="192" fontId="22" fillId="0" borderId="0">
      <protection locked="0"/>
    </xf>
    <xf numFmtId="191" fontId="22" fillId="32" borderId="1">
      <alignment vertical="center"/>
      <protection locked="0"/>
    </xf>
    <xf numFmtId="193" fontId="22" fillId="32" borderId="1">
      <alignment vertical="center"/>
      <protection locked="0"/>
    </xf>
    <xf numFmtId="187" fontId="22" fillId="32" borderId="1">
      <alignment vertical="center"/>
      <protection locked="0"/>
    </xf>
    <xf numFmtId="187" fontId="22" fillId="32" borderId="1">
      <alignment vertical="center"/>
      <protection locked="0"/>
    </xf>
    <xf numFmtId="193" fontId="22" fillId="32" borderId="1">
      <alignment vertical="center"/>
      <protection locked="0"/>
    </xf>
    <xf numFmtId="193" fontId="22" fillId="32" borderId="1">
      <alignment vertical="center"/>
      <protection locked="0"/>
    </xf>
    <xf numFmtId="187" fontId="22" fillId="32" borderId="1">
      <alignment vertical="center"/>
      <protection locked="0"/>
    </xf>
    <xf numFmtId="187" fontId="22" fillId="32" borderId="1">
      <alignment vertical="center"/>
      <protection locked="0"/>
    </xf>
    <xf numFmtId="193" fontId="22" fillId="32" borderId="1">
      <alignment vertical="center"/>
      <protection locked="0"/>
    </xf>
    <xf numFmtId="191" fontId="22" fillId="32" borderId="1">
      <alignment vertical="center"/>
      <protection locked="0"/>
    </xf>
    <xf numFmtId="191" fontId="22" fillId="32" borderId="1">
      <alignment vertical="center"/>
      <protection locked="0"/>
    </xf>
    <xf numFmtId="169" fontId="22" fillId="32" borderId="1">
      <alignment vertical="center"/>
      <protection locked="0"/>
    </xf>
    <xf numFmtId="169" fontId="22" fillId="32" borderId="1">
      <alignment vertical="center"/>
      <protection locked="0"/>
    </xf>
    <xf numFmtId="169" fontId="22" fillId="32" borderId="1">
      <alignment vertical="center"/>
      <protection locked="0"/>
    </xf>
    <xf numFmtId="169" fontId="22" fillId="32" borderId="1">
      <alignment vertical="center"/>
      <protection locked="0"/>
    </xf>
    <xf numFmtId="191" fontId="22" fillId="32" borderId="1">
      <alignment vertical="center"/>
      <protection locked="0"/>
    </xf>
    <xf numFmtId="191" fontId="22" fillId="71" borderId="1">
      <alignment vertical="center"/>
    </xf>
    <xf numFmtId="191" fontId="22" fillId="71" borderId="1">
      <alignment vertical="center"/>
    </xf>
    <xf numFmtId="193" fontId="22" fillId="71" borderId="1">
      <alignment vertical="center"/>
    </xf>
    <xf numFmtId="193" fontId="22" fillId="71" borderId="1">
      <alignment vertical="center"/>
    </xf>
    <xf numFmtId="193" fontId="22" fillId="71" borderId="1">
      <alignment vertical="center"/>
    </xf>
    <xf numFmtId="193" fontId="22" fillId="71" borderId="1">
      <alignment vertical="center"/>
    </xf>
    <xf numFmtId="173" fontId="22" fillId="71" borderId="1">
      <alignment vertical="center"/>
    </xf>
    <xf numFmtId="190" fontId="22" fillId="71" borderId="1">
      <alignment vertical="center"/>
    </xf>
    <xf numFmtId="187" fontId="22" fillId="71" borderId="1">
      <alignment vertical="center"/>
    </xf>
    <xf numFmtId="187" fontId="22" fillId="71" borderId="1">
      <alignment vertical="center"/>
    </xf>
    <xf numFmtId="187" fontId="22" fillId="71" borderId="1">
      <alignment vertical="center"/>
    </xf>
    <xf numFmtId="187" fontId="22" fillId="71" borderId="1">
      <alignment vertical="center"/>
    </xf>
    <xf numFmtId="191" fontId="22" fillId="71" borderId="1">
      <alignment vertical="center"/>
    </xf>
    <xf numFmtId="191" fontId="22" fillId="71" borderId="1">
      <alignment vertical="center"/>
    </xf>
    <xf numFmtId="191" fontId="22" fillId="71" borderId="1">
      <alignment vertical="center"/>
    </xf>
    <xf numFmtId="191" fontId="22" fillId="71" borderId="1">
      <alignment vertical="center"/>
    </xf>
    <xf numFmtId="191" fontId="22" fillId="72" borderId="1">
      <alignment horizontal="right" vertical="center"/>
      <protection locked="0"/>
    </xf>
    <xf numFmtId="187" fontId="22" fillId="72" borderId="1">
      <alignment horizontal="right" vertical="center"/>
      <protection locked="0"/>
    </xf>
    <xf numFmtId="187" fontId="22" fillId="72" borderId="1">
      <alignment horizontal="right" vertical="center"/>
      <protection locked="0"/>
    </xf>
    <xf numFmtId="190" fontId="22" fillId="72" borderId="1">
      <alignment horizontal="right" vertical="center"/>
      <protection locked="0"/>
    </xf>
    <xf numFmtId="173" fontId="22" fillId="72" borderId="1">
      <alignment horizontal="right" vertical="center"/>
      <protection locked="0"/>
    </xf>
    <xf numFmtId="190" fontId="22" fillId="72" borderId="1">
      <alignment horizontal="right" vertical="center"/>
      <protection locked="0"/>
    </xf>
    <xf numFmtId="191" fontId="22" fillId="72" borderId="1">
      <alignment horizontal="right" vertical="center"/>
      <protection locked="0"/>
    </xf>
    <xf numFmtId="191" fontId="22" fillId="72" borderId="1">
      <alignment horizontal="right" vertical="center"/>
      <protection locked="0"/>
    </xf>
    <xf numFmtId="191" fontId="22" fillId="72" borderId="1">
      <alignment horizontal="right" vertical="center"/>
      <protection locked="0"/>
    </xf>
    <xf numFmtId="4" fontId="122" fillId="73" borderId="47" applyNumberFormat="0" applyProtection="0">
      <alignment vertical="center"/>
    </xf>
    <xf numFmtId="4" fontId="125" fillId="6" borderId="47" applyNumberFormat="0" applyProtection="0">
      <alignment vertical="center"/>
    </xf>
    <xf numFmtId="4" fontId="122" fillId="6" borderId="47" applyNumberFormat="0" applyProtection="0">
      <alignment horizontal="left" vertical="center" indent="1"/>
    </xf>
    <xf numFmtId="187" fontId="126" fillId="73" borderId="54" applyNumberFormat="0" applyProtection="0">
      <alignment horizontal="left" vertical="top" indent="1"/>
    </xf>
    <xf numFmtId="4" fontId="122" fillId="74" borderId="47" applyNumberFormat="0" applyProtection="0">
      <alignment horizontal="left" vertical="center" indent="1"/>
    </xf>
    <xf numFmtId="4" fontId="122" fillId="75" borderId="47" applyNumberFormat="0" applyProtection="0">
      <alignment horizontal="right" vertical="center"/>
    </xf>
    <xf numFmtId="4" fontId="122" fillId="76" borderId="47" applyNumberFormat="0" applyProtection="0">
      <alignment horizontal="right" vertical="center"/>
    </xf>
    <xf numFmtId="4" fontId="122" fillId="77" borderId="55" applyNumberFormat="0" applyProtection="0">
      <alignment horizontal="right" vertical="center"/>
    </xf>
    <xf numFmtId="4" fontId="122" fillId="44" borderId="47" applyNumberFormat="0" applyProtection="0">
      <alignment horizontal="right" vertical="center"/>
    </xf>
    <xf numFmtId="4" fontId="122" fillId="78" borderId="47" applyNumberFormat="0" applyProtection="0">
      <alignment horizontal="right" vertical="center"/>
    </xf>
    <xf numFmtId="4" fontId="122" fillId="79" borderId="47" applyNumberFormat="0" applyProtection="0">
      <alignment horizontal="right" vertical="center"/>
    </xf>
    <xf numFmtId="4" fontId="122" fillId="40" borderId="47" applyNumberFormat="0" applyProtection="0">
      <alignment horizontal="right" vertical="center"/>
    </xf>
    <xf numFmtId="4" fontId="122" fillId="37" borderId="47" applyNumberFormat="0" applyProtection="0">
      <alignment horizontal="right" vertical="center"/>
    </xf>
    <xf numFmtId="4" fontId="122" fillId="80" borderId="47" applyNumberFormat="0" applyProtection="0">
      <alignment horizontal="right" vertical="center"/>
    </xf>
    <xf numFmtId="4" fontId="122" fillId="81" borderId="55" applyNumberFormat="0" applyProtection="0">
      <alignment horizontal="left" vertical="center" indent="1"/>
    </xf>
    <xf numFmtId="4" fontId="79" fillId="42" borderId="55" applyNumberFormat="0" applyProtection="0">
      <alignment horizontal="left" vertical="center" indent="1"/>
    </xf>
    <xf numFmtId="4" fontId="79" fillId="42" borderId="55" applyNumberFormat="0" applyProtection="0">
      <alignment horizontal="left" vertical="center" indent="1"/>
    </xf>
    <xf numFmtId="4" fontId="122" fillId="36" borderId="47" applyNumberFormat="0" applyProtection="0">
      <alignment horizontal="right" vertical="center"/>
    </xf>
    <xf numFmtId="4" fontId="122" fillId="35" borderId="55" applyNumberFormat="0" applyProtection="0">
      <alignment horizontal="left" vertical="center" indent="1"/>
    </xf>
    <xf numFmtId="4" fontId="104" fillId="35" borderId="0" applyNumberFormat="0" applyProtection="0">
      <alignment horizontal="left" vertical="center" indent="1"/>
    </xf>
    <xf numFmtId="4" fontId="122" fillId="35" borderId="55" applyNumberFormat="0" applyProtection="0">
      <alignment horizontal="left" vertical="center" indent="1"/>
    </xf>
    <xf numFmtId="4" fontId="122" fillId="36" borderId="55" applyNumberFormat="0" applyProtection="0">
      <alignment horizontal="left" vertical="center" indent="1"/>
    </xf>
    <xf numFmtId="4" fontId="104" fillId="36" borderId="0" applyNumberFormat="0" applyProtection="0">
      <alignment horizontal="left" vertical="center" indent="1"/>
    </xf>
    <xf numFmtId="4" fontId="122" fillId="36" borderId="55" applyNumberFormat="0" applyProtection="0">
      <alignment horizontal="left" vertical="center" indent="1"/>
    </xf>
    <xf numFmtId="187" fontId="122" fillId="31" borderId="47" applyNumberFormat="0" applyProtection="0">
      <alignment horizontal="left" vertical="center" indent="1"/>
    </xf>
    <xf numFmtId="187" fontId="79" fillId="42" borderId="54" applyNumberFormat="0" applyProtection="0">
      <alignment horizontal="left" vertical="center" indent="1"/>
    </xf>
    <xf numFmtId="187" fontId="122" fillId="31" borderId="47" applyNumberFormat="0" applyProtection="0">
      <alignment horizontal="left" vertical="center" indent="1"/>
    </xf>
    <xf numFmtId="187" fontId="122" fillId="42" borderId="54" applyNumberFormat="0" applyProtection="0">
      <alignment horizontal="left" vertical="top" indent="1"/>
    </xf>
    <xf numFmtId="187" fontId="79" fillId="42" borderId="54" applyNumberFormat="0" applyProtection="0">
      <alignment horizontal="left" vertical="top" indent="1"/>
    </xf>
    <xf numFmtId="187" fontId="122" fillId="42" borderId="54" applyNumberFormat="0" applyProtection="0">
      <alignment horizontal="left" vertical="top" indent="1"/>
    </xf>
    <xf numFmtId="187" fontId="122" fillId="42" borderId="54" applyNumberFormat="0" applyProtection="0">
      <alignment horizontal="left" vertical="top" indent="1"/>
    </xf>
    <xf numFmtId="187" fontId="122" fillId="42" borderId="54" applyNumberFormat="0" applyProtection="0">
      <alignment horizontal="left" vertical="top" indent="1"/>
    </xf>
    <xf numFmtId="187" fontId="122" fillId="42" borderId="54" applyNumberFormat="0" applyProtection="0">
      <alignment horizontal="left" vertical="top" indent="1"/>
    </xf>
    <xf numFmtId="187" fontId="122" fillId="42" borderId="54" applyNumberFormat="0" applyProtection="0">
      <alignment horizontal="left" vertical="top" indent="1"/>
    </xf>
    <xf numFmtId="187" fontId="122" fillId="42" borderId="54" applyNumberFormat="0" applyProtection="0">
      <alignment horizontal="left" vertical="top" indent="1"/>
    </xf>
    <xf numFmtId="187" fontId="122" fillId="42" borderId="54" applyNumberFormat="0" applyProtection="0">
      <alignment horizontal="left" vertical="top" indent="1"/>
    </xf>
    <xf numFmtId="187" fontId="122" fillId="42" borderId="54" applyNumberFormat="0" applyProtection="0">
      <alignment horizontal="left" vertical="top" indent="1"/>
    </xf>
    <xf numFmtId="187" fontId="122" fillId="42" borderId="54" applyNumberFormat="0" applyProtection="0">
      <alignment horizontal="left" vertical="top" indent="1"/>
    </xf>
    <xf numFmtId="187" fontId="122" fillId="82" borderId="47" applyNumberFormat="0" applyProtection="0">
      <alignment horizontal="left" vertical="center" indent="1"/>
    </xf>
    <xf numFmtId="187" fontId="79" fillId="36" borderId="54" applyNumberFormat="0" applyProtection="0">
      <alignment horizontal="left" vertical="center" indent="1"/>
    </xf>
    <xf numFmtId="187" fontId="122" fillId="82" borderId="47" applyNumberFormat="0" applyProtection="0">
      <alignment horizontal="left" vertical="center" indent="1"/>
    </xf>
    <xf numFmtId="187" fontId="122" fillId="36" borderId="54" applyNumberFormat="0" applyProtection="0">
      <alignment horizontal="left" vertical="top" indent="1"/>
    </xf>
    <xf numFmtId="187" fontId="79" fillId="36" borderId="54" applyNumberFormat="0" applyProtection="0">
      <alignment horizontal="left" vertical="top" indent="1"/>
    </xf>
    <xf numFmtId="187" fontId="122" fillId="36" borderId="54" applyNumberFormat="0" applyProtection="0">
      <alignment horizontal="left" vertical="top" indent="1"/>
    </xf>
    <xf numFmtId="187" fontId="122" fillId="36" borderId="54" applyNumberFormat="0" applyProtection="0">
      <alignment horizontal="left" vertical="top" indent="1"/>
    </xf>
    <xf numFmtId="187" fontId="122" fillId="36" borderId="54" applyNumberFormat="0" applyProtection="0">
      <alignment horizontal="left" vertical="top" indent="1"/>
    </xf>
    <xf numFmtId="187" fontId="122" fillId="36" borderId="54" applyNumberFormat="0" applyProtection="0">
      <alignment horizontal="left" vertical="top" indent="1"/>
    </xf>
    <xf numFmtId="187" fontId="122" fillId="36" borderId="54" applyNumberFormat="0" applyProtection="0">
      <alignment horizontal="left" vertical="top" indent="1"/>
    </xf>
    <xf numFmtId="187" fontId="122" fillId="36" borderId="54" applyNumberFormat="0" applyProtection="0">
      <alignment horizontal="left" vertical="top" indent="1"/>
    </xf>
    <xf numFmtId="187" fontId="122" fillId="36" borderId="54" applyNumberFormat="0" applyProtection="0">
      <alignment horizontal="left" vertical="top" indent="1"/>
    </xf>
    <xf numFmtId="187" fontId="122" fillId="36" borderId="54" applyNumberFormat="0" applyProtection="0">
      <alignment horizontal="left" vertical="top" indent="1"/>
    </xf>
    <xf numFmtId="187" fontId="122" fillId="36" borderId="54" applyNumberFormat="0" applyProtection="0">
      <alignment horizontal="left" vertical="top" indent="1"/>
    </xf>
    <xf numFmtId="187" fontId="122" fillId="83" borderId="47" applyNumberFormat="0" applyProtection="0">
      <alignment horizontal="left" vertical="center" indent="1"/>
    </xf>
    <xf numFmtId="187" fontId="79" fillId="83" borderId="54" applyNumberFormat="0" applyProtection="0">
      <alignment horizontal="left" vertical="center" indent="1"/>
    </xf>
    <xf numFmtId="187" fontId="122" fillId="83" borderId="47" applyNumberFormat="0" applyProtection="0">
      <alignment horizontal="left" vertical="center" indent="1"/>
    </xf>
    <xf numFmtId="187" fontId="122" fillId="83" borderId="54" applyNumberFormat="0" applyProtection="0">
      <alignment horizontal="left" vertical="top" indent="1"/>
    </xf>
    <xf numFmtId="187" fontId="79" fillId="83" borderId="54" applyNumberFormat="0" applyProtection="0">
      <alignment horizontal="left" vertical="top" indent="1"/>
    </xf>
    <xf numFmtId="187" fontId="122" fillId="83" borderId="54" applyNumberFormat="0" applyProtection="0">
      <alignment horizontal="left" vertical="top" indent="1"/>
    </xf>
    <xf numFmtId="187" fontId="122" fillId="83" borderId="54" applyNumberFormat="0" applyProtection="0">
      <alignment horizontal="left" vertical="top" indent="1"/>
    </xf>
    <xf numFmtId="187" fontId="122" fillId="83" borderId="54" applyNumberFormat="0" applyProtection="0">
      <alignment horizontal="left" vertical="top" indent="1"/>
    </xf>
    <xf numFmtId="187" fontId="122" fillId="83" borderId="54" applyNumberFormat="0" applyProtection="0">
      <alignment horizontal="left" vertical="top" indent="1"/>
    </xf>
    <xf numFmtId="187" fontId="122" fillId="83" borderId="54" applyNumberFormat="0" applyProtection="0">
      <alignment horizontal="left" vertical="top" indent="1"/>
    </xf>
    <xf numFmtId="187" fontId="122" fillId="83" borderId="54" applyNumberFormat="0" applyProtection="0">
      <alignment horizontal="left" vertical="top" indent="1"/>
    </xf>
    <xf numFmtId="187" fontId="122" fillId="83" borderId="54" applyNumberFormat="0" applyProtection="0">
      <alignment horizontal="left" vertical="top" indent="1"/>
    </xf>
    <xf numFmtId="187" fontId="122" fillId="83" borderId="54" applyNumberFormat="0" applyProtection="0">
      <alignment horizontal="left" vertical="top" indent="1"/>
    </xf>
    <xf numFmtId="187" fontId="122" fillId="83" borderId="54" applyNumberFormat="0" applyProtection="0">
      <alignment horizontal="left" vertical="top" indent="1"/>
    </xf>
    <xf numFmtId="187" fontId="122" fillId="35" borderId="47" applyNumberFormat="0" applyProtection="0">
      <alignment horizontal="left" vertical="center" indent="1"/>
    </xf>
    <xf numFmtId="187" fontId="79" fillId="35" borderId="54" applyNumberFormat="0" applyProtection="0">
      <alignment horizontal="left" vertical="center" indent="1"/>
    </xf>
    <xf numFmtId="187" fontId="122" fillId="35" borderId="47" applyNumberFormat="0" applyProtection="0">
      <alignment horizontal="left" vertical="center" indent="1"/>
    </xf>
    <xf numFmtId="187" fontId="122" fillId="35" borderId="54" applyNumberFormat="0" applyProtection="0">
      <alignment horizontal="left" vertical="top" indent="1"/>
    </xf>
    <xf numFmtId="187" fontId="79" fillId="35" borderId="54" applyNumberFormat="0" applyProtection="0">
      <alignment horizontal="left" vertical="top" indent="1"/>
    </xf>
    <xf numFmtId="187" fontId="122" fillId="35" borderId="54" applyNumberFormat="0" applyProtection="0">
      <alignment horizontal="left" vertical="top" indent="1"/>
    </xf>
    <xf numFmtId="187" fontId="122" fillId="35" borderId="54" applyNumberFormat="0" applyProtection="0">
      <alignment horizontal="left" vertical="top" indent="1"/>
    </xf>
    <xf numFmtId="187" fontId="122" fillId="35" borderId="54" applyNumberFormat="0" applyProtection="0">
      <alignment horizontal="left" vertical="top" indent="1"/>
    </xf>
    <xf numFmtId="187" fontId="122" fillId="35" borderId="54" applyNumberFormat="0" applyProtection="0">
      <alignment horizontal="left" vertical="top" indent="1"/>
    </xf>
    <xf numFmtId="187" fontId="122" fillId="35" borderId="54" applyNumberFormat="0" applyProtection="0">
      <alignment horizontal="left" vertical="top" indent="1"/>
    </xf>
    <xf numFmtId="187" fontId="122" fillId="35" borderId="54" applyNumberFormat="0" applyProtection="0">
      <alignment horizontal="left" vertical="top" indent="1"/>
    </xf>
    <xf numFmtId="187" fontId="122" fillId="35" borderId="54" applyNumberFormat="0" applyProtection="0">
      <alignment horizontal="left" vertical="top" indent="1"/>
    </xf>
    <xf numFmtId="187" fontId="122" fillId="35" borderId="54" applyNumberFormat="0" applyProtection="0">
      <alignment horizontal="left" vertical="top" indent="1"/>
    </xf>
    <xf numFmtId="187" fontId="122" fillId="35" borderId="54" applyNumberFormat="0" applyProtection="0">
      <alignment horizontal="left" vertical="top" indent="1"/>
    </xf>
    <xf numFmtId="187" fontId="122" fillId="84" borderId="56" applyNumberFormat="0">
      <protection locked="0"/>
    </xf>
    <xf numFmtId="187" fontId="79" fillId="84" borderId="1" applyNumberFormat="0">
      <protection locked="0"/>
    </xf>
    <xf numFmtId="187" fontId="122" fillId="84" borderId="56" applyNumberFormat="0">
      <protection locked="0"/>
    </xf>
    <xf numFmtId="187" fontId="122" fillId="84" borderId="56" applyNumberFormat="0">
      <protection locked="0"/>
    </xf>
    <xf numFmtId="187" fontId="122" fillId="84" borderId="56" applyNumberFormat="0">
      <protection locked="0"/>
    </xf>
    <xf numFmtId="187" fontId="122" fillId="84" borderId="56" applyNumberFormat="0">
      <protection locked="0"/>
    </xf>
    <xf numFmtId="187" fontId="122" fillId="84" borderId="56" applyNumberFormat="0">
      <protection locked="0"/>
    </xf>
    <xf numFmtId="187" fontId="122" fillId="84" borderId="56" applyNumberFormat="0">
      <protection locked="0"/>
    </xf>
    <xf numFmtId="187" fontId="122" fillId="84" borderId="56" applyNumberFormat="0">
      <protection locked="0"/>
    </xf>
    <xf numFmtId="187" fontId="122" fillId="84" borderId="56" applyNumberFormat="0">
      <protection locked="0"/>
    </xf>
    <xf numFmtId="187" fontId="122" fillId="84" borderId="56" applyNumberFormat="0">
      <protection locked="0"/>
    </xf>
    <xf numFmtId="187" fontId="127" fillId="42" borderId="57" applyBorder="0"/>
    <xf numFmtId="4" fontId="128" fillId="69" borderId="54" applyNumberFormat="0" applyProtection="0">
      <alignment vertical="center"/>
    </xf>
    <xf numFmtId="4" fontId="125" fillId="32" borderId="1" applyNumberFormat="0" applyProtection="0">
      <alignment vertical="center"/>
    </xf>
    <xf numFmtId="4" fontId="128" fillId="31" borderId="54" applyNumberFormat="0" applyProtection="0">
      <alignment horizontal="left" vertical="center" indent="1"/>
    </xf>
    <xf numFmtId="187" fontId="128" fillId="69" borderId="54" applyNumberFormat="0" applyProtection="0">
      <alignment horizontal="left" vertical="top" indent="1"/>
    </xf>
    <xf numFmtId="4" fontId="122" fillId="0" borderId="47" applyNumberFormat="0" applyProtection="0">
      <alignment horizontal="right" vertical="center"/>
    </xf>
    <xf numFmtId="4" fontId="125" fillId="3" borderId="47" applyNumberFormat="0" applyProtection="0">
      <alignment horizontal="right" vertical="center"/>
    </xf>
    <xf numFmtId="4" fontId="122" fillId="74" borderId="47" applyNumberFormat="0" applyProtection="0">
      <alignment horizontal="left" vertical="center" indent="1"/>
    </xf>
    <xf numFmtId="187" fontId="128" fillId="36" borderId="54" applyNumberFormat="0" applyProtection="0">
      <alignment horizontal="left" vertical="top" indent="1"/>
    </xf>
    <xf numFmtId="4" fontId="129" fillId="85" borderId="55" applyNumberFormat="0" applyProtection="0">
      <alignment horizontal="left" vertical="center" indent="1"/>
    </xf>
    <xf numFmtId="187" fontId="122" fillId="86" borderId="1"/>
    <xf numFmtId="4" fontId="130" fillId="84" borderId="47" applyNumberFormat="0" applyProtection="0">
      <alignment horizontal="right" vertical="center"/>
    </xf>
    <xf numFmtId="187" fontId="131" fillId="0" borderId="0" applyNumberFormat="0" applyFill="0" applyBorder="0" applyAlignment="0" applyProtection="0"/>
    <xf numFmtId="187" fontId="79" fillId="87" borderId="0"/>
    <xf numFmtId="187" fontId="79" fillId="0" borderId="0" applyFont="0" applyFill="0" applyBorder="0" applyAlignment="0" applyProtection="0"/>
    <xf numFmtId="37" fontId="102" fillId="0" borderId="27" applyNumberFormat="0"/>
    <xf numFmtId="187" fontId="132" fillId="0" borderId="58" applyNumberFormat="0" applyAlignment="0" applyProtection="0"/>
    <xf numFmtId="187" fontId="131" fillId="0" borderId="0" applyNumberFormat="0" applyFill="0" applyBorder="0" applyAlignment="0" applyProtection="0"/>
    <xf numFmtId="187" fontId="131" fillId="0" borderId="0" applyNumberFormat="0" applyFill="0" applyBorder="0" applyAlignment="0" applyProtection="0"/>
    <xf numFmtId="188" fontId="102" fillId="0" borderId="34" applyFill="0"/>
    <xf numFmtId="187" fontId="111" fillId="0" borderId="59" applyNumberFormat="0" applyFill="0" applyAlignment="0" applyProtection="0"/>
    <xf numFmtId="187" fontId="111" fillId="0" borderId="59" applyNumberFormat="0" applyFill="0" applyAlignment="0" applyProtection="0"/>
    <xf numFmtId="37" fontId="102" fillId="0" borderId="38" applyNumberFormat="0" applyFill="0"/>
    <xf numFmtId="164" fontId="79" fillId="0" borderId="0" applyFont="0" applyFill="0" applyBorder="0" applyAlignment="0" applyProtection="0"/>
    <xf numFmtId="166" fontId="79" fillId="0" borderId="0" applyFont="0" applyFill="0" applyBorder="0" applyAlignment="0" applyProtection="0"/>
    <xf numFmtId="187" fontId="133" fillId="0" borderId="0" applyNumberFormat="0" applyFill="0" applyBorder="0" applyAlignment="0" applyProtection="0"/>
    <xf numFmtId="187" fontId="133" fillId="0" borderId="0" applyNumberFormat="0" applyFill="0" applyBorder="0" applyAlignment="0" applyProtection="0"/>
    <xf numFmtId="187" fontId="79" fillId="69" borderId="0" applyNumberFormat="0" applyFont="0" applyBorder="0" applyAlignment="0" applyProtection="0"/>
    <xf numFmtId="187" fontId="79" fillId="69" borderId="0" applyNumberFormat="0" applyFont="0" applyBorder="0" applyAlignment="0" applyProtection="0"/>
    <xf numFmtId="187" fontId="79" fillId="69" borderId="0" applyNumberFormat="0" applyFont="0" applyBorder="0" applyAlignment="0" applyProtection="0"/>
    <xf numFmtId="187" fontId="79" fillId="69" borderId="0" applyNumberFormat="0" applyFont="0" applyBorder="0" applyAlignment="0" applyProtection="0"/>
    <xf numFmtId="187" fontId="79" fillId="69" borderId="0" applyNumberFormat="0" applyFont="0" applyBorder="0" applyAlignment="0" applyProtection="0"/>
    <xf numFmtId="187" fontId="79" fillId="69" borderId="0" applyNumberFormat="0" applyFont="0" applyBorder="0" applyAlignment="0" applyProtection="0"/>
    <xf numFmtId="187" fontId="79" fillId="69" borderId="0" applyNumberFormat="0" applyFont="0" applyBorder="0" applyAlignment="0" applyProtection="0"/>
    <xf numFmtId="187" fontId="79" fillId="69" borderId="0" applyNumberFormat="0" applyFont="0" applyBorder="0" applyAlignment="0" applyProtection="0"/>
    <xf numFmtId="187" fontId="79" fillId="69" borderId="0" applyNumberFormat="0" applyFont="0" applyBorder="0" applyAlignment="0" applyProtection="0"/>
    <xf numFmtId="10" fontId="99" fillId="0" borderId="0" applyFont="0" applyFill="0" applyBorder="0" applyAlignment="0" applyProtection="0">
      <alignment vertical="center"/>
    </xf>
    <xf numFmtId="0" fontId="1" fillId="0" borderId="0"/>
    <xf numFmtId="0" fontId="10" fillId="0" borderId="0"/>
    <xf numFmtId="187" fontId="22" fillId="32" borderId="61">
      <alignment vertical="center"/>
      <protection locked="0"/>
    </xf>
    <xf numFmtId="191" fontId="22" fillId="72" borderId="61">
      <alignment horizontal="right" vertical="center"/>
      <protection locked="0"/>
    </xf>
    <xf numFmtId="4" fontId="122" fillId="6" borderId="63" applyNumberFormat="0" applyProtection="0">
      <alignment horizontal="left" vertical="center" indent="1"/>
    </xf>
    <xf numFmtId="169" fontId="22" fillId="32" borderId="61">
      <alignment vertical="center"/>
      <protection locked="0"/>
    </xf>
    <xf numFmtId="187" fontId="79" fillId="0" borderId="0">
      <alignment vertical="center"/>
    </xf>
    <xf numFmtId="187" fontId="123" fillId="65" borderId="75" applyNumberFormat="0" applyAlignment="0" applyProtection="0"/>
    <xf numFmtId="187" fontId="123" fillId="65" borderId="75" applyNumberFormat="0" applyAlignment="0" applyProtection="0"/>
    <xf numFmtId="187" fontId="122" fillId="61" borderId="74" applyNumberFormat="0" applyFont="0" applyAlignment="0" applyProtection="0"/>
    <xf numFmtId="187" fontId="122" fillId="61" borderId="74" applyNumberFormat="0" applyFont="0" applyAlignment="0" applyProtection="0"/>
    <xf numFmtId="187" fontId="122" fillId="61" borderId="74" applyNumberFormat="0" applyFont="0" applyAlignment="0" applyProtection="0"/>
    <xf numFmtId="187" fontId="122" fillId="61" borderId="74" applyNumberFormat="0" applyFont="0" applyAlignment="0" applyProtection="0"/>
    <xf numFmtId="187" fontId="122" fillId="61" borderId="74" applyNumberFormat="0" applyFont="0" applyAlignment="0" applyProtection="0"/>
    <xf numFmtId="187" fontId="122" fillId="61" borderId="74" applyNumberFormat="0" applyFont="0" applyAlignment="0" applyProtection="0"/>
    <xf numFmtId="187" fontId="122" fillId="61" borderId="74" applyNumberFormat="0" applyFont="0" applyAlignment="0" applyProtection="0"/>
    <xf numFmtId="187" fontId="122" fillId="61" borderId="74" applyNumberFormat="0" applyFont="0" applyAlignment="0" applyProtection="0"/>
    <xf numFmtId="187" fontId="122" fillId="61" borderId="74" applyNumberFormat="0" applyFont="0" applyAlignment="0" applyProtection="0"/>
    <xf numFmtId="187" fontId="123" fillId="65" borderId="91" applyNumberFormat="0" applyAlignment="0" applyProtection="0"/>
    <xf numFmtId="187" fontId="123" fillId="65" borderId="91" applyNumberFormat="0" applyAlignment="0" applyProtection="0"/>
    <xf numFmtId="187" fontId="122" fillId="61" borderId="90" applyNumberFormat="0" applyFont="0" applyAlignment="0" applyProtection="0"/>
    <xf numFmtId="187" fontId="122" fillId="61" borderId="90" applyNumberFormat="0" applyFont="0" applyAlignment="0" applyProtection="0"/>
    <xf numFmtId="187" fontId="122" fillId="61" borderId="90" applyNumberFormat="0" applyFont="0" applyAlignment="0" applyProtection="0"/>
    <xf numFmtId="187" fontId="122" fillId="61" borderId="90" applyNumberFormat="0" applyFont="0" applyAlignment="0" applyProtection="0"/>
    <xf numFmtId="187" fontId="122" fillId="61" borderId="90" applyNumberFormat="0" applyFont="0" applyAlignment="0" applyProtection="0"/>
    <xf numFmtId="187" fontId="122" fillId="61" borderId="90" applyNumberFormat="0" applyFont="0" applyAlignment="0" applyProtection="0"/>
    <xf numFmtId="187" fontId="122" fillId="61" borderId="90" applyNumberFormat="0" applyFont="0" applyAlignment="0" applyProtection="0"/>
    <xf numFmtId="187" fontId="122" fillId="61" borderId="90" applyNumberFormat="0" applyFont="0" applyAlignment="0" applyProtection="0"/>
    <xf numFmtId="172" fontId="1" fillId="0" borderId="0"/>
    <xf numFmtId="172" fontId="66" fillId="0" borderId="0" applyNumberFormat="0" applyFill="0" applyBorder="0" applyAlignment="0" applyProtection="0">
      <alignment vertical="top"/>
      <protection locked="0"/>
    </xf>
    <xf numFmtId="187" fontId="79" fillId="0" borderId="0">
      <alignment vertical="center"/>
    </xf>
    <xf numFmtId="187" fontId="79" fillId="0" borderId="0">
      <alignment vertical="center"/>
    </xf>
    <xf numFmtId="187" fontId="109" fillId="65" borderId="66" applyNumberFormat="0" applyAlignment="0" applyProtection="0"/>
    <xf numFmtId="187" fontId="109" fillId="65" borderId="66" applyNumberFormat="0" applyAlignment="0" applyProtection="0"/>
    <xf numFmtId="187" fontId="109" fillId="65" borderId="82" applyNumberFormat="0" applyAlignment="0" applyProtection="0"/>
    <xf numFmtId="187" fontId="109" fillId="65" borderId="63" applyNumberFormat="0" applyAlignment="0" applyProtection="0"/>
    <xf numFmtId="187" fontId="109" fillId="65" borderId="63" applyNumberFormat="0" applyAlignment="0" applyProtection="0"/>
    <xf numFmtId="187" fontId="109" fillId="65" borderId="60" applyNumberFormat="0" applyAlignment="0" applyProtection="0"/>
    <xf numFmtId="187" fontId="109" fillId="65" borderId="60" applyNumberFormat="0" applyAlignment="0" applyProtection="0"/>
    <xf numFmtId="187" fontId="117" fillId="62" borderId="66" applyNumberFormat="0" applyAlignment="0" applyProtection="0"/>
    <xf numFmtId="187" fontId="117" fillId="62" borderId="66" applyNumberFormat="0" applyAlignment="0" applyProtection="0"/>
    <xf numFmtId="187" fontId="117" fillId="62" borderId="82" applyNumberFormat="0" applyAlignment="0" applyProtection="0"/>
    <xf numFmtId="187" fontId="117" fillId="62" borderId="82" applyNumberFormat="0" applyAlignment="0" applyProtection="0"/>
    <xf numFmtId="187" fontId="117" fillId="62" borderId="63" applyNumberFormat="0" applyAlignment="0" applyProtection="0"/>
    <xf numFmtId="187" fontId="117" fillId="62" borderId="63" applyNumberFormat="0" applyAlignment="0" applyProtection="0"/>
    <xf numFmtId="187" fontId="117" fillId="62" borderId="60" applyNumberFormat="0" applyAlignment="0" applyProtection="0"/>
    <xf numFmtId="187" fontId="117" fillId="62" borderId="60" applyNumberFormat="0" applyAlignment="0" applyProtection="0"/>
    <xf numFmtId="187" fontId="117" fillId="62" borderId="90" applyNumberFormat="0" applyAlignment="0" applyProtection="0"/>
    <xf numFmtId="187" fontId="117" fillId="62" borderId="90" applyNumberFormat="0" applyAlignment="0" applyProtection="0"/>
    <xf numFmtId="187" fontId="117" fillId="62" borderId="74" applyNumberFormat="0" applyAlignment="0" applyProtection="0"/>
    <xf numFmtId="187" fontId="117" fillId="62" borderId="74" applyNumberFormat="0" applyAlignment="0" applyProtection="0"/>
    <xf numFmtId="187" fontId="109" fillId="65" borderId="90" applyNumberFormat="0" applyAlignment="0" applyProtection="0"/>
    <xf numFmtId="187" fontId="109" fillId="65" borderId="74" applyNumberFormat="0" applyAlignment="0" applyProtection="0"/>
    <xf numFmtId="187" fontId="109" fillId="65" borderId="74" applyNumberFormat="0" applyAlignment="0" applyProtection="0"/>
    <xf numFmtId="187" fontId="122" fillId="61" borderId="82" applyNumberFormat="0" applyFont="0" applyAlignment="0" applyProtection="0"/>
    <xf numFmtId="187" fontId="122" fillId="61" borderId="82" applyNumberFormat="0" applyFont="0" applyAlignment="0" applyProtection="0"/>
    <xf numFmtId="187" fontId="122" fillId="61" borderId="82" applyNumberFormat="0" applyFont="0" applyAlignment="0" applyProtection="0"/>
    <xf numFmtId="187" fontId="122" fillId="61" borderId="82" applyNumberFormat="0" applyFont="0" applyAlignment="0" applyProtection="0"/>
    <xf numFmtId="187" fontId="122" fillId="61" borderId="82" applyNumberFormat="0" applyFont="0" applyAlignment="0" applyProtection="0"/>
    <xf numFmtId="187" fontId="123" fillId="65" borderId="83" applyNumberFormat="0" applyAlignment="0" applyProtection="0"/>
    <xf numFmtId="187" fontId="123" fillId="65" borderId="83" applyNumberFormat="0" applyAlignment="0" applyProtection="0"/>
    <xf numFmtId="187" fontId="122" fillId="61" borderId="66" applyNumberFormat="0" applyFont="0" applyAlignment="0" applyProtection="0"/>
    <xf numFmtId="187" fontId="122" fillId="61" borderId="66" applyNumberFormat="0" applyFont="0" applyAlignment="0" applyProtection="0"/>
    <xf numFmtId="187" fontId="122" fillId="61" borderId="66" applyNumberFormat="0" applyFont="0" applyAlignment="0" applyProtection="0"/>
    <xf numFmtId="187" fontId="122" fillId="61" borderId="66" applyNumberFormat="0" applyFont="0" applyAlignment="0" applyProtection="0"/>
    <xf numFmtId="187" fontId="122" fillId="61" borderId="66" applyNumberFormat="0" applyFont="0" applyAlignment="0" applyProtection="0"/>
    <xf numFmtId="187" fontId="122" fillId="61" borderId="66" applyNumberFormat="0" applyFont="0" applyAlignment="0" applyProtection="0"/>
    <xf numFmtId="187" fontId="122" fillId="61" borderId="66" applyNumberFormat="0" applyFont="0" applyAlignment="0" applyProtection="0"/>
    <xf numFmtId="187" fontId="122" fillId="61" borderId="66" applyNumberFormat="0" applyFont="0" applyAlignment="0" applyProtection="0"/>
    <xf numFmtId="187" fontId="122" fillId="61" borderId="66" applyNumberFormat="0" applyFont="0" applyAlignment="0" applyProtection="0"/>
    <xf numFmtId="187" fontId="123" fillId="65" borderId="67" applyNumberFormat="0" applyAlignment="0" applyProtection="0"/>
    <xf numFmtId="187" fontId="123" fillId="65" borderId="67" applyNumberFormat="0" applyAlignment="0" applyProtection="0"/>
    <xf numFmtId="4" fontId="122" fillId="73" borderId="82" applyNumberFormat="0" applyProtection="0">
      <alignment vertical="center"/>
    </xf>
    <xf numFmtId="4" fontId="125" fillId="6" borderId="82" applyNumberFormat="0" applyProtection="0">
      <alignment vertical="center"/>
    </xf>
    <xf numFmtId="4" fontId="122" fillId="6" borderId="82" applyNumberFormat="0" applyProtection="0">
      <alignment horizontal="left" vertical="center" indent="1"/>
    </xf>
    <xf numFmtId="187" fontId="126" fillId="73" borderId="84" applyNumberFormat="0" applyProtection="0">
      <alignment horizontal="left" vertical="top" indent="1"/>
    </xf>
    <xf numFmtId="4" fontId="122" fillId="74" borderId="82" applyNumberFormat="0" applyProtection="0">
      <alignment horizontal="left" vertical="center" indent="1"/>
    </xf>
    <xf numFmtId="4" fontId="122" fillId="75" borderId="82" applyNumberFormat="0" applyProtection="0">
      <alignment horizontal="right" vertical="center"/>
    </xf>
    <xf numFmtId="4" fontId="122" fillId="76" borderId="82" applyNumberFormat="0" applyProtection="0">
      <alignment horizontal="right" vertical="center"/>
    </xf>
    <xf numFmtId="4" fontId="122" fillId="77" borderId="85" applyNumberFormat="0" applyProtection="0">
      <alignment horizontal="right" vertical="center"/>
    </xf>
    <xf numFmtId="4" fontId="122" fillId="44" borderId="82" applyNumberFormat="0" applyProtection="0">
      <alignment horizontal="right" vertical="center"/>
    </xf>
    <xf numFmtId="4" fontId="122" fillId="78" borderId="82" applyNumberFormat="0" applyProtection="0">
      <alignment horizontal="right" vertical="center"/>
    </xf>
    <xf numFmtId="4" fontId="122" fillId="79" borderId="82" applyNumberFormat="0" applyProtection="0">
      <alignment horizontal="right" vertical="center"/>
    </xf>
    <xf numFmtId="4" fontId="122" fillId="73" borderId="66" applyNumberFormat="0" applyProtection="0">
      <alignment vertical="center"/>
    </xf>
    <xf numFmtId="4" fontId="125" fillId="6" borderId="66" applyNumberFormat="0" applyProtection="0">
      <alignment vertical="center"/>
    </xf>
    <xf numFmtId="4" fontId="122" fillId="6" borderId="66" applyNumberFormat="0" applyProtection="0">
      <alignment horizontal="left" vertical="center" indent="1"/>
    </xf>
    <xf numFmtId="187" fontId="126" fillId="73" borderId="68" applyNumberFormat="0" applyProtection="0">
      <alignment horizontal="left" vertical="top" indent="1"/>
    </xf>
    <xf numFmtId="4" fontId="122" fillId="74" borderId="66" applyNumberFormat="0" applyProtection="0">
      <alignment horizontal="left" vertical="center" indent="1"/>
    </xf>
    <xf numFmtId="4" fontId="122" fillId="75" borderId="66" applyNumberFormat="0" applyProtection="0">
      <alignment horizontal="right" vertical="center"/>
    </xf>
    <xf numFmtId="4" fontId="122" fillId="76" borderId="66" applyNumberFormat="0" applyProtection="0">
      <alignment horizontal="right" vertical="center"/>
    </xf>
    <xf numFmtId="4" fontId="122" fillId="77" borderId="69" applyNumberFormat="0" applyProtection="0">
      <alignment horizontal="right" vertical="center"/>
    </xf>
    <xf numFmtId="4" fontId="122" fillId="44" borderId="66" applyNumberFormat="0" applyProtection="0">
      <alignment horizontal="right" vertical="center"/>
    </xf>
    <xf numFmtId="4" fontId="122" fillId="79" borderId="66" applyNumberFormat="0" applyProtection="0">
      <alignment horizontal="right" vertical="center"/>
    </xf>
    <xf numFmtId="4" fontId="122" fillId="40" borderId="66" applyNumberFormat="0" applyProtection="0">
      <alignment horizontal="right" vertical="center"/>
    </xf>
    <xf numFmtId="4" fontId="122" fillId="37" borderId="66" applyNumberFormat="0" applyProtection="0">
      <alignment horizontal="right" vertical="center"/>
    </xf>
    <xf numFmtId="4" fontId="122" fillId="80" borderId="66" applyNumberFormat="0" applyProtection="0">
      <alignment horizontal="right" vertical="center"/>
    </xf>
    <xf numFmtId="4" fontId="122" fillId="81" borderId="69" applyNumberFormat="0" applyProtection="0">
      <alignment horizontal="left" vertical="center" indent="1"/>
    </xf>
    <xf numFmtId="4" fontId="79" fillId="42" borderId="69" applyNumberFormat="0" applyProtection="0">
      <alignment horizontal="left" vertical="center" indent="1"/>
    </xf>
    <xf numFmtId="4" fontId="79" fillId="42" borderId="69" applyNumberFormat="0" applyProtection="0">
      <alignment horizontal="left" vertical="center" indent="1"/>
    </xf>
    <xf numFmtId="4" fontId="122" fillId="36" borderId="66" applyNumberFormat="0" applyProtection="0">
      <alignment horizontal="right" vertical="center"/>
    </xf>
    <xf numFmtId="4" fontId="122" fillId="35" borderId="69" applyNumberFormat="0" applyProtection="0">
      <alignment horizontal="left" vertical="center" indent="1"/>
    </xf>
    <xf numFmtId="187" fontId="122" fillId="61" borderId="63" applyNumberFormat="0" applyFont="0" applyAlignment="0" applyProtection="0"/>
    <xf numFmtId="187" fontId="122" fillId="61" borderId="63" applyNumberFormat="0" applyFont="0" applyAlignment="0" applyProtection="0"/>
    <xf numFmtId="187" fontId="122" fillId="61" borderId="63" applyNumberFormat="0" applyFont="0" applyAlignment="0" applyProtection="0"/>
    <xf numFmtId="187" fontId="122" fillId="61" borderId="63" applyNumberFormat="0" applyFont="0" applyAlignment="0" applyProtection="0"/>
    <xf numFmtId="187" fontId="122" fillId="61" borderId="63" applyNumberFormat="0" applyFont="0" applyAlignment="0" applyProtection="0"/>
    <xf numFmtId="187" fontId="122" fillId="61" borderId="63" applyNumberFormat="0" applyFont="0" applyAlignment="0" applyProtection="0"/>
    <xf numFmtId="187" fontId="122" fillId="61" borderId="63" applyNumberFormat="0" applyFont="0" applyAlignment="0" applyProtection="0"/>
    <xf numFmtId="187" fontId="122" fillId="61" borderId="63" applyNumberFormat="0" applyFont="0" applyAlignment="0" applyProtection="0"/>
    <xf numFmtId="187" fontId="122" fillId="61" borderId="63" applyNumberFormat="0" applyFont="0" applyAlignment="0" applyProtection="0"/>
    <xf numFmtId="4" fontId="122" fillId="36" borderId="69" applyNumberFormat="0" applyProtection="0">
      <alignment horizontal="left" vertical="center" indent="1"/>
    </xf>
    <xf numFmtId="4" fontId="122" fillId="37" borderId="82" applyNumberFormat="0" applyProtection="0">
      <alignment horizontal="right" vertical="center"/>
    </xf>
    <xf numFmtId="187" fontId="122" fillId="31" borderId="66" applyNumberFormat="0" applyProtection="0">
      <alignment horizontal="left" vertical="center" indent="1"/>
    </xf>
    <xf numFmtId="187" fontId="79" fillId="42" borderId="68" applyNumberFormat="0" applyProtection="0">
      <alignment horizontal="left" vertical="center" indent="1"/>
    </xf>
    <xf numFmtId="187" fontId="122" fillId="42" borderId="68" applyNumberFormat="0" applyProtection="0">
      <alignment horizontal="left" vertical="top" indent="1"/>
    </xf>
    <xf numFmtId="187" fontId="79" fillId="42" borderId="68" applyNumberFormat="0" applyProtection="0">
      <alignment horizontal="left" vertical="top" indent="1"/>
    </xf>
    <xf numFmtId="187" fontId="122" fillId="42" borderId="68" applyNumberFormat="0" applyProtection="0">
      <alignment horizontal="left" vertical="top" indent="1"/>
    </xf>
    <xf numFmtId="187" fontId="79" fillId="0" borderId="0">
      <alignment vertical="center"/>
    </xf>
    <xf numFmtId="187" fontId="122" fillId="42" borderId="68" applyNumberFormat="0" applyProtection="0">
      <alignment horizontal="left" vertical="top" indent="1"/>
    </xf>
    <xf numFmtId="187" fontId="122" fillId="42" borderId="68" applyNumberFormat="0" applyProtection="0">
      <alignment horizontal="left" vertical="top" indent="1"/>
    </xf>
    <xf numFmtId="187" fontId="122" fillId="42" borderId="68" applyNumberFormat="0" applyProtection="0">
      <alignment horizontal="left" vertical="top" indent="1"/>
    </xf>
    <xf numFmtId="187" fontId="122" fillId="42" borderId="68" applyNumberFormat="0" applyProtection="0">
      <alignment horizontal="left" vertical="top" indent="1"/>
    </xf>
    <xf numFmtId="187" fontId="122" fillId="82" borderId="66" applyNumberFormat="0" applyProtection="0">
      <alignment horizontal="left" vertical="center" indent="1"/>
    </xf>
    <xf numFmtId="187" fontId="79" fillId="36" borderId="68" applyNumberFormat="0" applyProtection="0">
      <alignment horizontal="left" vertical="center" indent="1"/>
    </xf>
    <xf numFmtId="187" fontId="122" fillId="36" borderId="68" applyNumberFormat="0" applyProtection="0">
      <alignment horizontal="left" vertical="top" indent="1"/>
    </xf>
    <xf numFmtId="187" fontId="122" fillId="36" borderId="68" applyNumberFormat="0" applyProtection="0">
      <alignment horizontal="left" vertical="top" indent="1"/>
    </xf>
    <xf numFmtId="187" fontId="122" fillId="36" borderId="68" applyNumberFormat="0" applyProtection="0">
      <alignment horizontal="left" vertical="top" indent="1"/>
    </xf>
    <xf numFmtId="187" fontId="122" fillId="36" borderId="68" applyNumberFormat="0" applyProtection="0">
      <alignment horizontal="left" vertical="top" indent="1"/>
    </xf>
    <xf numFmtId="187" fontId="122" fillId="36" borderId="68" applyNumberFormat="0" applyProtection="0">
      <alignment horizontal="left" vertical="top" indent="1"/>
    </xf>
    <xf numFmtId="187" fontId="122" fillId="36" borderId="68" applyNumberFormat="0" applyProtection="0">
      <alignment horizontal="left" vertical="top" indent="1"/>
    </xf>
    <xf numFmtId="187" fontId="122" fillId="36" borderId="68" applyNumberFormat="0" applyProtection="0">
      <alignment horizontal="left" vertical="top" indent="1"/>
    </xf>
    <xf numFmtId="190" fontId="22" fillId="70" borderId="61">
      <alignment vertical="center"/>
    </xf>
    <xf numFmtId="191" fontId="22" fillId="70" borderId="61">
      <alignment vertical="center"/>
    </xf>
    <xf numFmtId="191" fontId="22" fillId="70" borderId="61">
      <alignment vertical="center"/>
    </xf>
    <xf numFmtId="187" fontId="22" fillId="70" borderId="61">
      <alignment vertical="center"/>
    </xf>
    <xf numFmtId="187" fontId="22" fillId="70" borderId="61">
      <alignment vertical="center"/>
    </xf>
    <xf numFmtId="187" fontId="22" fillId="70" borderId="61">
      <alignment vertical="center"/>
    </xf>
    <xf numFmtId="187" fontId="22" fillId="70" borderId="61">
      <alignment vertical="center"/>
    </xf>
    <xf numFmtId="173" fontId="22" fillId="70" borderId="61">
      <alignment vertical="center"/>
    </xf>
    <xf numFmtId="173" fontId="22" fillId="70" borderId="61">
      <alignment vertical="center"/>
    </xf>
    <xf numFmtId="190" fontId="22" fillId="70" borderId="61">
      <alignment vertical="center"/>
    </xf>
    <xf numFmtId="187" fontId="122" fillId="83" borderId="66" applyNumberFormat="0" applyProtection="0">
      <alignment horizontal="left" vertical="center" indent="1"/>
    </xf>
    <xf numFmtId="187" fontId="79" fillId="83" borderId="68" applyNumberFormat="0" applyProtection="0">
      <alignment horizontal="left" vertical="center" indent="1"/>
    </xf>
    <xf numFmtId="191" fontId="22" fillId="32" borderId="61">
      <alignment vertical="center"/>
      <protection locked="0"/>
    </xf>
    <xf numFmtId="193" fontId="22" fillId="32" borderId="61">
      <alignment vertical="center"/>
      <protection locked="0"/>
    </xf>
    <xf numFmtId="187" fontId="22" fillId="32" borderId="61">
      <alignment vertical="center"/>
      <protection locked="0"/>
    </xf>
    <xf numFmtId="187" fontId="22" fillId="32" borderId="61">
      <alignment vertical="center"/>
      <protection locked="0"/>
    </xf>
    <xf numFmtId="193" fontId="22" fillId="32" borderId="61">
      <alignment vertical="center"/>
      <protection locked="0"/>
    </xf>
    <xf numFmtId="187" fontId="122" fillId="61" borderId="60" applyNumberFormat="0" applyFont="0" applyAlignment="0" applyProtection="0"/>
    <xf numFmtId="187" fontId="122" fillId="61" borderId="60" applyNumberFormat="0" applyFont="0" applyAlignment="0" applyProtection="0"/>
    <xf numFmtId="187" fontId="122" fillId="61" borderId="60" applyNumberFormat="0" applyFont="0" applyAlignment="0" applyProtection="0"/>
    <xf numFmtId="187" fontId="122" fillId="61" borderId="60" applyNumberFormat="0" applyFont="0" applyAlignment="0" applyProtection="0"/>
    <xf numFmtId="187" fontId="122" fillId="61" borderId="60" applyNumberFormat="0" applyFont="0" applyAlignment="0" applyProtection="0"/>
    <xf numFmtId="187" fontId="122" fillId="61" borderId="60" applyNumberFormat="0" applyFont="0" applyAlignment="0" applyProtection="0"/>
    <xf numFmtId="187" fontId="122" fillId="61" borderId="60" applyNumberFormat="0" applyFont="0" applyAlignment="0" applyProtection="0"/>
    <xf numFmtId="187" fontId="122" fillId="61" borderId="60" applyNumberFormat="0" applyFont="0" applyAlignment="0" applyProtection="0"/>
    <xf numFmtId="187" fontId="122" fillId="61" borderId="60" applyNumberFormat="0" applyFont="0" applyAlignment="0" applyProtection="0"/>
    <xf numFmtId="193" fontId="22" fillId="32" borderId="61">
      <alignment vertical="center"/>
      <protection locked="0"/>
    </xf>
    <xf numFmtId="187" fontId="22" fillId="32" borderId="61">
      <alignment vertical="center"/>
      <protection locked="0"/>
    </xf>
    <xf numFmtId="193" fontId="22" fillId="32" borderId="61">
      <alignment vertical="center"/>
      <protection locked="0"/>
    </xf>
    <xf numFmtId="191" fontId="22" fillId="32" borderId="61">
      <alignment vertical="center"/>
      <protection locked="0"/>
    </xf>
    <xf numFmtId="191" fontId="22" fillId="32" borderId="61">
      <alignment vertical="center"/>
      <protection locked="0"/>
    </xf>
    <xf numFmtId="169" fontId="22" fillId="32" borderId="61">
      <alignment vertical="center"/>
      <protection locked="0"/>
    </xf>
    <xf numFmtId="169" fontId="22" fillId="32" borderId="61">
      <alignment vertical="center"/>
      <protection locked="0"/>
    </xf>
    <xf numFmtId="169" fontId="22" fillId="32" borderId="61">
      <alignment vertical="center"/>
      <protection locked="0"/>
    </xf>
    <xf numFmtId="191" fontId="22" fillId="32" borderId="61">
      <alignment vertical="center"/>
      <protection locked="0"/>
    </xf>
    <xf numFmtId="191" fontId="22" fillId="71" borderId="61">
      <alignment vertical="center"/>
    </xf>
    <xf numFmtId="191" fontId="22" fillId="71" borderId="61">
      <alignment vertical="center"/>
    </xf>
    <xf numFmtId="193" fontId="22" fillId="71" borderId="61">
      <alignment vertical="center"/>
    </xf>
    <xf numFmtId="193" fontId="22" fillId="71" borderId="61">
      <alignment vertical="center"/>
    </xf>
    <xf numFmtId="193" fontId="22" fillId="71" borderId="61">
      <alignment vertical="center"/>
    </xf>
    <xf numFmtId="173" fontId="22" fillId="71" borderId="61">
      <alignment vertical="center"/>
    </xf>
    <xf numFmtId="190" fontId="22" fillId="71" borderId="61">
      <alignment vertical="center"/>
    </xf>
    <xf numFmtId="187" fontId="22" fillId="71" borderId="61">
      <alignment vertical="center"/>
    </xf>
    <xf numFmtId="187" fontId="22" fillId="71" borderId="61">
      <alignment vertical="center"/>
    </xf>
    <xf numFmtId="187" fontId="22" fillId="71" borderId="61">
      <alignment vertical="center"/>
    </xf>
    <xf numFmtId="187" fontId="22" fillId="71" borderId="61">
      <alignment vertical="center"/>
    </xf>
    <xf numFmtId="191" fontId="22" fillId="71" borderId="61">
      <alignment vertical="center"/>
    </xf>
    <xf numFmtId="191" fontId="22" fillId="71" borderId="61">
      <alignment vertical="center"/>
    </xf>
    <xf numFmtId="191" fontId="22" fillId="71" borderId="61">
      <alignment vertical="center"/>
    </xf>
    <xf numFmtId="191" fontId="22" fillId="71" borderId="61">
      <alignment vertical="center"/>
    </xf>
    <xf numFmtId="187" fontId="22" fillId="72" borderId="61">
      <alignment horizontal="right" vertical="center"/>
      <protection locked="0"/>
    </xf>
    <xf numFmtId="187" fontId="22" fillId="72" borderId="61">
      <alignment horizontal="right" vertical="center"/>
      <protection locked="0"/>
    </xf>
    <xf numFmtId="190" fontId="22" fillId="72" borderId="61">
      <alignment horizontal="right" vertical="center"/>
      <protection locked="0"/>
    </xf>
    <xf numFmtId="173" fontId="22" fillId="72" borderId="61">
      <alignment horizontal="right" vertical="center"/>
      <protection locked="0"/>
    </xf>
    <xf numFmtId="190" fontId="22" fillId="72" borderId="61">
      <alignment horizontal="right" vertical="center"/>
      <protection locked="0"/>
    </xf>
    <xf numFmtId="191" fontId="22" fillId="72" borderId="61">
      <alignment horizontal="right" vertical="center"/>
      <protection locked="0"/>
    </xf>
    <xf numFmtId="191" fontId="22" fillId="72" borderId="61">
      <alignment horizontal="right" vertical="center"/>
      <protection locked="0"/>
    </xf>
    <xf numFmtId="191" fontId="22" fillId="72" borderId="61">
      <alignment horizontal="right" vertical="center"/>
      <protection locked="0"/>
    </xf>
    <xf numFmtId="4" fontId="122" fillId="73" borderId="63" applyNumberFormat="0" applyProtection="0">
      <alignment vertical="center"/>
    </xf>
    <xf numFmtId="4" fontId="125" fillId="6" borderId="63" applyNumberFormat="0" applyProtection="0">
      <alignment vertical="center"/>
    </xf>
    <xf numFmtId="187" fontId="122" fillId="83" borderId="68" applyNumberFormat="0" applyProtection="0">
      <alignment horizontal="left" vertical="top" indent="1"/>
    </xf>
    <xf numFmtId="4" fontId="122" fillId="74" borderId="63" applyNumberFormat="0" applyProtection="0">
      <alignment horizontal="left" vertical="center" indent="1"/>
    </xf>
    <xf numFmtId="4" fontId="122" fillId="75" borderId="63" applyNumberFormat="0" applyProtection="0">
      <alignment horizontal="right" vertical="center"/>
    </xf>
    <xf numFmtId="4" fontId="122" fillId="76" borderId="63" applyNumberFormat="0" applyProtection="0">
      <alignment horizontal="right" vertical="center"/>
    </xf>
    <xf numFmtId="187" fontId="79" fillId="83" borderId="68" applyNumberFormat="0" applyProtection="0">
      <alignment horizontal="left" vertical="top" indent="1"/>
    </xf>
    <xf numFmtId="4" fontId="122" fillId="44" borderId="63" applyNumberFormat="0" applyProtection="0">
      <alignment horizontal="right" vertical="center"/>
    </xf>
    <xf numFmtId="4" fontId="122" fillId="78" borderId="63" applyNumberFormat="0" applyProtection="0">
      <alignment horizontal="right" vertical="center"/>
    </xf>
    <xf numFmtId="4" fontId="122" fillId="40" borderId="63" applyNumberFormat="0" applyProtection="0">
      <alignment horizontal="right" vertical="center"/>
    </xf>
    <xf numFmtId="4" fontId="122" fillId="37" borderId="63" applyNumberFormat="0" applyProtection="0">
      <alignment horizontal="right" vertical="center"/>
    </xf>
    <xf numFmtId="4" fontId="122" fillId="80" borderId="63" applyNumberFormat="0" applyProtection="0">
      <alignment horizontal="right" vertical="center"/>
    </xf>
    <xf numFmtId="187" fontId="122" fillId="83" borderId="68" applyNumberFormat="0" applyProtection="0">
      <alignment horizontal="left" vertical="top" indent="1"/>
    </xf>
    <xf numFmtId="187" fontId="122" fillId="83" borderId="68" applyNumberFormat="0" applyProtection="0">
      <alignment horizontal="left" vertical="top" indent="1"/>
    </xf>
    <xf numFmtId="187" fontId="122" fillId="83" borderId="68" applyNumberFormat="0" applyProtection="0">
      <alignment horizontal="left" vertical="top" indent="1"/>
    </xf>
    <xf numFmtId="4" fontId="122" fillId="36" borderId="63" applyNumberFormat="0" applyProtection="0">
      <alignment horizontal="right" vertical="center"/>
    </xf>
    <xf numFmtId="187" fontId="122" fillId="83" borderId="68" applyNumberFormat="0" applyProtection="0">
      <alignment horizontal="left" vertical="top" indent="1"/>
    </xf>
    <xf numFmtId="187" fontId="122" fillId="83" borderId="68" applyNumberFormat="0" applyProtection="0">
      <alignment horizontal="left" vertical="top" indent="1"/>
    </xf>
    <xf numFmtId="187" fontId="122" fillId="83" borderId="68" applyNumberFormat="0" applyProtection="0">
      <alignment horizontal="left" vertical="top" indent="1"/>
    </xf>
    <xf numFmtId="187" fontId="122" fillId="83" borderId="68" applyNumberFormat="0" applyProtection="0">
      <alignment horizontal="left" vertical="top" indent="1"/>
    </xf>
    <xf numFmtId="187" fontId="122" fillId="83" borderId="68" applyNumberFormat="0" applyProtection="0">
      <alignment horizontal="left" vertical="top" indent="1"/>
    </xf>
    <xf numFmtId="187" fontId="122" fillId="31" borderId="63" applyNumberFormat="0" applyProtection="0">
      <alignment horizontal="left" vertical="center" indent="1"/>
    </xf>
    <xf numFmtId="187" fontId="122" fillId="35" borderId="66" applyNumberFormat="0" applyProtection="0">
      <alignment horizontal="left" vertical="center" indent="1"/>
    </xf>
    <xf numFmtId="187" fontId="79" fillId="35" borderId="68" applyNumberFormat="0" applyProtection="0">
      <alignment horizontal="left" vertical="center" indent="1"/>
    </xf>
    <xf numFmtId="187" fontId="122" fillId="35" borderId="68" applyNumberFormat="0" applyProtection="0">
      <alignment horizontal="left" vertical="top" indent="1"/>
    </xf>
    <xf numFmtId="187" fontId="79" fillId="35" borderId="68" applyNumberFormat="0" applyProtection="0">
      <alignment horizontal="left" vertical="top" indent="1"/>
    </xf>
    <xf numFmtId="187" fontId="122" fillId="35" borderId="68" applyNumberFormat="0" applyProtection="0">
      <alignment horizontal="left" vertical="top" indent="1"/>
    </xf>
    <xf numFmtId="187" fontId="79" fillId="0" borderId="0">
      <alignment vertical="center"/>
    </xf>
    <xf numFmtId="187" fontId="122" fillId="35" borderId="68" applyNumberFormat="0" applyProtection="0">
      <alignment horizontal="left" vertical="top" indent="1"/>
    </xf>
    <xf numFmtId="187" fontId="122" fillId="35" borderId="68" applyNumberFormat="0" applyProtection="0">
      <alignment horizontal="left" vertical="top" indent="1"/>
    </xf>
    <xf numFmtId="187" fontId="122" fillId="35" borderId="68" applyNumberFormat="0" applyProtection="0">
      <alignment horizontal="left" vertical="top" indent="1"/>
    </xf>
    <xf numFmtId="187" fontId="122" fillId="35" borderId="68" applyNumberFormat="0" applyProtection="0">
      <alignment horizontal="left" vertical="top" indent="1"/>
    </xf>
    <xf numFmtId="187" fontId="122" fillId="35" borderId="68" applyNumberFormat="0" applyProtection="0">
      <alignment horizontal="left" vertical="top" indent="1"/>
    </xf>
    <xf numFmtId="187" fontId="122" fillId="82" borderId="63" applyNumberFormat="0" applyProtection="0">
      <alignment horizontal="left" vertical="center" indent="1"/>
    </xf>
    <xf numFmtId="187" fontId="122" fillId="35" borderId="68" applyNumberFormat="0" applyProtection="0">
      <alignment horizontal="left" vertical="top" indent="1"/>
    </xf>
    <xf numFmtId="4" fontId="79" fillId="42" borderId="85" applyNumberFormat="0" applyProtection="0">
      <alignment horizontal="left" vertical="center" indent="1"/>
    </xf>
    <xf numFmtId="4" fontId="79" fillId="42" borderId="85" applyNumberFormat="0" applyProtection="0">
      <alignment horizontal="left" vertical="center" indent="1"/>
    </xf>
    <xf numFmtId="4" fontId="122" fillId="36" borderId="82" applyNumberFormat="0" applyProtection="0">
      <alignment horizontal="right" vertical="center"/>
    </xf>
    <xf numFmtId="4" fontId="122" fillId="35" borderId="85" applyNumberFormat="0" applyProtection="0">
      <alignment horizontal="left" vertical="center" indent="1"/>
    </xf>
    <xf numFmtId="4" fontId="122" fillId="36" borderId="85" applyNumberFormat="0" applyProtection="0">
      <alignment horizontal="left" vertical="center" indent="1"/>
    </xf>
    <xf numFmtId="4" fontId="122" fillId="73" borderId="60" applyNumberFormat="0" applyProtection="0">
      <alignment vertical="center"/>
    </xf>
    <xf numFmtId="4" fontId="125" fillId="6" borderId="60" applyNumberFormat="0" applyProtection="0">
      <alignment vertical="center"/>
    </xf>
    <xf numFmtId="4" fontId="122" fillId="6" borderId="60" applyNumberFormat="0" applyProtection="0">
      <alignment horizontal="left" vertical="center" indent="1"/>
    </xf>
    <xf numFmtId="4" fontId="122" fillId="74" borderId="60" applyNumberFormat="0" applyProtection="0">
      <alignment horizontal="left" vertical="center" indent="1"/>
    </xf>
    <xf numFmtId="4" fontId="122" fillId="75" borderId="60" applyNumberFormat="0" applyProtection="0">
      <alignment horizontal="right" vertical="center"/>
    </xf>
    <xf numFmtId="4" fontId="122" fillId="76" borderId="60" applyNumberFormat="0" applyProtection="0">
      <alignment horizontal="right" vertical="center"/>
    </xf>
    <xf numFmtId="187" fontId="122" fillId="83" borderId="63" applyNumberFormat="0" applyProtection="0">
      <alignment horizontal="left" vertical="center" indent="1"/>
    </xf>
    <xf numFmtId="4" fontId="122" fillId="44" borderId="60" applyNumberFormat="0" applyProtection="0">
      <alignment horizontal="right" vertical="center"/>
    </xf>
    <xf numFmtId="4" fontId="122" fillId="78" borderId="60" applyNumberFormat="0" applyProtection="0">
      <alignment horizontal="right" vertical="center"/>
    </xf>
    <xf numFmtId="4" fontId="122" fillId="79" borderId="60" applyNumberFormat="0" applyProtection="0">
      <alignment horizontal="right" vertical="center"/>
    </xf>
    <xf numFmtId="4" fontId="122" fillId="40" borderId="60" applyNumberFormat="0" applyProtection="0">
      <alignment horizontal="right" vertical="center"/>
    </xf>
    <xf numFmtId="4" fontId="122" fillId="37" borderId="60" applyNumberFormat="0" applyProtection="0">
      <alignment horizontal="right" vertical="center"/>
    </xf>
    <xf numFmtId="4" fontId="122" fillId="80" borderId="60" applyNumberFormat="0" applyProtection="0">
      <alignment horizontal="right" vertical="center"/>
    </xf>
    <xf numFmtId="187" fontId="127" fillId="42" borderId="70" applyBorder="0"/>
    <xf numFmtId="4" fontId="122" fillId="36" borderId="60" applyNumberFormat="0" applyProtection="0">
      <alignment horizontal="right" vertical="center"/>
    </xf>
    <xf numFmtId="4" fontId="128" fillId="69" borderId="68" applyNumberFormat="0" applyProtection="0">
      <alignment vertical="center"/>
    </xf>
    <xf numFmtId="4" fontId="128" fillId="31" borderId="68" applyNumberFormat="0" applyProtection="0">
      <alignment horizontal="left" vertical="center" indent="1"/>
    </xf>
    <xf numFmtId="187" fontId="128" fillId="69" borderId="68" applyNumberFormat="0" applyProtection="0">
      <alignment horizontal="left" vertical="top" indent="1"/>
    </xf>
    <xf numFmtId="4" fontId="122" fillId="0" borderId="66" applyNumberFormat="0" applyProtection="0">
      <alignment horizontal="right" vertical="center"/>
    </xf>
    <xf numFmtId="4" fontId="125" fillId="3" borderId="66" applyNumberFormat="0" applyProtection="0">
      <alignment horizontal="right" vertical="center"/>
    </xf>
    <xf numFmtId="187" fontId="122" fillId="31" borderId="60" applyNumberFormat="0" applyProtection="0">
      <alignment horizontal="left" vertical="center" indent="1"/>
    </xf>
    <xf numFmtId="4" fontId="122" fillId="74" borderId="66" applyNumberFormat="0" applyProtection="0">
      <alignment horizontal="left" vertical="center" indent="1"/>
    </xf>
    <xf numFmtId="187" fontId="128" fillId="36" borderId="68" applyNumberFormat="0" applyProtection="0">
      <alignment horizontal="left" vertical="top" indent="1"/>
    </xf>
    <xf numFmtId="4" fontId="129" fillId="85" borderId="69" applyNumberFormat="0" applyProtection="0">
      <alignment horizontal="left" vertical="center" indent="1"/>
    </xf>
    <xf numFmtId="187" fontId="122" fillId="35" borderId="63" applyNumberFormat="0" applyProtection="0">
      <alignment horizontal="left" vertical="center" indent="1"/>
    </xf>
    <xf numFmtId="4" fontId="130" fillId="84" borderId="66" applyNumberFormat="0" applyProtection="0">
      <alignment horizontal="right" vertical="center"/>
    </xf>
    <xf numFmtId="37" fontId="102" fillId="0" borderId="71" applyNumberFormat="0"/>
    <xf numFmtId="187" fontId="122" fillId="82" borderId="60" applyNumberFormat="0" applyProtection="0">
      <alignment horizontal="left" vertical="center" indent="1"/>
    </xf>
    <xf numFmtId="188" fontId="102" fillId="0" borderId="65" applyFill="0"/>
    <xf numFmtId="187" fontId="111" fillId="0" borderId="72" applyNumberFormat="0" applyFill="0" applyAlignment="0" applyProtection="0"/>
    <xf numFmtId="187" fontId="111" fillId="0" borderId="72" applyNumberFormat="0" applyFill="0" applyAlignment="0" applyProtection="0"/>
    <xf numFmtId="187" fontId="79" fillId="84" borderId="61" applyNumberFormat="0">
      <protection locked="0"/>
    </xf>
    <xf numFmtId="187" fontId="109" fillId="65" borderId="90" applyNumberFormat="0" applyAlignment="0" applyProtection="0"/>
    <xf numFmtId="187" fontId="122" fillId="83" borderId="60" applyNumberFormat="0" applyProtection="0">
      <alignment horizontal="left" vertical="center" indent="1"/>
    </xf>
    <xf numFmtId="4" fontId="125" fillId="32" borderId="61" applyNumberFormat="0" applyProtection="0">
      <alignment vertical="center"/>
    </xf>
    <xf numFmtId="4" fontId="122" fillId="0" borderId="63" applyNumberFormat="0" applyProtection="0">
      <alignment horizontal="right" vertical="center"/>
    </xf>
    <xf numFmtId="4" fontId="125" fillId="3" borderId="63" applyNumberFormat="0" applyProtection="0">
      <alignment horizontal="right" vertical="center"/>
    </xf>
    <xf numFmtId="187" fontId="122" fillId="35" borderId="60" applyNumberFormat="0" applyProtection="0">
      <alignment horizontal="left" vertical="center" indent="1"/>
    </xf>
    <xf numFmtId="4" fontId="122" fillId="74" borderId="63" applyNumberFormat="0" applyProtection="0">
      <alignment horizontal="left" vertical="center" indent="1"/>
    </xf>
    <xf numFmtId="187" fontId="122" fillId="86" borderId="61"/>
    <xf numFmtId="4" fontId="130" fillId="84" borderId="63" applyNumberFormat="0" applyProtection="0">
      <alignment horizontal="right" vertical="center"/>
    </xf>
    <xf numFmtId="187" fontId="79" fillId="36" borderId="68" applyNumberFormat="0" applyProtection="0">
      <alignment horizontal="left" vertical="top" indent="1"/>
    </xf>
    <xf numFmtId="187" fontId="122" fillId="36" borderId="68" applyNumberFormat="0" applyProtection="0">
      <alignment horizontal="left" vertical="top" indent="1"/>
    </xf>
    <xf numFmtId="4" fontId="122" fillId="78" borderId="66" applyNumberFormat="0" applyProtection="0">
      <alignment horizontal="right" vertical="center"/>
    </xf>
    <xf numFmtId="188" fontId="102" fillId="0" borderId="62" applyFill="0"/>
    <xf numFmtId="187" fontId="122" fillId="42" borderId="68" applyNumberFormat="0" applyProtection="0">
      <alignment horizontal="left" vertical="top" indent="1"/>
    </xf>
    <xf numFmtId="4" fontId="122" fillId="0" borderId="60" applyNumberFormat="0" applyProtection="0">
      <alignment horizontal="right" vertical="center"/>
    </xf>
    <xf numFmtId="4" fontId="125" fillId="3" borderId="60" applyNumberFormat="0" applyProtection="0">
      <alignment horizontal="right" vertical="center"/>
    </xf>
    <xf numFmtId="4" fontId="122" fillId="74" borderId="60" applyNumberFormat="0" applyProtection="0">
      <alignment horizontal="left" vertical="center" indent="1"/>
    </xf>
    <xf numFmtId="187" fontId="122" fillId="42" borderId="68" applyNumberFormat="0" applyProtection="0">
      <alignment horizontal="left" vertical="top" indent="1"/>
    </xf>
    <xf numFmtId="4" fontId="130" fillId="84" borderId="60" applyNumberFormat="0" applyProtection="0">
      <alignment horizontal="right" vertical="center"/>
    </xf>
    <xf numFmtId="4" fontId="122" fillId="81" borderId="85" applyNumberFormat="0" applyProtection="0">
      <alignment horizontal="left" vertical="center" indent="1"/>
    </xf>
    <xf numFmtId="4" fontId="122" fillId="80" borderId="82" applyNumberFormat="0" applyProtection="0">
      <alignment horizontal="right" vertical="center"/>
    </xf>
    <xf numFmtId="4" fontId="122" fillId="79" borderId="63" applyNumberFormat="0" applyProtection="0">
      <alignment horizontal="right" vertical="center"/>
    </xf>
    <xf numFmtId="187" fontId="122" fillId="35" borderId="68" applyNumberFormat="0" applyProtection="0">
      <alignment horizontal="left" vertical="top" indent="1"/>
    </xf>
    <xf numFmtId="187" fontId="122" fillId="61" borderId="82" applyNumberFormat="0" applyFont="0" applyAlignment="0" applyProtection="0"/>
    <xf numFmtId="187" fontId="79" fillId="0" borderId="0">
      <alignment vertical="center"/>
    </xf>
    <xf numFmtId="4" fontId="122" fillId="40" borderId="82" applyNumberFormat="0" applyProtection="0">
      <alignment horizontal="right" vertical="center"/>
    </xf>
    <xf numFmtId="193" fontId="22" fillId="71" borderId="61">
      <alignment vertical="center"/>
    </xf>
    <xf numFmtId="187" fontId="122" fillId="42" borderId="68" applyNumberFormat="0" applyProtection="0">
      <alignment horizontal="left" vertical="top" indent="1"/>
    </xf>
    <xf numFmtId="187" fontId="122" fillId="61" borderId="82" applyNumberFormat="0" applyFont="0" applyAlignment="0" applyProtection="0"/>
    <xf numFmtId="187" fontId="122" fillId="61" borderId="82" applyNumberFormat="0" applyFont="0" applyAlignment="0" applyProtection="0"/>
    <xf numFmtId="173" fontId="1" fillId="24" borderId="61">
      <alignment vertical="center"/>
    </xf>
    <xf numFmtId="187" fontId="122" fillId="36" borderId="68" applyNumberFormat="0" applyProtection="0">
      <alignment horizontal="left" vertical="top" indent="1"/>
    </xf>
    <xf numFmtId="4" fontId="122" fillId="73" borderId="90" applyNumberFormat="0" applyProtection="0">
      <alignment vertical="center"/>
    </xf>
    <xf numFmtId="4" fontId="125" fillId="6" borderId="90" applyNumberFormat="0" applyProtection="0">
      <alignment vertical="center"/>
    </xf>
    <xf numFmtId="4" fontId="122" fillId="6" borderId="90" applyNumberFormat="0" applyProtection="0">
      <alignment horizontal="left" vertical="center" indent="1"/>
    </xf>
    <xf numFmtId="187" fontId="126" fillId="73" borderId="92" applyNumberFormat="0" applyProtection="0">
      <alignment horizontal="left" vertical="top" indent="1"/>
    </xf>
    <xf numFmtId="4" fontId="122" fillId="74" borderId="90" applyNumberFormat="0" applyProtection="0">
      <alignment horizontal="left" vertical="center" indent="1"/>
    </xf>
    <xf numFmtId="4" fontId="122" fillId="75" borderId="90" applyNumberFormat="0" applyProtection="0">
      <alignment horizontal="right" vertical="center"/>
    </xf>
    <xf numFmtId="4" fontId="122" fillId="76" borderId="90" applyNumberFormat="0" applyProtection="0">
      <alignment horizontal="right" vertical="center"/>
    </xf>
    <xf numFmtId="4" fontId="122" fillId="44" borderId="90" applyNumberFormat="0" applyProtection="0">
      <alignment horizontal="right" vertical="center"/>
    </xf>
    <xf numFmtId="4" fontId="122" fillId="78" borderId="90" applyNumberFormat="0" applyProtection="0">
      <alignment horizontal="right" vertical="center"/>
    </xf>
    <xf numFmtId="4" fontId="122" fillId="79" borderId="90" applyNumberFormat="0" applyProtection="0">
      <alignment horizontal="right" vertical="center"/>
    </xf>
    <xf numFmtId="4" fontId="122" fillId="40" borderId="90" applyNumberFormat="0" applyProtection="0">
      <alignment horizontal="right" vertical="center"/>
    </xf>
    <xf numFmtId="4" fontId="122" fillId="73" borderId="74" applyNumberFormat="0" applyProtection="0">
      <alignment vertical="center"/>
    </xf>
    <xf numFmtId="4" fontId="125" fillId="6" borderId="74" applyNumberFormat="0" applyProtection="0">
      <alignment vertical="center"/>
    </xf>
    <xf numFmtId="4" fontId="122" fillId="6" borderId="74" applyNumberFormat="0" applyProtection="0">
      <alignment horizontal="left" vertical="center" indent="1"/>
    </xf>
    <xf numFmtId="187" fontId="126" fillId="73" borderId="76" applyNumberFormat="0" applyProtection="0">
      <alignment horizontal="left" vertical="top" indent="1"/>
    </xf>
    <xf numFmtId="4" fontId="122" fillId="74" borderId="74" applyNumberFormat="0" applyProtection="0">
      <alignment horizontal="left" vertical="center" indent="1"/>
    </xf>
    <xf numFmtId="4" fontId="122" fillId="75" borderId="74" applyNumberFormat="0" applyProtection="0">
      <alignment horizontal="right" vertical="center"/>
    </xf>
    <xf numFmtId="4" fontId="122" fillId="76" borderId="74" applyNumberFormat="0" applyProtection="0">
      <alignment horizontal="right" vertical="center"/>
    </xf>
    <xf numFmtId="4" fontId="122" fillId="77" borderId="77" applyNumberFormat="0" applyProtection="0">
      <alignment horizontal="right" vertical="center"/>
    </xf>
    <xf numFmtId="4" fontId="122" fillId="44" borderId="74" applyNumberFormat="0" applyProtection="0">
      <alignment horizontal="right" vertical="center"/>
    </xf>
    <xf numFmtId="4" fontId="122" fillId="78" borderId="74" applyNumberFormat="0" applyProtection="0">
      <alignment horizontal="right" vertical="center"/>
    </xf>
    <xf numFmtId="4" fontId="122" fillId="79" borderId="74" applyNumberFormat="0" applyProtection="0">
      <alignment horizontal="right" vertical="center"/>
    </xf>
    <xf numFmtId="4" fontId="122" fillId="40" borderId="74" applyNumberFormat="0" applyProtection="0">
      <alignment horizontal="right" vertical="center"/>
    </xf>
    <xf numFmtId="4" fontId="122" fillId="37" borderId="74" applyNumberFormat="0" applyProtection="0">
      <alignment horizontal="right" vertical="center"/>
    </xf>
    <xf numFmtId="4" fontId="122" fillId="80" borderId="74" applyNumberFormat="0" applyProtection="0">
      <alignment horizontal="right" vertical="center"/>
    </xf>
    <xf numFmtId="4" fontId="122" fillId="81" borderId="77" applyNumberFormat="0" applyProtection="0">
      <alignment horizontal="left" vertical="center" indent="1"/>
    </xf>
    <xf numFmtId="4" fontId="79" fillId="42" borderId="77" applyNumberFormat="0" applyProtection="0">
      <alignment horizontal="left" vertical="center" indent="1"/>
    </xf>
    <xf numFmtId="4" fontId="79" fillId="42" borderId="77" applyNumberFormat="0" applyProtection="0">
      <alignment horizontal="left" vertical="center" indent="1"/>
    </xf>
    <xf numFmtId="4" fontId="122" fillId="36" borderId="74" applyNumberFormat="0" applyProtection="0">
      <alignment horizontal="right" vertical="center"/>
    </xf>
    <xf numFmtId="4" fontId="122" fillId="35" borderId="77" applyNumberFormat="0" applyProtection="0">
      <alignment horizontal="left" vertical="center" indent="1"/>
    </xf>
    <xf numFmtId="4" fontId="122" fillId="37" borderId="90" applyNumberFormat="0" applyProtection="0">
      <alignment horizontal="right" vertical="center"/>
    </xf>
    <xf numFmtId="4" fontId="122" fillId="36" borderId="77" applyNumberFormat="0" applyProtection="0">
      <alignment horizontal="left" vertical="center" indent="1"/>
    </xf>
    <xf numFmtId="37" fontId="102" fillId="0" borderId="64" applyNumberFormat="0"/>
    <xf numFmtId="187" fontId="122" fillId="61" borderId="90" applyNumberFormat="0" applyFont="0" applyAlignment="0" applyProtection="0"/>
    <xf numFmtId="187" fontId="109" fillId="65" borderId="82" applyNumberFormat="0" applyAlignment="0" applyProtection="0"/>
    <xf numFmtId="4" fontId="122" fillId="80" borderId="90" applyNumberFormat="0" applyProtection="0">
      <alignment horizontal="right" vertical="center"/>
    </xf>
    <xf numFmtId="187" fontId="122" fillId="31" borderId="74" applyNumberFormat="0" applyProtection="0">
      <alignment horizontal="left" vertical="center" indent="1"/>
    </xf>
    <xf numFmtId="187" fontId="79" fillId="42" borderId="76" applyNumberFormat="0" applyProtection="0">
      <alignment horizontal="left" vertical="center" indent="1"/>
    </xf>
    <xf numFmtId="187" fontId="122" fillId="42" borderId="76" applyNumberFormat="0" applyProtection="0">
      <alignment horizontal="left" vertical="top" indent="1"/>
    </xf>
    <xf numFmtId="187" fontId="79" fillId="42" borderId="76" applyNumberFormat="0" applyProtection="0">
      <alignment horizontal="left" vertical="top" indent="1"/>
    </xf>
    <xf numFmtId="187" fontId="122" fillId="42" borderId="76" applyNumberFormat="0" applyProtection="0">
      <alignment horizontal="left" vertical="top" indent="1"/>
    </xf>
    <xf numFmtId="187" fontId="122" fillId="42" borderId="76" applyNumberFormat="0" applyProtection="0">
      <alignment horizontal="left" vertical="top" indent="1"/>
    </xf>
    <xf numFmtId="187" fontId="122" fillId="42" borderId="76" applyNumberFormat="0" applyProtection="0">
      <alignment horizontal="left" vertical="top" indent="1"/>
    </xf>
    <xf numFmtId="187" fontId="122" fillId="42" borderId="76" applyNumberFormat="0" applyProtection="0">
      <alignment horizontal="left" vertical="top" indent="1"/>
    </xf>
    <xf numFmtId="187" fontId="122" fillId="42" borderId="76" applyNumberFormat="0" applyProtection="0">
      <alignment horizontal="left" vertical="top" indent="1"/>
    </xf>
    <xf numFmtId="187" fontId="122" fillId="42" borderId="76" applyNumberFormat="0" applyProtection="0">
      <alignment horizontal="left" vertical="top" indent="1"/>
    </xf>
    <xf numFmtId="187" fontId="122" fillId="42" borderId="76" applyNumberFormat="0" applyProtection="0">
      <alignment horizontal="left" vertical="top" indent="1"/>
    </xf>
    <xf numFmtId="187" fontId="122" fillId="42" borderId="76" applyNumberFormat="0" applyProtection="0">
      <alignment horizontal="left" vertical="top" indent="1"/>
    </xf>
    <xf numFmtId="187" fontId="122" fillId="82" borderId="74" applyNumberFormat="0" applyProtection="0">
      <alignment horizontal="left" vertical="center" indent="1"/>
    </xf>
    <xf numFmtId="187" fontId="79" fillId="36" borderId="76" applyNumberFormat="0" applyProtection="0">
      <alignment horizontal="left" vertical="center" indent="1"/>
    </xf>
    <xf numFmtId="187" fontId="122" fillId="36" borderId="76" applyNumberFormat="0" applyProtection="0">
      <alignment horizontal="left" vertical="top" indent="1"/>
    </xf>
    <xf numFmtId="187" fontId="79" fillId="36" borderId="76" applyNumberFormat="0" applyProtection="0">
      <alignment horizontal="left" vertical="top" indent="1"/>
    </xf>
    <xf numFmtId="187" fontId="122" fillId="36" borderId="76" applyNumberFormat="0" applyProtection="0">
      <alignment horizontal="left" vertical="top" indent="1"/>
    </xf>
    <xf numFmtId="187" fontId="122" fillId="36" borderId="76" applyNumberFormat="0" applyProtection="0">
      <alignment horizontal="left" vertical="top" indent="1"/>
    </xf>
    <xf numFmtId="187" fontId="122" fillId="36" borderId="76" applyNumberFormat="0" applyProtection="0">
      <alignment horizontal="left" vertical="top" indent="1"/>
    </xf>
    <xf numFmtId="187" fontId="122" fillId="36" borderId="76" applyNumberFormat="0" applyProtection="0">
      <alignment horizontal="left" vertical="top" indent="1"/>
    </xf>
    <xf numFmtId="187" fontId="122" fillId="36" borderId="76" applyNumberFormat="0" applyProtection="0">
      <alignment horizontal="left" vertical="top" indent="1"/>
    </xf>
    <xf numFmtId="187" fontId="122" fillId="36" borderId="76" applyNumberFormat="0" applyProtection="0">
      <alignment horizontal="left" vertical="top" indent="1"/>
    </xf>
    <xf numFmtId="187" fontId="122" fillId="36" borderId="76" applyNumberFormat="0" applyProtection="0">
      <alignment horizontal="left" vertical="top" indent="1"/>
    </xf>
    <xf numFmtId="187" fontId="122" fillId="36" borderId="76" applyNumberFormat="0" applyProtection="0">
      <alignment horizontal="left" vertical="top" indent="1"/>
    </xf>
    <xf numFmtId="187" fontId="122" fillId="83" borderId="74" applyNumberFormat="0" applyProtection="0">
      <alignment horizontal="left" vertical="center" indent="1"/>
    </xf>
    <xf numFmtId="187" fontId="79" fillId="83" borderId="76" applyNumberFormat="0" applyProtection="0">
      <alignment horizontal="left" vertical="center" indent="1"/>
    </xf>
    <xf numFmtId="187" fontId="122" fillId="83" borderId="76" applyNumberFormat="0" applyProtection="0">
      <alignment horizontal="left" vertical="top" indent="1"/>
    </xf>
    <xf numFmtId="187" fontId="79" fillId="83" borderId="76" applyNumberFormat="0" applyProtection="0">
      <alignment horizontal="left" vertical="top" indent="1"/>
    </xf>
    <xf numFmtId="187" fontId="122" fillId="83" borderId="76" applyNumberFormat="0" applyProtection="0">
      <alignment horizontal="left" vertical="top" indent="1"/>
    </xf>
    <xf numFmtId="187" fontId="122" fillId="83" borderId="76" applyNumberFormat="0" applyProtection="0">
      <alignment horizontal="left" vertical="top" indent="1"/>
    </xf>
    <xf numFmtId="187" fontId="122" fillId="83" borderId="76" applyNumberFormat="0" applyProtection="0">
      <alignment horizontal="left" vertical="top" indent="1"/>
    </xf>
    <xf numFmtId="187" fontId="122" fillId="83" borderId="76" applyNumberFormat="0" applyProtection="0">
      <alignment horizontal="left" vertical="top" indent="1"/>
    </xf>
    <xf numFmtId="187" fontId="122" fillId="83" borderId="76" applyNumberFormat="0" applyProtection="0">
      <alignment horizontal="left" vertical="top" indent="1"/>
    </xf>
    <xf numFmtId="187" fontId="122" fillId="83" borderId="76" applyNumberFormat="0" applyProtection="0">
      <alignment horizontal="left" vertical="top" indent="1"/>
    </xf>
    <xf numFmtId="187" fontId="122" fillId="83" borderId="76" applyNumberFormat="0" applyProtection="0">
      <alignment horizontal="left" vertical="top" indent="1"/>
    </xf>
    <xf numFmtId="187" fontId="122" fillId="83" borderId="76" applyNumberFormat="0" applyProtection="0">
      <alignment horizontal="left" vertical="top" indent="1"/>
    </xf>
    <xf numFmtId="187" fontId="122" fillId="35" borderId="74" applyNumberFormat="0" applyProtection="0">
      <alignment horizontal="left" vertical="center" indent="1"/>
    </xf>
    <xf numFmtId="187" fontId="79" fillId="35" borderId="76" applyNumberFormat="0" applyProtection="0">
      <alignment horizontal="left" vertical="center" indent="1"/>
    </xf>
    <xf numFmtId="187" fontId="122" fillId="35" borderId="76" applyNumberFormat="0" applyProtection="0">
      <alignment horizontal="left" vertical="top" indent="1"/>
    </xf>
    <xf numFmtId="187" fontId="79" fillId="35" borderId="76" applyNumberFormat="0" applyProtection="0">
      <alignment horizontal="left" vertical="top" indent="1"/>
    </xf>
    <xf numFmtId="187" fontId="122" fillId="35" borderId="76" applyNumberFormat="0" applyProtection="0">
      <alignment horizontal="left" vertical="top" indent="1"/>
    </xf>
    <xf numFmtId="187" fontId="122" fillId="35" borderId="76" applyNumberFormat="0" applyProtection="0">
      <alignment horizontal="left" vertical="top" indent="1"/>
    </xf>
    <xf numFmtId="187" fontId="122" fillId="35" borderId="76" applyNumberFormat="0" applyProtection="0">
      <alignment horizontal="left" vertical="top" indent="1"/>
    </xf>
    <xf numFmtId="187" fontId="122" fillId="35" borderId="76" applyNumberFormat="0" applyProtection="0">
      <alignment horizontal="left" vertical="top" indent="1"/>
    </xf>
    <xf numFmtId="187" fontId="122" fillId="35" borderId="76" applyNumberFormat="0" applyProtection="0">
      <alignment horizontal="left" vertical="top" indent="1"/>
    </xf>
    <xf numFmtId="187" fontId="122" fillId="35" borderId="76" applyNumberFormat="0" applyProtection="0">
      <alignment horizontal="left" vertical="top" indent="1"/>
    </xf>
    <xf numFmtId="187" fontId="122" fillId="35" borderId="76" applyNumberFormat="0" applyProtection="0">
      <alignment horizontal="left" vertical="top" indent="1"/>
    </xf>
    <xf numFmtId="187" fontId="122" fillId="35" borderId="76" applyNumberFormat="0" applyProtection="0">
      <alignment horizontal="left" vertical="top" indent="1"/>
    </xf>
    <xf numFmtId="4" fontId="122" fillId="36" borderId="90" applyNumberFormat="0" applyProtection="0">
      <alignment horizontal="right" vertical="center"/>
    </xf>
    <xf numFmtId="187" fontId="127" fillId="42" borderId="78" applyBorder="0"/>
    <xf numFmtId="4" fontId="128" fillId="69" borderId="76" applyNumberFormat="0" applyProtection="0">
      <alignment vertical="center"/>
    </xf>
    <xf numFmtId="4" fontId="128" fillId="31" borderId="76" applyNumberFormat="0" applyProtection="0">
      <alignment horizontal="left" vertical="center" indent="1"/>
    </xf>
    <xf numFmtId="187" fontId="128" fillId="69" borderId="76" applyNumberFormat="0" applyProtection="0">
      <alignment horizontal="left" vertical="top" indent="1"/>
    </xf>
    <xf numFmtId="4" fontId="122" fillId="0" borderId="74" applyNumberFormat="0" applyProtection="0">
      <alignment horizontal="right" vertical="center"/>
    </xf>
    <xf numFmtId="4" fontId="125" fillId="3" borderId="74" applyNumberFormat="0" applyProtection="0">
      <alignment horizontal="right" vertical="center"/>
    </xf>
    <xf numFmtId="4" fontId="122" fillId="74" borderId="74" applyNumberFormat="0" applyProtection="0">
      <alignment horizontal="left" vertical="center" indent="1"/>
    </xf>
    <xf numFmtId="187" fontId="128" fillId="36" borderId="76" applyNumberFormat="0" applyProtection="0">
      <alignment horizontal="left" vertical="top" indent="1"/>
    </xf>
    <xf numFmtId="4" fontId="129" fillId="85" borderId="77" applyNumberFormat="0" applyProtection="0">
      <alignment horizontal="left" vertical="center" indent="1"/>
    </xf>
    <xf numFmtId="4" fontId="130" fillId="84" borderId="74" applyNumberFormat="0" applyProtection="0">
      <alignment horizontal="right" vertical="center"/>
    </xf>
    <xf numFmtId="37" fontId="102" fillId="0" borderId="79" applyNumberFormat="0"/>
    <xf numFmtId="188" fontId="102" fillId="0" borderId="73" applyFill="0"/>
    <xf numFmtId="187" fontId="111" fillId="0" borderId="80" applyNumberFormat="0" applyFill="0" applyAlignment="0" applyProtection="0"/>
    <xf numFmtId="187" fontId="111" fillId="0" borderId="80" applyNumberFormat="0" applyFill="0" applyAlignment="0" applyProtection="0"/>
    <xf numFmtId="187" fontId="122" fillId="31" borderId="82" applyNumberFormat="0" applyProtection="0">
      <alignment horizontal="left" vertical="center" indent="1"/>
    </xf>
    <xf numFmtId="187" fontId="79" fillId="42" borderId="84" applyNumberFormat="0" applyProtection="0">
      <alignment horizontal="left" vertical="center" indent="1"/>
    </xf>
    <xf numFmtId="187" fontId="122" fillId="42" borderId="84" applyNumberFormat="0" applyProtection="0">
      <alignment horizontal="left" vertical="top" indent="1"/>
    </xf>
    <xf numFmtId="187" fontId="79" fillId="42" borderId="84" applyNumberFormat="0" applyProtection="0">
      <alignment horizontal="left" vertical="top" indent="1"/>
    </xf>
    <xf numFmtId="187" fontId="122" fillId="42" borderId="84" applyNumberFormat="0" applyProtection="0">
      <alignment horizontal="left" vertical="top" indent="1"/>
    </xf>
    <xf numFmtId="187" fontId="122" fillId="42" borderId="84" applyNumberFormat="0" applyProtection="0">
      <alignment horizontal="left" vertical="top" indent="1"/>
    </xf>
    <xf numFmtId="187" fontId="122" fillId="42" borderId="84" applyNumberFormat="0" applyProtection="0">
      <alignment horizontal="left" vertical="top" indent="1"/>
    </xf>
    <xf numFmtId="187" fontId="122" fillId="42" borderId="84" applyNumberFormat="0" applyProtection="0">
      <alignment horizontal="left" vertical="top" indent="1"/>
    </xf>
    <xf numFmtId="187" fontId="122" fillId="42" borderId="84" applyNumberFormat="0" applyProtection="0">
      <alignment horizontal="left" vertical="top" indent="1"/>
    </xf>
    <xf numFmtId="187" fontId="122" fillId="42" borderId="84" applyNumberFormat="0" applyProtection="0">
      <alignment horizontal="left" vertical="top" indent="1"/>
    </xf>
    <xf numFmtId="187" fontId="122" fillId="42" borderId="84" applyNumberFormat="0" applyProtection="0">
      <alignment horizontal="left" vertical="top" indent="1"/>
    </xf>
    <xf numFmtId="187" fontId="122" fillId="42" borderId="84" applyNumberFormat="0" applyProtection="0">
      <alignment horizontal="left" vertical="top" indent="1"/>
    </xf>
    <xf numFmtId="187" fontId="122" fillId="82" borderId="82" applyNumberFormat="0" applyProtection="0">
      <alignment horizontal="left" vertical="center" indent="1"/>
    </xf>
    <xf numFmtId="187" fontId="79" fillId="36" borderId="84" applyNumberFormat="0" applyProtection="0">
      <alignment horizontal="left" vertical="center" indent="1"/>
    </xf>
    <xf numFmtId="187" fontId="122" fillId="36" borderId="84" applyNumberFormat="0" applyProtection="0">
      <alignment horizontal="left" vertical="top" indent="1"/>
    </xf>
    <xf numFmtId="187" fontId="79" fillId="36" borderId="84" applyNumberFormat="0" applyProtection="0">
      <alignment horizontal="left" vertical="top" indent="1"/>
    </xf>
    <xf numFmtId="187" fontId="122" fillId="36" borderId="84" applyNumberFormat="0" applyProtection="0">
      <alignment horizontal="left" vertical="top" indent="1"/>
    </xf>
    <xf numFmtId="187" fontId="122" fillId="36" borderId="84" applyNumberFormat="0" applyProtection="0">
      <alignment horizontal="left" vertical="top" indent="1"/>
    </xf>
    <xf numFmtId="187" fontId="122" fillId="36" borderId="84" applyNumberFormat="0" applyProtection="0">
      <alignment horizontal="left" vertical="top" indent="1"/>
    </xf>
    <xf numFmtId="187" fontId="122" fillId="36" borderId="84" applyNumberFormat="0" applyProtection="0">
      <alignment horizontal="left" vertical="top" indent="1"/>
    </xf>
    <xf numFmtId="187" fontId="122" fillId="36" borderId="84" applyNumberFormat="0" applyProtection="0">
      <alignment horizontal="left" vertical="top" indent="1"/>
    </xf>
    <xf numFmtId="187" fontId="122" fillId="36" borderId="84" applyNumberFormat="0" applyProtection="0">
      <alignment horizontal="left" vertical="top" indent="1"/>
    </xf>
    <xf numFmtId="187" fontId="122" fillId="36" borderId="84" applyNumberFormat="0" applyProtection="0">
      <alignment horizontal="left" vertical="top" indent="1"/>
    </xf>
    <xf numFmtId="187" fontId="122" fillId="36" borderId="84" applyNumberFormat="0" applyProtection="0">
      <alignment horizontal="left" vertical="top" indent="1"/>
    </xf>
    <xf numFmtId="187" fontId="122" fillId="83" borderId="82" applyNumberFormat="0" applyProtection="0">
      <alignment horizontal="left" vertical="center" indent="1"/>
    </xf>
    <xf numFmtId="187" fontId="79" fillId="83" borderId="84" applyNumberFormat="0" applyProtection="0">
      <alignment horizontal="left" vertical="center" indent="1"/>
    </xf>
    <xf numFmtId="187" fontId="122" fillId="83" borderId="84" applyNumberFormat="0" applyProtection="0">
      <alignment horizontal="left" vertical="top" indent="1"/>
    </xf>
    <xf numFmtId="187" fontId="79" fillId="83" borderId="84" applyNumberFormat="0" applyProtection="0">
      <alignment horizontal="left" vertical="top" indent="1"/>
    </xf>
    <xf numFmtId="187" fontId="122" fillId="83" borderId="84" applyNumberFormat="0" applyProtection="0">
      <alignment horizontal="left" vertical="top" indent="1"/>
    </xf>
    <xf numFmtId="187" fontId="122" fillId="83" borderId="84" applyNumberFormat="0" applyProtection="0">
      <alignment horizontal="left" vertical="top" indent="1"/>
    </xf>
    <xf numFmtId="187" fontId="122" fillId="83" borderId="84" applyNumberFormat="0" applyProtection="0">
      <alignment horizontal="left" vertical="top" indent="1"/>
    </xf>
    <xf numFmtId="187" fontId="122" fillId="83" borderId="84" applyNumberFormat="0" applyProtection="0">
      <alignment horizontal="left" vertical="top" indent="1"/>
    </xf>
    <xf numFmtId="187" fontId="122" fillId="83" borderId="84" applyNumberFormat="0" applyProtection="0">
      <alignment horizontal="left" vertical="top" indent="1"/>
    </xf>
    <xf numFmtId="187" fontId="122" fillId="83" borderId="84" applyNumberFormat="0" applyProtection="0">
      <alignment horizontal="left" vertical="top" indent="1"/>
    </xf>
    <xf numFmtId="187" fontId="122" fillId="83" borderId="84" applyNumberFormat="0" applyProtection="0">
      <alignment horizontal="left" vertical="top" indent="1"/>
    </xf>
    <xf numFmtId="187" fontId="122" fillId="83" borderId="84" applyNumberFormat="0" applyProtection="0">
      <alignment horizontal="left" vertical="top" indent="1"/>
    </xf>
    <xf numFmtId="187" fontId="122" fillId="35" borderId="82" applyNumberFormat="0" applyProtection="0">
      <alignment horizontal="left" vertical="center" indent="1"/>
    </xf>
    <xf numFmtId="187" fontId="79" fillId="35" borderId="84" applyNumberFormat="0" applyProtection="0">
      <alignment horizontal="left" vertical="center" indent="1"/>
    </xf>
    <xf numFmtId="187" fontId="122" fillId="35" borderId="84" applyNumberFormat="0" applyProtection="0">
      <alignment horizontal="left" vertical="top" indent="1"/>
    </xf>
    <xf numFmtId="187" fontId="79" fillId="35" borderId="84" applyNumberFormat="0" applyProtection="0">
      <alignment horizontal="left" vertical="top" indent="1"/>
    </xf>
    <xf numFmtId="187" fontId="122" fillId="35" borderId="84" applyNumberFormat="0" applyProtection="0">
      <alignment horizontal="left" vertical="top" indent="1"/>
    </xf>
    <xf numFmtId="187" fontId="122" fillId="35" borderId="84" applyNumberFormat="0" applyProtection="0">
      <alignment horizontal="left" vertical="top" indent="1"/>
    </xf>
    <xf numFmtId="187" fontId="122" fillId="35" borderId="84" applyNumberFormat="0" applyProtection="0">
      <alignment horizontal="left" vertical="top" indent="1"/>
    </xf>
    <xf numFmtId="187" fontId="122" fillId="35" borderId="84" applyNumberFormat="0" applyProtection="0">
      <alignment horizontal="left" vertical="top" indent="1"/>
    </xf>
    <xf numFmtId="187" fontId="122" fillId="35" borderId="84" applyNumberFormat="0" applyProtection="0">
      <alignment horizontal="left" vertical="top" indent="1"/>
    </xf>
    <xf numFmtId="187" fontId="122" fillId="35" borderId="84" applyNumberFormat="0" applyProtection="0">
      <alignment horizontal="left" vertical="top" indent="1"/>
    </xf>
    <xf numFmtId="187" fontId="122" fillId="35" borderId="84" applyNumberFormat="0" applyProtection="0">
      <alignment horizontal="left" vertical="top" indent="1"/>
    </xf>
    <xf numFmtId="187" fontId="122" fillId="35" borderId="84" applyNumberFormat="0" applyProtection="0">
      <alignment horizontal="left" vertical="top" indent="1"/>
    </xf>
    <xf numFmtId="187" fontId="127" fillId="42" borderId="86" applyBorder="0"/>
    <xf numFmtId="4" fontId="128" fillId="69" borderId="84" applyNumberFormat="0" applyProtection="0">
      <alignment vertical="center"/>
    </xf>
    <xf numFmtId="4" fontId="128" fillId="31" borderId="84" applyNumberFormat="0" applyProtection="0">
      <alignment horizontal="left" vertical="center" indent="1"/>
    </xf>
    <xf numFmtId="187" fontId="128" fillId="69" borderId="84" applyNumberFormat="0" applyProtection="0">
      <alignment horizontal="left" vertical="top" indent="1"/>
    </xf>
    <xf numFmtId="4" fontId="122" fillId="0" borderId="82" applyNumberFormat="0" applyProtection="0">
      <alignment horizontal="right" vertical="center"/>
    </xf>
    <xf numFmtId="4" fontId="125" fillId="3" borderId="82" applyNumberFormat="0" applyProtection="0">
      <alignment horizontal="right" vertical="center"/>
    </xf>
    <xf numFmtId="4" fontId="122" fillId="74" borderId="82" applyNumberFormat="0" applyProtection="0">
      <alignment horizontal="left" vertical="center" indent="1"/>
    </xf>
    <xf numFmtId="187" fontId="128" fillId="36" borderId="84" applyNumberFormat="0" applyProtection="0">
      <alignment horizontal="left" vertical="top" indent="1"/>
    </xf>
    <xf numFmtId="4" fontId="129" fillId="85" borderId="85" applyNumberFormat="0" applyProtection="0">
      <alignment horizontal="left" vertical="center" indent="1"/>
    </xf>
    <xf numFmtId="4" fontId="130" fillId="84" borderId="82" applyNumberFormat="0" applyProtection="0">
      <alignment horizontal="right" vertical="center"/>
    </xf>
    <xf numFmtId="37" fontId="102" fillId="0" borderId="87" applyNumberFormat="0"/>
    <xf numFmtId="188" fontId="102" fillId="0" borderId="81" applyFill="0"/>
    <xf numFmtId="187" fontId="111" fillId="0" borderId="88" applyNumberFormat="0" applyFill="0" applyAlignment="0" applyProtection="0"/>
    <xf numFmtId="187" fontId="111" fillId="0" borderId="88" applyNumberFormat="0" applyFill="0" applyAlignment="0" applyProtection="0"/>
    <xf numFmtId="187" fontId="122" fillId="31" borderId="90" applyNumberFormat="0" applyProtection="0">
      <alignment horizontal="left" vertical="center" indent="1"/>
    </xf>
    <xf numFmtId="187" fontId="79" fillId="42" borderId="92" applyNumberFormat="0" applyProtection="0">
      <alignment horizontal="left" vertical="center" indent="1"/>
    </xf>
    <xf numFmtId="187" fontId="122" fillId="42" borderId="92" applyNumberFormat="0" applyProtection="0">
      <alignment horizontal="left" vertical="top" indent="1"/>
    </xf>
    <xf numFmtId="187" fontId="79" fillId="42" borderId="92" applyNumberFormat="0" applyProtection="0">
      <alignment horizontal="left" vertical="top" indent="1"/>
    </xf>
    <xf numFmtId="187" fontId="122" fillId="42" borderId="92" applyNumberFormat="0" applyProtection="0">
      <alignment horizontal="left" vertical="top" indent="1"/>
    </xf>
    <xf numFmtId="187" fontId="122" fillId="42" borderId="92" applyNumberFormat="0" applyProtection="0">
      <alignment horizontal="left" vertical="top" indent="1"/>
    </xf>
    <xf numFmtId="187" fontId="122" fillId="42" borderId="92" applyNumberFormat="0" applyProtection="0">
      <alignment horizontal="left" vertical="top" indent="1"/>
    </xf>
    <xf numFmtId="187" fontId="122" fillId="42" borderId="92" applyNumberFormat="0" applyProtection="0">
      <alignment horizontal="left" vertical="top" indent="1"/>
    </xf>
    <xf numFmtId="187" fontId="122" fillId="42" borderId="92" applyNumberFormat="0" applyProtection="0">
      <alignment horizontal="left" vertical="top" indent="1"/>
    </xf>
    <xf numFmtId="187" fontId="122" fillId="42" borderId="92" applyNumberFormat="0" applyProtection="0">
      <alignment horizontal="left" vertical="top" indent="1"/>
    </xf>
    <xf numFmtId="187" fontId="122" fillId="42" borderId="92" applyNumberFormat="0" applyProtection="0">
      <alignment horizontal="left" vertical="top" indent="1"/>
    </xf>
    <xf numFmtId="187" fontId="122" fillId="42" borderId="92" applyNumberFormat="0" applyProtection="0">
      <alignment horizontal="left" vertical="top" indent="1"/>
    </xf>
    <xf numFmtId="187" fontId="122" fillId="82" borderId="90" applyNumberFormat="0" applyProtection="0">
      <alignment horizontal="left" vertical="center" indent="1"/>
    </xf>
    <xf numFmtId="187" fontId="79" fillId="36" borderId="92" applyNumberFormat="0" applyProtection="0">
      <alignment horizontal="left" vertical="center" indent="1"/>
    </xf>
    <xf numFmtId="187" fontId="122" fillId="36" borderId="92" applyNumberFormat="0" applyProtection="0">
      <alignment horizontal="left" vertical="top" indent="1"/>
    </xf>
    <xf numFmtId="187" fontId="79" fillId="36" borderId="92" applyNumberFormat="0" applyProtection="0">
      <alignment horizontal="left" vertical="top" indent="1"/>
    </xf>
    <xf numFmtId="187" fontId="122" fillId="36" borderId="92" applyNumberFormat="0" applyProtection="0">
      <alignment horizontal="left" vertical="top" indent="1"/>
    </xf>
    <xf numFmtId="187" fontId="122" fillId="36" borderId="92" applyNumberFormat="0" applyProtection="0">
      <alignment horizontal="left" vertical="top" indent="1"/>
    </xf>
    <xf numFmtId="187" fontId="122" fillId="36" borderId="92" applyNumberFormat="0" applyProtection="0">
      <alignment horizontal="left" vertical="top" indent="1"/>
    </xf>
    <xf numFmtId="187" fontId="122" fillId="36" borderId="92" applyNumberFormat="0" applyProtection="0">
      <alignment horizontal="left" vertical="top" indent="1"/>
    </xf>
    <xf numFmtId="187" fontId="122" fillId="36" borderId="92" applyNumberFormat="0" applyProtection="0">
      <alignment horizontal="left" vertical="top" indent="1"/>
    </xf>
    <xf numFmtId="187" fontId="122" fillId="36" borderId="92" applyNumberFormat="0" applyProtection="0">
      <alignment horizontal="left" vertical="top" indent="1"/>
    </xf>
    <xf numFmtId="187" fontId="122" fillId="36" borderId="92" applyNumberFormat="0" applyProtection="0">
      <alignment horizontal="left" vertical="top" indent="1"/>
    </xf>
    <xf numFmtId="187" fontId="122" fillId="36" borderId="92" applyNumberFormat="0" applyProtection="0">
      <alignment horizontal="left" vertical="top" indent="1"/>
    </xf>
    <xf numFmtId="187" fontId="122" fillId="83" borderId="90" applyNumberFormat="0" applyProtection="0">
      <alignment horizontal="left" vertical="center" indent="1"/>
    </xf>
    <xf numFmtId="187" fontId="79" fillId="83" borderId="92" applyNumberFormat="0" applyProtection="0">
      <alignment horizontal="left" vertical="center" indent="1"/>
    </xf>
    <xf numFmtId="187" fontId="122" fillId="83" borderId="92" applyNumberFormat="0" applyProtection="0">
      <alignment horizontal="left" vertical="top" indent="1"/>
    </xf>
    <xf numFmtId="187" fontId="79" fillId="83" borderId="92" applyNumberFormat="0" applyProtection="0">
      <alignment horizontal="left" vertical="top" indent="1"/>
    </xf>
    <xf numFmtId="187" fontId="122" fillId="83" borderId="92" applyNumberFormat="0" applyProtection="0">
      <alignment horizontal="left" vertical="top" indent="1"/>
    </xf>
    <xf numFmtId="187" fontId="122" fillId="83" borderId="92" applyNumberFormat="0" applyProtection="0">
      <alignment horizontal="left" vertical="top" indent="1"/>
    </xf>
    <xf numFmtId="187" fontId="122" fillId="83" borderId="92" applyNumberFormat="0" applyProtection="0">
      <alignment horizontal="left" vertical="top" indent="1"/>
    </xf>
    <xf numFmtId="187" fontId="122" fillId="83" borderId="92" applyNumberFormat="0" applyProtection="0">
      <alignment horizontal="left" vertical="top" indent="1"/>
    </xf>
    <xf numFmtId="187" fontId="122" fillId="83" borderId="92" applyNumberFormat="0" applyProtection="0">
      <alignment horizontal="left" vertical="top" indent="1"/>
    </xf>
    <xf numFmtId="187" fontId="122" fillId="83" borderId="92" applyNumberFormat="0" applyProtection="0">
      <alignment horizontal="left" vertical="top" indent="1"/>
    </xf>
    <xf numFmtId="187" fontId="122" fillId="83" borderId="92" applyNumberFormat="0" applyProtection="0">
      <alignment horizontal="left" vertical="top" indent="1"/>
    </xf>
    <xf numFmtId="187" fontId="122" fillId="83" borderId="92" applyNumberFormat="0" applyProtection="0">
      <alignment horizontal="left" vertical="top" indent="1"/>
    </xf>
    <xf numFmtId="187" fontId="122" fillId="35" borderId="90" applyNumberFormat="0" applyProtection="0">
      <alignment horizontal="left" vertical="center" indent="1"/>
    </xf>
    <xf numFmtId="187" fontId="79" fillId="35" borderId="92" applyNumberFormat="0" applyProtection="0">
      <alignment horizontal="left" vertical="center" indent="1"/>
    </xf>
    <xf numFmtId="187" fontId="122" fillId="35" borderId="92" applyNumberFormat="0" applyProtection="0">
      <alignment horizontal="left" vertical="top" indent="1"/>
    </xf>
    <xf numFmtId="187" fontId="79" fillId="35" borderId="92" applyNumberFormat="0" applyProtection="0">
      <alignment horizontal="left" vertical="top" indent="1"/>
    </xf>
    <xf numFmtId="187" fontId="122" fillId="35" borderId="92" applyNumberFormat="0" applyProtection="0">
      <alignment horizontal="left" vertical="top" indent="1"/>
    </xf>
    <xf numFmtId="187" fontId="122" fillId="35" borderId="92" applyNumberFormat="0" applyProtection="0">
      <alignment horizontal="left" vertical="top" indent="1"/>
    </xf>
    <xf numFmtId="187" fontId="122" fillId="35" borderId="92" applyNumberFormat="0" applyProtection="0">
      <alignment horizontal="left" vertical="top" indent="1"/>
    </xf>
    <xf numFmtId="187" fontId="122" fillId="35" borderId="92" applyNumberFormat="0" applyProtection="0">
      <alignment horizontal="left" vertical="top" indent="1"/>
    </xf>
    <xf numFmtId="187" fontId="122" fillId="35" borderId="92" applyNumberFormat="0" applyProtection="0">
      <alignment horizontal="left" vertical="top" indent="1"/>
    </xf>
    <xf numFmtId="187" fontId="122" fillId="35" borderId="92" applyNumberFormat="0" applyProtection="0">
      <alignment horizontal="left" vertical="top" indent="1"/>
    </xf>
    <xf numFmtId="187" fontId="122" fillId="35" borderId="92" applyNumberFormat="0" applyProtection="0">
      <alignment horizontal="left" vertical="top" indent="1"/>
    </xf>
    <xf numFmtId="187" fontId="122" fillId="35" borderId="92" applyNumberFormat="0" applyProtection="0">
      <alignment horizontal="left" vertical="top" indent="1"/>
    </xf>
    <xf numFmtId="187" fontId="127" fillId="42" borderId="93" applyBorder="0"/>
    <xf numFmtId="4" fontId="128" fillId="69" borderId="92" applyNumberFormat="0" applyProtection="0">
      <alignment vertical="center"/>
    </xf>
    <xf numFmtId="4" fontId="128" fillId="31" borderId="92" applyNumberFormat="0" applyProtection="0">
      <alignment horizontal="left" vertical="center" indent="1"/>
    </xf>
    <xf numFmtId="187" fontId="128" fillId="69" borderId="92" applyNumberFormat="0" applyProtection="0">
      <alignment horizontal="left" vertical="top" indent="1"/>
    </xf>
    <xf numFmtId="4" fontId="122" fillId="0" borderId="90" applyNumberFormat="0" applyProtection="0">
      <alignment horizontal="right" vertical="center"/>
    </xf>
    <xf numFmtId="4" fontId="125" fillId="3" borderId="90" applyNumberFormat="0" applyProtection="0">
      <alignment horizontal="right" vertical="center"/>
    </xf>
    <xf numFmtId="4" fontId="122" fillId="74" borderId="90" applyNumberFormat="0" applyProtection="0">
      <alignment horizontal="left" vertical="center" indent="1"/>
    </xf>
    <xf numFmtId="187" fontId="128" fillId="36" borderId="92" applyNumberFormat="0" applyProtection="0">
      <alignment horizontal="left" vertical="top" indent="1"/>
    </xf>
    <xf numFmtId="4" fontId="130" fillId="84" borderId="90" applyNumberFormat="0" applyProtection="0">
      <alignment horizontal="right" vertical="center"/>
    </xf>
    <xf numFmtId="37" fontId="102" fillId="0" borderId="94" applyNumberFormat="0"/>
    <xf numFmtId="188" fontId="102" fillId="0" borderId="89" applyFill="0"/>
    <xf numFmtId="187" fontId="111" fillId="0" borderId="95" applyNumberFormat="0" applyFill="0" applyAlignment="0" applyProtection="0"/>
    <xf numFmtId="187" fontId="111" fillId="0" borderId="95" applyNumberFormat="0" applyFill="0" applyAlignment="0" applyProtection="0"/>
    <xf numFmtId="0" fontId="65" fillId="0" borderId="0"/>
    <xf numFmtId="187" fontId="122" fillId="42" borderId="100" applyNumberFormat="0" applyProtection="0">
      <alignment horizontal="left" vertical="top" indent="1"/>
    </xf>
    <xf numFmtId="187" fontId="122" fillId="42" borderId="100" applyNumberFormat="0" applyProtection="0">
      <alignment horizontal="left" vertical="top" indent="1"/>
    </xf>
    <xf numFmtId="187" fontId="111" fillId="0" borderId="103" applyNumberFormat="0" applyFill="0" applyAlignment="0" applyProtection="0"/>
    <xf numFmtId="187" fontId="111" fillId="0" borderId="103" applyNumberFormat="0" applyFill="0" applyAlignment="0" applyProtection="0"/>
    <xf numFmtId="188" fontId="102" fillId="0" borderId="97" applyFill="0"/>
    <xf numFmtId="37" fontId="102" fillId="0" borderId="96" applyNumberFormat="0"/>
    <xf numFmtId="4" fontId="130" fillId="84" borderId="98" applyNumberFormat="0" applyProtection="0">
      <alignment horizontal="right" vertical="center"/>
    </xf>
    <xf numFmtId="4" fontId="129" fillId="85" borderId="101" applyNumberFormat="0" applyProtection="0">
      <alignment horizontal="left" vertical="center" indent="1"/>
    </xf>
    <xf numFmtId="187" fontId="128" fillId="36" borderId="100" applyNumberFormat="0" applyProtection="0">
      <alignment horizontal="left" vertical="top" indent="1"/>
    </xf>
    <xf numFmtId="4" fontId="122" fillId="74" borderId="98" applyNumberFormat="0" applyProtection="0">
      <alignment horizontal="left" vertical="center" indent="1"/>
    </xf>
    <xf numFmtId="4" fontId="125" fillId="3" borderId="98" applyNumberFormat="0" applyProtection="0">
      <alignment horizontal="right" vertical="center"/>
    </xf>
    <xf numFmtId="4" fontId="122" fillId="0" borderId="98" applyNumberFormat="0" applyProtection="0">
      <alignment horizontal="right" vertical="center"/>
    </xf>
    <xf numFmtId="187" fontId="128" fillId="69" borderId="100" applyNumberFormat="0" applyProtection="0">
      <alignment horizontal="left" vertical="top" indent="1"/>
    </xf>
    <xf numFmtId="4" fontId="128" fillId="31" borderId="100" applyNumberFormat="0" applyProtection="0">
      <alignment horizontal="left" vertical="center" indent="1"/>
    </xf>
    <xf numFmtId="4" fontId="128" fillId="69" borderId="100" applyNumberFormat="0" applyProtection="0">
      <alignment vertical="center"/>
    </xf>
    <xf numFmtId="187" fontId="127" fillId="42" borderId="102" applyBorder="0"/>
    <xf numFmtId="187" fontId="122" fillId="35" borderId="100" applyNumberFormat="0" applyProtection="0">
      <alignment horizontal="left" vertical="top" indent="1"/>
    </xf>
    <xf numFmtId="187" fontId="122" fillId="35" borderId="100" applyNumberFormat="0" applyProtection="0">
      <alignment horizontal="left" vertical="top" indent="1"/>
    </xf>
    <xf numFmtId="187" fontId="122" fillId="35" borderId="100" applyNumberFormat="0" applyProtection="0">
      <alignment horizontal="left" vertical="top" indent="1"/>
    </xf>
    <xf numFmtId="187" fontId="122" fillId="35" borderId="100" applyNumberFormat="0" applyProtection="0">
      <alignment horizontal="left" vertical="top" indent="1"/>
    </xf>
    <xf numFmtId="187" fontId="122" fillId="35" borderId="100" applyNumberFormat="0" applyProtection="0">
      <alignment horizontal="left" vertical="top" indent="1"/>
    </xf>
    <xf numFmtId="187" fontId="122" fillId="35" borderId="100" applyNumberFormat="0" applyProtection="0">
      <alignment horizontal="left" vertical="top" indent="1"/>
    </xf>
    <xf numFmtId="187" fontId="122" fillId="35" borderId="100" applyNumberFormat="0" applyProtection="0">
      <alignment horizontal="left" vertical="top" indent="1"/>
    </xf>
    <xf numFmtId="187" fontId="122" fillId="35" borderId="100" applyNumberFormat="0" applyProtection="0">
      <alignment horizontal="left" vertical="top" indent="1"/>
    </xf>
    <xf numFmtId="187" fontId="79" fillId="35" borderId="100" applyNumberFormat="0" applyProtection="0">
      <alignment horizontal="left" vertical="top" indent="1"/>
    </xf>
    <xf numFmtId="187" fontId="122" fillId="35" borderId="100" applyNumberFormat="0" applyProtection="0">
      <alignment horizontal="left" vertical="top" indent="1"/>
    </xf>
    <xf numFmtId="187" fontId="79" fillId="35" borderId="100" applyNumberFormat="0" applyProtection="0">
      <alignment horizontal="left" vertical="center" indent="1"/>
    </xf>
    <xf numFmtId="187" fontId="122" fillId="35" borderId="98" applyNumberFormat="0" applyProtection="0">
      <alignment horizontal="left" vertical="center" indent="1"/>
    </xf>
    <xf numFmtId="187" fontId="122" fillId="83" borderId="100" applyNumberFormat="0" applyProtection="0">
      <alignment horizontal="left" vertical="top" indent="1"/>
    </xf>
    <xf numFmtId="187" fontId="122" fillId="83" borderId="100" applyNumberFormat="0" applyProtection="0">
      <alignment horizontal="left" vertical="top" indent="1"/>
    </xf>
    <xf numFmtId="187" fontId="122" fillId="83" borderId="100" applyNumberFormat="0" applyProtection="0">
      <alignment horizontal="left" vertical="top" indent="1"/>
    </xf>
    <xf numFmtId="187" fontId="122" fillId="83" borderId="100" applyNumberFormat="0" applyProtection="0">
      <alignment horizontal="left" vertical="top" indent="1"/>
    </xf>
    <xf numFmtId="187" fontId="122" fillId="83" borderId="100" applyNumberFormat="0" applyProtection="0">
      <alignment horizontal="left" vertical="top" indent="1"/>
    </xf>
    <xf numFmtId="187" fontId="122" fillId="83" borderId="100" applyNumberFormat="0" applyProtection="0">
      <alignment horizontal="left" vertical="top" indent="1"/>
    </xf>
    <xf numFmtId="187" fontId="122" fillId="83" borderId="100" applyNumberFormat="0" applyProtection="0">
      <alignment horizontal="left" vertical="top" indent="1"/>
    </xf>
    <xf numFmtId="187" fontId="122" fillId="83" borderId="100" applyNumberFormat="0" applyProtection="0">
      <alignment horizontal="left" vertical="top" indent="1"/>
    </xf>
    <xf numFmtId="187" fontId="79" fillId="83" borderId="100" applyNumberFormat="0" applyProtection="0">
      <alignment horizontal="left" vertical="top" indent="1"/>
    </xf>
    <xf numFmtId="187" fontId="122" fillId="83" borderId="100" applyNumberFormat="0" applyProtection="0">
      <alignment horizontal="left" vertical="top" indent="1"/>
    </xf>
    <xf numFmtId="187" fontId="79" fillId="83" borderId="100" applyNumberFormat="0" applyProtection="0">
      <alignment horizontal="left" vertical="center" indent="1"/>
    </xf>
    <xf numFmtId="187" fontId="122" fillId="83" borderId="98" applyNumberFormat="0" applyProtection="0">
      <alignment horizontal="left" vertical="center" indent="1"/>
    </xf>
    <xf numFmtId="187" fontId="122" fillId="36" borderId="100" applyNumberFormat="0" applyProtection="0">
      <alignment horizontal="left" vertical="top" indent="1"/>
    </xf>
    <xf numFmtId="187" fontId="122" fillId="36" borderId="100" applyNumberFormat="0" applyProtection="0">
      <alignment horizontal="left" vertical="top" indent="1"/>
    </xf>
    <xf numFmtId="187" fontId="122" fillId="36" borderId="100" applyNumberFormat="0" applyProtection="0">
      <alignment horizontal="left" vertical="top" indent="1"/>
    </xf>
    <xf numFmtId="187" fontId="122" fillId="36" borderId="100" applyNumberFormat="0" applyProtection="0">
      <alignment horizontal="left" vertical="top" indent="1"/>
    </xf>
    <xf numFmtId="187" fontId="122" fillId="36" borderId="100" applyNumberFormat="0" applyProtection="0">
      <alignment horizontal="left" vertical="top" indent="1"/>
    </xf>
    <xf numFmtId="187" fontId="122" fillId="36" borderId="100" applyNumberFormat="0" applyProtection="0">
      <alignment horizontal="left" vertical="top" indent="1"/>
    </xf>
    <xf numFmtId="187" fontId="122" fillId="36" borderId="100" applyNumberFormat="0" applyProtection="0">
      <alignment horizontal="left" vertical="top" indent="1"/>
    </xf>
    <xf numFmtId="187" fontId="122" fillId="36" borderId="100" applyNumberFormat="0" applyProtection="0">
      <alignment horizontal="left" vertical="top" indent="1"/>
    </xf>
    <xf numFmtId="187" fontId="79" fillId="36" borderId="100" applyNumberFormat="0" applyProtection="0">
      <alignment horizontal="left" vertical="top" indent="1"/>
    </xf>
    <xf numFmtId="187" fontId="122" fillId="36" borderId="100" applyNumberFormat="0" applyProtection="0">
      <alignment horizontal="left" vertical="top" indent="1"/>
    </xf>
    <xf numFmtId="187" fontId="79" fillId="36" borderId="100" applyNumberFormat="0" applyProtection="0">
      <alignment horizontal="left" vertical="center" indent="1"/>
    </xf>
    <xf numFmtId="187" fontId="122" fillId="82" borderId="98" applyNumberFormat="0" applyProtection="0">
      <alignment horizontal="left" vertical="center" indent="1"/>
    </xf>
    <xf numFmtId="187" fontId="122" fillId="42" borderId="100" applyNumberFormat="0" applyProtection="0">
      <alignment horizontal="left" vertical="top" indent="1"/>
    </xf>
    <xf numFmtId="187" fontId="122" fillId="42" borderId="100" applyNumberFormat="0" applyProtection="0">
      <alignment horizontal="left" vertical="top" indent="1"/>
    </xf>
    <xf numFmtId="187" fontId="122" fillId="42" borderId="100" applyNumberFormat="0" applyProtection="0">
      <alignment horizontal="left" vertical="top" indent="1"/>
    </xf>
    <xf numFmtId="187" fontId="122" fillId="42" borderId="100" applyNumberFormat="0" applyProtection="0">
      <alignment horizontal="left" vertical="top" indent="1"/>
    </xf>
    <xf numFmtId="187" fontId="122" fillId="42" borderId="100" applyNumberFormat="0" applyProtection="0">
      <alignment horizontal="left" vertical="top" indent="1"/>
    </xf>
    <xf numFmtId="187" fontId="122" fillId="42" borderId="100" applyNumberFormat="0" applyProtection="0">
      <alignment horizontal="left" vertical="top" indent="1"/>
    </xf>
    <xf numFmtId="187" fontId="79" fillId="42" borderId="100" applyNumberFormat="0" applyProtection="0">
      <alignment horizontal="left" vertical="top" indent="1"/>
    </xf>
    <xf numFmtId="187" fontId="122" fillId="42" borderId="100" applyNumberFormat="0" applyProtection="0">
      <alignment horizontal="left" vertical="top" indent="1"/>
    </xf>
    <xf numFmtId="187" fontId="79" fillId="42" borderId="100" applyNumberFormat="0" applyProtection="0">
      <alignment horizontal="left" vertical="center" indent="1"/>
    </xf>
    <xf numFmtId="187" fontId="122" fillId="31" borderId="98" applyNumberFormat="0" applyProtection="0">
      <alignment horizontal="left" vertical="center" indent="1"/>
    </xf>
    <xf numFmtId="4" fontId="122" fillId="36" borderId="101" applyNumberFormat="0" applyProtection="0">
      <alignment horizontal="left" vertical="center" indent="1"/>
    </xf>
    <xf numFmtId="4" fontId="122" fillId="35" borderId="101" applyNumberFormat="0" applyProtection="0">
      <alignment horizontal="left" vertical="center" indent="1"/>
    </xf>
    <xf numFmtId="4" fontId="122" fillId="36" borderId="98" applyNumberFormat="0" applyProtection="0">
      <alignment horizontal="right" vertical="center"/>
    </xf>
    <xf numFmtId="4" fontId="79" fillId="42" borderId="101" applyNumberFormat="0" applyProtection="0">
      <alignment horizontal="left" vertical="center" indent="1"/>
    </xf>
    <xf numFmtId="4" fontId="79" fillId="42" borderId="101" applyNumberFormat="0" applyProtection="0">
      <alignment horizontal="left" vertical="center" indent="1"/>
    </xf>
    <xf numFmtId="4" fontId="122" fillId="81" borderId="101" applyNumberFormat="0" applyProtection="0">
      <alignment horizontal="left" vertical="center" indent="1"/>
    </xf>
    <xf numFmtId="4" fontId="122" fillId="80" borderId="98" applyNumberFormat="0" applyProtection="0">
      <alignment horizontal="right" vertical="center"/>
    </xf>
    <xf numFmtId="4" fontId="122" fillId="37" borderId="98" applyNumberFormat="0" applyProtection="0">
      <alignment horizontal="right" vertical="center"/>
    </xf>
    <xf numFmtId="4" fontId="122" fillId="40" borderId="98" applyNumberFormat="0" applyProtection="0">
      <alignment horizontal="right" vertical="center"/>
    </xf>
    <xf numFmtId="4" fontId="122" fillId="79" borderId="98" applyNumberFormat="0" applyProtection="0">
      <alignment horizontal="right" vertical="center"/>
    </xf>
    <xf numFmtId="4" fontId="122" fillId="78" borderId="98" applyNumberFormat="0" applyProtection="0">
      <alignment horizontal="right" vertical="center"/>
    </xf>
    <xf numFmtId="4" fontId="122" fillId="44" borderId="98" applyNumberFormat="0" applyProtection="0">
      <alignment horizontal="right" vertical="center"/>
    </xf>
    <xf numFmtId="4" fontId="122" fillId="77" borderId="101" applyNumberFormat="0" applyProtection="0">
      <alignment horizontal="right" vertical="center"/>
    </xf>
    <xf numFmtId="4" fontId="122" fillId="76" borderId="98" applyNumberFormat="0" applyProtection="0">
      <alignment horizontal="right" vertical="center"/>
    </xf>
    <xf numFmtId="4" fontId="122" fillId="75" borderId="98" applyNumberFormat="0" applyProtection="0">
      <alignment horizontal="right" vertical="center"/>
    </xf>
    <xf numFmtId="4" fontId="122" fillId="74" borderId="98" applyNumberFormat="0" applyProtection="0">
      <alignment horizontal="left" vertical="center" indent="1"/>
    </xf>
    <xf numFmtId="187" fontId="126" fillId="73" borderId="100" applyNumberFormat="0" applyProtection="0">
      <alignment horizontal="left" vertical="top" indent="1"/>
    </xf>
    <xf numFmtId="4" fontId="122" fillId="6" borderId="98" applyNumberFormat="0" applyProtection="0">
      <alignment horizontal="left" vertical="center" indent="1"/>
    </xf>
    <xf numFmtId="4" fontId="125" fillId="6" borderId="98" applyNumberFormat="0" applyProtection="0">
      <alignment vertical="center"/>
    </xf>
    <xf numFmtId="4" fontId="122" fillId="73" borderId="98" applyNumberFormat="0" applyProtection="0">
      <alignment vertical="center"/>
    </xf>
    <xf numFmtId="187" fontId="123" fillId="65" borderId="99" applyNumberFormat="0" applyAlignment="0" applyProtection="0"/>
    <xf numFmtId="187" fontId="123" fillId="65" borderId="99" applyNumberFormat="0" applyAlignment="0" applyProtection="0"/>
    <xf numFmtId="187" fontId="122" fillId="61" borderId="98" applyNumberFormat="0" applyFont="0" applyAlignment="0" applyProtection="0"/>
    <xf numFmtId="187" fontId="122" fillId="61" borderId="98" applyNumberFormat="0" applyFont="0" applyAlignment="0" applyProtection="0"/>
    <xf numFmtId="187" fontId="122" fillId="61" borderId="98" applyNumberFormat="0" applyFont="0" applyAlignment="0" applyProtection="0"/>
    <xf numFmtId="187" fontId="122" fillId="61" borderId="98" applyNumberFormat="0" applyFont="0" applyAlignment="0" applyProtection="0"/>
    <xf numFmtId="187" fontId="122" fillId="61" borderId="98" applyNumberFormat="0" applyFont="0" applyAlignment="0" applyProtection="0"/>
    <xf numFmtId="187" fontId="122" fillId="61" borderId="98" applyNumberFormat="0" applyFont="0" applyAlignment="0" applyProtection="0"/>
    <xf numFmtId="187" fontId="122" fillId="61" borderId="98" applyNumberFormat="0" applyFont="0" applyAlignment="0" applyProtection="0"/>
    <xf numFmtId="187" fontId="122" fillId="61" borderId="98" applyNumberFormat="0" applyFont="0" applyAlignment="0" applyProtection="0"/>
    <xf numFmtId="187" fontId="122" fillId="61" borderId="98" applyNumberFormat="0" applyFont="0" applyAlignment="0" applyProtection="0"/>
    <xf numFmtId="187" fontId="109" fillId="65" borderId="104" applyNumberFormat="0" applyAlignment="0" applyProtection="0"/>
    <xf numFmtId="187" fontId="109" fillId="65" borderId="104" applyNumberFormat="0" applyAlignment="0" applyProtection="0"/>
    <xf numFmtId="187" fontId="117" fillId="62" borderId="104" applyNumberFormat="0" applyAlignment="0" applyProtection="0"/>
    <xf numFmtId="187" fontId="117" fillId="62" borderId="104" applyNumberFormat="0" applyAlignment="0" applyProtection="0"/>
    <xf numFmtId="187" fontId="117" fillId="62" borderId="98" applyNumberFormat="0" applyAlignment="0" applyProtection="0"/>
    <xf numFmtId="187" fontId="117" fillId="62" borderId="98" applyNumberFormat="0" applyAlignment="0" applyProtection="0"/>
    <xf numFmtId="187" fontId="109" fillId="65" borderId="98" applyNumberFormat="0" applyAlignment="0" applyProtection="0"/>
    <xf numFmtId="187" fontId="109" fillId="65" borderId="98" applyNumberFormat="0" applyAlignment="0" applyProtection="0"/>
    <xf numFmtId="187" fontId="122" fillId="61" borderId="104" applyNumberFormat="0" applyFont="0" applyAlignment="0" applyProtection="0"/>
    <xf numFmtId="187" fontId="122" fillId="61" borderId="104" applyNumberFormat="0" applyFont="0" applyAlignment="0" applyProtection="0"/>
    <xf numFmtId="187" fontId="122" fillId="61" borderId="104" applyNumberFormat="0" applyFont="0" applyAlignment="0" applyProtection="0"/>
    <xf numFmtId="187" fontId="122" fillId="61" borderId="104" applyNumberFormat="0" applyFont="0" applyAlignment="0" applyProtection="0"/>
    <xf numFmtId="187" fontId="122" fillId="61" borderId="104" applyNumberFormat="0" applyFont="0" applyAlignment="0" applyProtection="0"/>
    <xf numFmtId="187" fontId="122" fillId="61" borderId="104" applyNumberFormat="0" applyFont="0" applyAlignment="0" applyProtection="0"/>
    <xf numFmtId="187" fontId="122" fillId="61" borderId="104" applyNumberFormat="0" applyFont="0" applyAlignment="0" applyProtection="0"/>
    <xf numFmtId="187" fontId="122" fillId="61" borderId="104" applyNumberFormat="0" applyFont="0" applyAlignment="0" applyProtection="0"/>
    <xf numFmtId="187" fontId="122" fillId="61" borderId="104" applyNumberFormat="0" applyFont="0" applyAlignment="0" applyProtection="0"/>
    <xf numFmtId="4" fontId="122" fillId="73" borderId="104" applyNumberFormat="0" applyProtection="0">
      <alignment vertical="center"/>
    </xf>
    <xf numFmtId="4" fontId="125" fillId="6" borderId="104" applyNumberFormat="0" applyProtection="0">
      <alignment vertical="center"/>
    </xf>
    <xf numFmtId="4" fontId="122" fillId="6" borderId="104" applyNumberFormat="0" applyProtection="0">
      <alignment horizontal="left" vertical="center" indent="1"/>
    </xf>
    <xf numFmtId="4" fontId="122" fillId="74" borderId="104" applyNumberFormat="0" applyProtection="0">
      <alignment horizontal="left" vertical="center" indent="1"/>
    </xf>
    <xf numFmtId="4" fontId="122" fillId="75" borderId="104" applyNumberFormat="0" applyProtection="0">
      <alignment horizontal="right" vertical="center"/>
    </xf>
    <xf numFmtId="4" fontId="122" fillId="76" borderId="104" applyNumberFormat="0" applyProtection="0">
      <alignment horizontal="right" vertical="center"/>
    </xf>
    <xf numFmtId="4" fontId="122" fillId="44" borderId="104" applyNumberFormat="0" applyProtection="0">
      <alignment horizontal="right" vertical="center"/>
    </xf>
    <xf numFmtId="4" fontId="122" fillId="78" borderId="104" applyNumberFormat="0" applyProtection="0">
      <alignment horizontal="right" vertical="center"/>
    </xf>
    <xf numFmtId="4" fontId="122" fillId="79" borderId="104" applyNumberFormat="0" applyProtection="0">
      <alignment horizontal="right" vertical="center"/>
    </xf>
    <xf numFmtId="4" fontId="122" fillId="40" borderId="104" applyNumberFormat="0" applyProtection="0">
      <alignment horizontal="right" vertical="center"/>
    </xf>
    <xf numFmtId="4" fontId="122" fillId="37" borderId="104" applyNumberFormat="0" applyProtection="0">
      <alignment horizontal="right" vertical="center"/>
    </xf>
    <xf numFmtId="4" fontId="122" fillId="80" borderId="104" applyNumberFormat="0" applyProtection="0">
      <alignment horizontal="right" vertical="center"/>
    </xf>
    <xf numFmtId="4" fontId="122" fillId="36" borderId="104" applyNumberFormat="0" applyProtection="0">
      <alignment horizontal="right" vertical="center"/>
    </xf>
    <xf numFmtId="187" fontId="122" fillId="31" borderId="104" applyNumberFormat="0" applyProtection="0">
      <alignment horizontal="left" vertical="center" indent="1"/>
    </xf>
    <xf numFmtId="187" fontId="122" fillId="82" borderId="104" applyNumberFormat="0" applyProtection="0">
      <alignment horizontal="left" vertical="center" indent="1"/>
    </xf>
    <xf numFmtId="187" fontId="122" fillId="83" borderId="104" applyNumberFormat="0" applyProtection="0">
      <alignment horizontal="left" vertical="center" indent="1"/>
    </xf>
    <xf numFmtId="187" fontId="122" fillId="35" borderId="104" applyNumberFormat="0" applyProtection="0">
      <alignment horizontal="left" vertical="center" indent="1"/>
    </xf>
    <xf numFmtId="4" fontId="122" fillId="0" borderId="104" applyNumberFormat="0" applyProtection="0">
      <alignment horizontal="right" vertical="center"/>
    </xf>
    <xf numFmtId="4" fontId="125" fillId="3" borderId="104" applyNumberFormat="0" applyProtection="0">
      <alignment horizontal="right" vertical="center"/>
    </xf>
    <xf numFmtId="4" fontId="122" fillId="74" borderId="104" applyNumberFormat="0" applyProtection="0">
      <alignment horizontal="left" vertical="center" indent="1"/>
    </xf>
    <xf numFmtId="4" fontId="130" fillId="84" borderId="104" applyNumberFormat="0" applyProtection="0">
      <alignment horizontal="right" vertical="center"/>
    </xf>
    <xf numFmtId="43" fontId="1" fillId="0" borderId="0" applyFont="0" applyFill="0" applyBorder="0" applyAlignment="0" applyProtection="0"/>
    <xf numFmtId="187" fontId="122" fillId="61" borderId="118" applyNumberFormat="0" applyFont="0" applyAlignment="0" applyProtection="0"/>
    <xf numFmtId="43" fontId="1" fillId="0" borderId="0" applyFont="0" applyFill="0" applyBorder="0" applyAlignment="0" applyProtection="0"/>
    <xf numFmtId="43" fontId="87" fillId="0" borderId="0" applyFont="0" applyFill="0" applyBorder="0" applyAlignment="0" applyProtection="0"/>
    <xf numFmtId="187" fontId="109" fillId="65" borderId="111" applyNumberFormat="0" applyAlignment="0" applyProtection="0"/>
    <xf numFmtId="187" fontId="109" fillId="65" borderId="111" applyNumberFormat="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79"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79"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06"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106" fillId="0" borderId="0" applyFont="0" applyFill="0" applyBorder="0" applyAlignment="0" applyProtection="0"/>
    <xf numFmtId="43" fontId="10" fillId="0" borderId="0" applyFont="0" applyFill="0" applyBorder="0" applyAlignment="0" applyProtection="0"/>
    <xf numFmtId="43" fontId="10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187" fontId="117" fillId="62" borderId="111" applyNumberFormat="0" applyAlignment="0" applyProtection="0"/>
    <xf numFmtId="187" fontId="117" fillId="62" borderId="111" applyNumberFormat="0" applyAlignment="0" applyProtection="0"/>
    <xf numFmtId="187" fontId="122" fillId="61" borderId="111" applyNumberFormat="0" applyFont="0" applyAlignment="0" applyProtection="0"/>
    <xf numFmtId="187" fontId="122" fillId="61" borderId="111" applyNumberFormat="0" applyFont="0" applyAlignment="0" applyProtection="0"/>
    <xf numFmtId="187" fontId="122" fillId="61" borderId="111" applyNumberFormat="0" applyFont="0" applyAlignment="0" applyProtection="0"/>
    <xf numFmtId="187" fontId="122" fillId="61" borderId="111" applyNumberFormat="0" applyFont="0" applyAlignment="0" applyProtection="0"/>
    <xf numFmtId="187" fontId="122" fillId="61" borderId="111" applyNumberFormat="0" applyFont="0" applyAlignment="0" applyProtection="0"/>
    <xf numFmtId="187" fontId="122" fillId="61" borderId="111" applyNumberFormat="0" applyFont="0" applyAlignment="0" applyProtection="0"/>
    <xf numFmtId="187" fontId="122" fillId="61" borderId="111" applyNumberFormat="0" applyFont="0" applyAlignment="0" applyProtection="0"/>
    <xf numFmtId="187" fontId="122" fillId="61" borderId="111" applyNumberFormat="0" applyFont="0" applyAlignment="0" applyProtection="0"/>
    <xf numFmtId="187" fontId="122" fillId="61" borderId="111" applyNumberFormat="0" applyFont="0" applyAlignment="0" applyProtection="0"/>
    <xf numFmtId="187" fontId="123" fillId="65" borderId="112" applyNumberFormat="0" applyAlignment="0" applyProtection="0"/>
    <xf numFmtId="187" fontId="123" fillId="65" borderId="112" applyNumberFormat="0" applyAlignment="0" applyProtection="0"/>
    <xf numFmtId="4" fontId="122" fillId="73" borderId="111" applyNumberFormat="0" applyProtection="0">
      <alignment vertical="center"/>
    </xf>
    <xf numFmtId="4" fontId="125" fillId="6" borderId="111" applyNumberFormat="0" applyProtection="0">
      <alignment vertical="center"/>
    </xf>
    <xf numFmtId="4" fontId="122" fillId="6" borderId="111" applyNumberFormat="0" applyProtection="0">
      <alignment horizontal="left" vertical="center" indent="1"/>
    </xf>
    <xf numFmtId="187" fontId="126" fillId="73" borderId="113" applyNumberFormat="0" applyProtection="0">
      <alignment horizontal="left" vertical="top" indent="1"/>
    </xf>
    <xf numFmtId="4" fontId="122" fillId="74" borderId="111" applyNumberFormat="0" applyProtection="0">
      <alignment horizontal="left" vertical="center" indent="1"/>
    </xf>
    <xf numFmtId="4" fontId="122" fillId="75" borderId="111" applyNumberFormat="0" applyProtection="0">
      <alignment horizontal="right" vertical="center"/>
    </xf>
    <xf numFmtId="4" fontId="122" fillId="76" borderId="111" applyNumberFormat="0" applyProtection="0">
      <alignment horizontal="right" vertical="center"/>
    </xf>
    <xf numFmtId="4" fontId="122" fillId="77" borderId="114" applyNumberFormat="0" applyProtection="0">
      <alignment horizontal="right" vertical="center"/>
    </xf>
    <xf numFmtId="4" fontId="122" fillId="44" borderId="111" applyNumberFormat="0" applyProtection="0">
      <alignment horizontal="right" vertical="center"/>
    </xf>
    <xf numFmtId="4" fontId="122" fillId="78" borderId="111" applyNumberFormat="0" applyProtection="0">
      <alignment horizontal="right" vertical="center"/>
    </xf>
    <xf numFmtId="4" fontId="122" fillId="79" borderId="111" applyNumberFormat="0" applyProtection="0">
      <alignment horizontal="right" vertical="center"/>
    </xf>
    <xf numFmtId="4" fontId="122" fillId="40" borderId="111" applyNumberFormat="0" applyProtection="0">
      <alignment horizontal="right" vertical="center"/>
    </xf>
    <xf numFmtId="4" fontId="122" fillId="37" borderId="111" applyNumberFormat="0" applyProtection="0">
      <alignment horizontal="right" vertical="center"/>
    </xf>
    <xf numFmtId="4" fontId="122" fillId="80" borderId="111" applyNumberFormat="0" applyProtection="0">
      <alignment horizontal="right" vertical="center"/>
    </xf>
    <xf numFmtId="4" fontId="122" fillId="81" borderId="114" applyNumberFormat="0" applyProtection="0">
      <alignment horizontal="left" vertical="center" indent="1"/>
    </xf>
    <xf numFmtId="4" fontId="79" fillId="42" borderId="114" applyNumberFormat="0" applyProtection="0">
      <alignment horizontal="left" vertical="center" indent="1"/>
    </xf>
    <xf numFmtId="4" fontId="79" fillId="42" borderId="114" applyNumberFormat="0" applyProtection="0">
      <alignment horizontal="left" vertical="center" indent="1"/>
    </xf>
    <xf numFmtId="4" fontId="122" fillId="36" borderId="111" applyNumberFormat="0" applyProtection="0">
      <alignment horizontal="right" vertical="center"/>
    </xf>
    <xf numFmtId="4" fontId="122" fillId="35" borderId="114" applyNumberFormat="0" applyProtection="0">
      <alignment horizontal="left" vertical="center" indent="1"/>
    </xf>
    <xf numFmtId="4" fontId="122" fillId="36" borderId="114" applyNumberFormat="0" applyProtection="0">
      <alignment horizontal="left" vertical="center" indent="1"/>
    </xf>
    <xf numFmtId="187" fontId="122" fillId="31" borderId="111" applyNumberFormat="0" applyProtection="0">
      <alignment horizontal="left" vertical="center" indent="1"/>
    </xf>
    <xf numFmtId="187" fontId="79" fillId="42" borderId="113" applyNumberFormat="0" applyProtection="0">
      <alignment horizontal="left" vertical="center" indent="1"/>
    </xf>
    <xf numFmtId="187" fontId="122" fillId="42" borderId="113" applyNumberFormat="0" applyProtection="0">
      <alignment horizontal="left" vertical="top" indent="1"/>
    </xf>
    <xf numFmtId="187" fontId="79" fillId="42" borderId="113" applyNumberFormat="0" applyProtection="0">
      <alignment horizontal="left" vertical="top" indent="1"/>
    </xf>
    <xf numFmtId="187" fontId="122" fillId="42" borderId="113" applyNumberFormat="0" applyProtection="0">
      <alignment horizontal="left" vertical="top" indent="1"/>
    </xf>
    <xf numFmtId="187" fontId="122" fillId="42" borderId="113" applyNumberFormat="0" applyProtection="0">
      <alignment horizontal="left" vertical="top" indent="1"/>
    </xf>
    <xf numFmtId="187" fontId="122" fillId="42" borderId="113" applyNumberFormat="0" applyProtection="0">
      <alignment horizontal="left" vertical="top" indent="1"/>
    </xf>
    <xf numFmtId="187" fontId="122" fillId="42" borderId="113" applyNumberFormat="0" applyProtection="0">
      <alignment horizontal="left" vertical="top" indent="1"/>
    </xf>
    <xf numFmtId="187" fontId="122" fillId="42" borderId="113" applyNumberFormat="0" applyProtection="0">
      <alignment horizontal="left" vertical="top" indent="1"/>
    </xf>
    <xf numFmtId="187" fontId="122" fillId="42" borderId="113" applyNumberFormat="0" applyProtection="0">
      <alignment horizontal="left" vertical="top" indent="1"/>
    </xf>
    <xf numFmtId="187" fontId="122" fillId="42" borderId="113" applyNumberFormat="0" applyProtection="0">
      <alignment horizontal="left" vertical="top" indent="1"/>
    </xf>
    <xf numFmtId="187" fontId="122" fillId="42" borderId="113" applyNumberFormat="0" applyProtection="0">
      <alignment horizontal="left" vertical="top" indent="1"/>
    </xf>
    <xf numFmtId="187" fontId="122" fillId="82" borderId="111" applyNumberFormat="0" applyProtection="0">
      <alignment horizontal="left" vertical="center" indent="1"/>
    </xf>
    <xf numFmtId="187" fontId="79" fillId="36" borderId="113" applyNumberFormat="0" applyProtection="0">
      <alignment horizontal="left" vertical="center" indent="1"/>
    </xf>
    <xf numFmtId="187" fontId="122" fillId="36" borderId="113" applyNumberFormat="0" applyProtection="0">
      <alignment horizontal="left" vertical="top" indent="1"/>
    </xf>
    <xf numFmtId="187" fontId="79" fillId="36" borderId="113" applyNumberFormat="0" applyProtection="0">
      <alignment horizontal="left" vertical="top" indent="1"/>
    </xf>
    <xf numFmtId="187" fontId="122" fillId="36" borderId="113" applyNumberFormat="0" applyProtection="0">
      <alignment horizontal="left" vertical="top" indent="1"/>
    </xf>
    <xf numFmtId="187" fontId="122" fillId="36" borderId="113" applyNumberFormat="0" applyProtection="0">
      <alignment horizontal="left" vertical="top" indent="1"/>
    </xf>
    <xf numFmtId="187" fontId="122" fillId="36" borderId="113" applyNumberFormat="0" applyProtection="0">
      <alignment horizontal="left" vertical="top" indent="1"/>
    </xf>
    <xf numFmtId="187" fontId="122" fillId="36" borderId="113" applyNumberFormat="0" applyProtection="0">
      <alignment horizontal="left" vertical="top" indent="1"/>
    </xf>
    <xf numFmtId="187" fontId="122" fillId="36" borderId="113" applyNumberFormat="0" applyProtection="0">
      <alignment horizontal="left" vertical="top" indent="1"/>
    </xf>
    <xf numFmtId="187" fontId="122" fillId="36" borderId="113" applyNumberFormat="0" applyProtection="0">
      <alignment horizontal="left" vertical="top" indent="1"/>
    </xf>
    <xf numFmtId="187" fontId="122" fillId="36" borderId="113" applyNumberFormat="0" applyProtection="0">
      <alignment horizontal="left" vertical="top" indent="1"/>
    </xf>
    <xf numFmtId="187" fontId="122" fillId="36" borderId="113" applyNumberFormat="0" applyProtection="0">
      <alignment horizontal="left" vertical="top" indent="1"/>
    </xf>
    <xf numFmtId="187" fontId="122" fillId="83" borderId="111" applyNumberFormat="0" applyProtection="0">
      <alignment horizontal="left" vertical="center" indent="1"/>
    </xf>
    <xf numFmtId="187" fontId="79" fillId="83" borderId="113" applyNumberFormat="0" applyProtection="0">
      <alignment horizontal="left" vertical="center" indent="1"/>
    </xf>
    <xf numFmtId="187" fontId="122" fillId="83" borderId="113" applyNumberFormat="0" applyProtection="0">
      <alignment horizontal="left" vertical="top" indent="1"/>
    </xf>
    <xf numFmtId="187" fontId="79" fillId="83" borderId="113" applyNumberFormat="0" applyProtection="0">
      <alignment horizontal="left" vertical="top" indent="1"/>
    </xf>
    <xf numFmtId="187" fontId="122" fillId="83" borderId="113" applyNumberFormat="0" applyProtection="0">
      <alignment horizontal="left" vertical="top" indent="1"/>
    </xf>
    <xf numFmtId="187" fontId="122" fillId="83" borderId="113" applyNumberFormat="0" applyProtection="0">
      <alignment horizontal="left" vertical="top" indent="1"/>
    </xf>
    <xf numFmtId="187" fontId="122" fillId="83" borderId="113" applyNumberFormat="0" applyProtection="0">
      <alignment horizontal="left" vertical="top" indent="1"/>
    </xf>
    <xf numFmtId="187" fontId="122" fillId="83" borderId="113" applyNumberFormat="0" applyProtection="0">
      <alignment horizontal="left" vertical="top" indent="1"/>
    </xf>
    <xf numFmtId="187" fontId="122" fillId="83" borderId="113" applyNumberFormat="0" applyProtection="0">
      <alignment horizontal="left" vertical="top" indent="1"/>
    </xf>
    <xf numFmtId="187" fontId="122" fillId="83" borderId="113" applyNumberFormat="0" applyProtection="0">
      <alignment horizontal="left" vertical="top" indent="1"/>
    </xf>
    <xf numFmtId="187" fontId="122" fillId="83" borderId="113" applyNumberFormat="0" applyProtection="0">
      <alignment horizontal="left" vertical="top" indent="1"/>
    </xf>
    <xf numFmtId="187" fontId="122" fillId="83" borderId="113" applyNumberFormat="0" applyProtection="0">
      <alignment horizontal="left" vertical="top" indent="1"/>
    </xf>
    <xf numFmtId="187" fontId="122" fillId="35" borderId="111" applyNumberFormat="0" applyProtection="0">
      <alignment horizontal="left" vertical="center" indent="1"/>
    </xf>
    <xf numFmtId="187" fontId="79" fillId="35" borderId="113" applyNumberFormat="0" applyProtection="0">
      <alignment horizontal="left" vertical="center" indent="1"/>
    </xf>
    <xf numFmtId="187" fontId="122" fillId="35" borderId="113" applyNumberFormat="0" applyProtection="0">
      <alignment horizontal="left" vertical="top" indent="1"/>
    </xf>
    <xf numFmtId="187" fontId="79" fillId="35" borderId="113" applyNumberFormat="0" applyProtection="0">
      <alignment horizontal="left" vertical="top" indent="1"/>
    </xf>
    <xf numFmtId="187" fontId="122" fillId="35" borderId="113" applyNumberFormat="0" applyProtection="0">
      <alignment horizontal="left" vertical="top" indent="1"/>
    </xf>
    <xf numFmtId="187" fontId="122" fillId="35" borderId="113" applyNumberFormat="0" applyProtection="0">
      <alignment horizontal="left" vertical="top" indent="1"/>
    </xf>
    <xf numFmtId="187" fontId="122" fillId="35" borderId="113" applyNumberFormat="0" applyProtection="0">
      <alignment horizontal="left" vertical="top" indent="1"/>
    </xf>
    <xf numFmtId="187" fontId="122" fillId="35" borderId="113" applyNumberFormat="0" applyProtection="0">
      <alignment horizontal="left" vertical="top" indent="1"/>
    </xf>
    <xf numFmtId="187" fontId="122" fillId="35" borderId="113" applyNumberFormat="0" applyProtection="0">
      <alignment horizontal="left" vertical="top" indent="1"/>
    </xf>
    <xf numFmtId="187" fontId="122" fillId="35" borderId="113" applyNumberFormat="0" applyProtection="0">
      <alignment horizontal="left" vertical="top" indent="1"/>
    </xf>
    <xf numFmtId="187" fontId="122" fillId="35" borderId="113" applyNumberFormat="0" applyProtection="0">
      <alignment horizontal="left" vertical="top" indent="1"/>
    </xf>
    <xf numFmtId="187" fontId="122" fillId="35" borderId="113" applyNumberFormat="0" applyProtection="0">
      <alignment horizontal="left" vertical="top" indent="1"/>
    </xf>
    <xf numFmtId="187" fontId="127" fillId="42" borderId="115" applyBorder="0"/>
    <xf numFmtId="4" fontId="128" fillId="69" borderId="113" applyNumberFormat="0" applyProtection="0">
      <alignment vertical="center"/>
    </xf>
    <xf numFmtId="4" fontId="128" fillId="31" borderId="113" applyNumberFormat="0" applyProtection="0">
      <alignment horizontal="left" vertical="center" indent="1"/>
    </xf>
    <xf numFmtId="187" fontId="128" fillId="69" borderId="113" applyNumberFormat="0" applyProtection="0">
      <alignment horizontal="left" vertical="top" indent="1"/>
    </xf>
    <xf numFmtId="4" fontId="122" fillId="0" borderId="111" applyNumberFormat="0" applyProtection="0">
      <alignment horizontal="right" vertical="center"/>
    </xf>
    <xf numFmtId="4" fontId="125" fillId="3" borderId="111" applyNumberFormat="0" applyProtection="0">
      <alignment horizontal="right" vertical="center"/>
    </xf>
    <xf numFmtId="4" fontId="122" fillId="74" borderId="111" applyNumberFormat="0" applyProtection="0">
      <alignment horizontal="left" vertical="center" indent="1"/>
    </xf>
    <xf numFmtId="187" fontId="128" fillId="36" borderId="113" applyNumberFormat="0" applyProtection="0">
      <alignment horizontal="left" vertical="top" indent="1"/>
    </xf>
    <xf numFmtId="4" fontId="129" fillId="85" borderId="114" applyNumberFormat="0" applyProtection="0">
      <alignment horizontal="left" vertical="center" indent="1"/>
    </xf>
    <xf numFmtId="4" fontId="130" fillId="84" borderId="111" applyNumberFormat="0" applyProtection="0">
      <alignment horizontal="right" vertical="center"/>
    </xf>
    <xf numFmtId="37" fontId="102" fillId="0" borderId="110" applyNumberFormat="0"/>
    <xf numFmtId="187" fontId="111" fillId="0" borderId="116" applyNumberFormat="0" applyFill="0" applyAlignment="0" applyProtection="0"/>
    <xf numFmtId="187" fontId="111" fillId="0" borderId="116" applyNumberFormat="0" applyFill="0" applyAlignment="0" applyProtection="0"/>
    <xf numFmtId="4" fontId="122" fillId="6" borderId="111" applyNumberFormat="0" applyProtection="0">
      <alignment horizontal="left" vertical="center" indent="1"/>
    </xf>
    <xf numFmtId="187" fontId="123" fillId="65" borderId="119" applyNumberFormat="0" applyAlignment="0" applyProtection="0"/>
    <xf numFmtId="187" fontId="123" fillId="65" borderId="119" applyNumberForma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23" fillId="65" borderId="119" applyNumberFormat="0" applyAlignment="0" applyProtection="0"/>
    <xf numFmtId="187" fontId="123" fillId="65" borderId="119" applyNumberForma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09" fillId="65" borderId="118" applyNumberFormat="0" applyAlignment="0" applyProtection="0"/>
    <xf numFmtId="187" fontId="109" fillId="65" borderId="118" applyNumberFormat="0" applyAlignment="0" applyProtection="0"/>
    <xf numFmtId="187" fontId="109" fillId="65" borderId="118" applyNumberFormat="0" applyAlignment="0" applyProtection="0"/>
    <xf numFmtId="187" fontId="109" fillId="65" borderId="111" applyNumberFormat="0" applyAlignment="0" applyProtection="0"/>
    <xf numFmtId="187" fontId="109" fillId="65" borderId="111" applyNumberFormat="0" applyAlignment="0" applyProtection="0"/>
    <xf numFmtId="187" fontId="109" fillId="65" borderId="111" applyNumberFormat="0" applyAlignment="0" applyProtection="0"/>
    <xf numFmtId="187" fontId="109" fillId="65" borderId="111" applyNumberFormat="0" applyAlignment="0" applyProtection="0"/>
    <xf numFmtId="187" fontId="117" fillId="62" borderId="118" applyNumberFormat="0" applyAlignment="0" applyProtection="0"/>
    <xf numFmtId="187" fontId="117" fillId="62" borderId="118" applyNumberFormat="0" applyAlignment="0" applyProtection="0"/>
    <xf numFmtId="187" fontId="117" fillId="62" borderId="118" applyNumberFormat="0" applyAlignment="0" applyProtection="0"/>
    <xf numFmtId="187" fontId="117" fillId="62" borderId="118" applyNumberFormat="0" applyAlignment="0" applyProtection="0"/>
    <xf numFmtId="187" fontId="117" fillId="62" borderId="111" applyNumberFormat="0" applyAlignment="0" applyProtection="0"/>
    <xf numFmtId="187" fontId="117" fillId="62" borderId="111" applyNumberFormat="0" applyAlignment="0" applyProtection="0"/>
    <xf numFmtId="187" fontId="117" fillId="62" borderId="111" applyNumberFormat="0" applyAlignment="0" applyProtection="0"/>
    <xf numFmtId="187" fontId="117" fillId="62" borderId="111" applyNumberFormat="0" applyAlignment="0" applyProtection="0"/>
    <xf numFmtId="187" fontId="117" fillId="62" borderId="118" applyNumberFormat="0" applyAlignment="0" applyProtection="0"/>
    <xf numFmtId="187" fontId="117" fillId="62" borderId="118" applyNumberFormat="0" applyAlignment="0" applyProtection="0"/>
    <xf numFmtId="187" fontId="117" fillId="62" borderId="118" applyNumberFormat="0" applyAlignment="0" applyProtection="0"/>
    <xf numFmtId="187" fontId="117" fillId="62" borderId="118" applyNumberFormat="0" applyAlignment="0" applyProtection="0"/>
    <xf numFmtId="187" fontId="109" fillId="65" borderId="118" applyNumberFormat="0" applyAlignment="0" applyProtection="0"/>
    <xf numFmtId="187" fontId="109" fillId="65" borderId="118" applyNumberFormat="0" applyAlignment="0" applyProtection="0"/>
    <xf numFmtId="187" fontId="109" fillId="65" borderId="118" applyNumberForma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23" fillId="65" borderId="119" applyNumberFormat="0" applyAlignment="0" applyProtection="0"/>
    <xf numFmtId="187" fontId="123" fillId="65" borderId="119" applyNumberForma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22" fillId="61" borderId="118" applyNumberFormat="0" applyFont="0" applyAlignment="0" applyProtection="0"/>
    <xf numFmtId="187" fontId="123" fillId="65" borderId="119" applyNumberFormat="0" applyAlignment="0" applyProtection="0"/>
    <xf numFmtId="187" fontId="123" fillId="65" borderId="119" applyNumberFormat="0" applyAlignment="0" applyProtection="0"/>
    <xf numFmtId="4" fontId="122" fillId="73" borderId="118" applyNumberFormat="0" applyProtection="0">
      <alignment vertical="center"/>
    </xf>
    <xf numFmtId="4" fontId="125" fillId="6" borderId="118" applyNumberFormat="0" applyProtection="0">
      <alignment vertical="center"/>
    </xf>
    <xf numFmtId="4" fontId="122" fillId="6" borderId="118" applyNumberFormat="0" applyProtection="0">
      <alignment horizontal="left" vertical="center" indent="1"/>
    </xf>
    <xf numFmtId="187" fontId="126" fillId="73" borderId="120" applyNumberFormat="0" applyProtection="0">
      <alignment horizontal="left" vertical="top" indent="1"/>
    </xf>
    <xf numFmtId="4" fontId="122" fillId="74" borderId="118" applyNumberFormat="0" applyProtection="0">
      <alignment horizontal="left" vertical="center" indent="1"/>
    </xf>
    <xf numFmtId="4" fontId="122" fillId="75" borderId="118" applyNumberFormat="0" applyProtection="0">
      <alignment horizontal="right" vertical="center"/>
    </xf>
    <xf numFmtId="4" fontId="122" fillId="76" borderId="118" applyNumberFormat="0" applyProtection="0">
      <alignment horizontal="right" vertical="center"/>
    </xf>
    <xf numFmtId="4" fontId="122" fillId="77" borderId="121" applyNumberFormat="0" applyProtection="0">
      <alignment horizontal="right" vertical="center"/>
    </xf>
    <xf numFmtId="4" fontId="122" fillId="44" borderId="118" applyNumberFormat="0" applyProtection="0">
      <alignment horizontal="right" vertical="center"/>
    </xf>
    <xf numFmtId="4" fontId="122" fillId="78" borderId="118" applyNumberFormat="0" applyProtection="0">
      <alignment horizontal="right" vertical="center"/>
    </xf>
    <xf numFmtId="4" fontId="122" fillId="79" borderId="118" applyNumberFormat="0" applyProtection="0">
      <alignment horizontal="right" vertical="center"/>
    </xf>
    <xf numFmtId="4" fontId="122" fillId="73" borderId="118" applyNumberFormat="0" applyProtection="0">
      <alignment vertical="center"/>
    </xf>
    <xf numFmtId="4" fontId="125" fillId="6" borderId="118" applyNumberFormat="0" applyProtection="0">
      <alignment vertical="center"/>
    </xf>
    <xf numFmtId="4" fontId="122" fillId="6" borderId="118" applyNumberFormat="0" applyProtection="0">
      <alignment horizontal="left" vertical="center" indent="1"/>
    </xf>
    <xf numFmtId="187" fontId="126" fillId="73" borderId="120" applyNumberFormat="0" applyProtection="0">
      <alignment horizontal="left" vertical="top" indent="1"/>
    </xf>
    <xf numFmtId="4" fontId="122" fillId="74" borderId="118" applyNumberFormat="0" applyProtection="0">
      <alignment horizontal="left" vertical="center" indent="1"/>
    </xf>
    <xf numFmtId="4" fontId="122" fillId="75" borderId="118" applyNumberFormat="0" applyProtection="0">
      <alignment horizontal="right" vertical="center"/>
    </xf>
    <xf numFmtId="4" fontId="122" fillId="76" borderId="118" applyNumberFormat="0" applyProtection="0">
      <alignment horizontal="right" vertical="center"/>
    </xf>
    <xf numFmtId="4" fontId="122" fillId="77" borderId="121" applyNumberFormat="0" applyProtection="0">
      <alignment horizontal="right" vertical="center"/>
    </xf>
    <xf numFmtId="4" fontId="122" fillId="44" borderId="118" applyNumberFormat="0" applyProtection="0">
      <alignment horizontal="right" vertical="center"/>
    </xf>
    <xf numFmtId="4" fontId="122" fillId="79" borderId="118" applyNumberFormat="0" applyProtection="0">
      <alignment horizontal="right" vertical="center"/>
    </xf>
    <xf numFmtId="4" fontId="122" fillId="40" borderId="118" applyNumberFormat="0" applyProtection="0">
      <alignment horizontal="right" vertical="center"/>
    </xf>
    <xf numFmtId="4" fontId="122" fillId="37" borderId="118" applyNumberFormat="0" applyProtection="0">
      <alignment horizontal="right" vertical="center"/>
    </xf>
    <xf numFmtId="4" fontId="122" fillId="80" borderId="118" applyNumberFormat="0" applyProtection="0">
      <alignment horizontal="right" vertical="center"/>
    </xf>
    <xf numFmtId="4" fontId="122" fillId="81" borderId="121" applyNumberFormat="0" applyProtection="0">
      <alignment horizontal="left" vertical="center" indent="1"/>
    </xf>
    <xf numFmtId="4" fontId="79" fillId="42" borderId="121" applyNumberFormat="0" applyProtection="0">
      <alignment horizontal="left" vertical="center" indent="1"/>
    </xf>
    <xf numFmtId="4" fontId="79" fillId="42" borderId="121" applyNumberFormat="0" applyProtection="0">
      <alignment horizontal="left" vertical="center" indent="1"/>
    </xf>
    <xf numFmtId="4" fontId="122" fillId="36" borderId="118" applyNumberFormat="0" applyProtection="0">
      <alignment horizontal="right" vertical="center"/>
    </xf>
    <xf numFmtId="4" fontId="122" fillId="35" borderId="121" applyNumberFormat="0" applyProtection="0">
      <alignment horizontal="left" vertical="center" indent="1"/>
    </xf>
    <xf numFmtId="187" fontId="122" fillId="61" borderId="111" applyNumberFormat="0" applyFont="0" applyAlignment="0" applyProtection="0"/>
    <xf numFmtId="187" fontId="122" fillId="61" borderId="111" applyNumberFormat="0" applyFont="0" applyAlignment="0" applyProtection="0"/>
    <xf numFmtId="187" fontId="122" fillId="61" borderId="111" applyNumberFormat="0" applyFont="0" applyAlignment="0" applyProtection="0"/>
    <xf numFmtId="187" fontId="122" fillId="61" borderId="111" applyNumberFormat="0" applyFont="0" applyAlignment="0" applyProtection="0"/>
    <xf numFmtId="187" fontId="122" fillId="61" borderId="111" applyNumberFormat="0" applyFont="0" applyAlignment="0" applyProtection="0"/>
    <xf numFmtId="187" fontId="122" fillId="61" borderId="111" applyNumberFormat="0" applyFont="0" applyAlignment="0" applyProtection="0"/>
    <xf numFmtId="187" fontId="122" fillId="61" borderId="111" applyNumberFormat="0" applyFont="0" applyAlignment="0" applyProtection="0"/>
    <xf numFmtId="187" fontId="122" fillId="61" borderId="111" applyNumberFormat="0" applyFont="0" applyAlignment="0" applyProtection="0"/>
    <xf numFmtId="187" fontId="122" fillId="61" borderId="111" applyNumberFormat="0" applyFont="0" applyAlignment="0" applyProtection="0"/>
    <xf numFmtId="4" fontId="122" fillId="36" borderId="121" applyNumberFormat="0" applyProtection="0">
      <alignment horizontal="left" vertical="center" indent="1"/>
    </xf>
    <xf numFmtId="4" fontId="122" fillId="37" borderId="118" applyNumberFormat="0" applyProtection="0">
      <alignment horizontal="right" vertical="center"/>
    </xf>
    <xf numFmtId="187" fontId="122" fillId="31" borderId="118" applyNumberFormat="0" applyProtection="0">
      <alignment horizontal="left" vertical="center" indent="1"/>
    </xf>
    <xf numFmtId="187" fontId="79" fillId="42" borderId="120" applyNumberFormat="0" applyProtection="0">
      <alignment horizontal="left" vertical="center" indent="1"/>
    </xf>
    <xf numFmtId="187" fontId="122" fillId="42" borderId="120" applyNumberFormat="0" applyProtection="0">
      <alignment horizontal="left" vertical="top" indent="1"/>
    </xf>
    <xf numFmtId="187" fontId="79"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82" borderId="118" applyNumberFormat="0" applyProtection="0">
      <alignment horizontal="left" vertical="center" indent="1"/>
    </xf>
    <xf numFmtId="187" fontId="79" fillId="36" borderId="120" applyNumberFormat="0" applyProtection="0">
      <alignment horizontal="left" vertical="center"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83" borderId="118" applyNumberFormat="0" applyProtection="0">
      <alignment horizontal="left" vertical="center" indent="1"/>
    </xf>
    <xf numFmtId="187" fontId="79" fillId="83" borderId="120" applyNumberFormat="0" applyProtection="0">
      <alignment horizontal="left" vertical="center" indent="1"/>
    </xf>
    <xf numFmtId="187" fontId="122" fillId="61" borderId="111" applyNumberFormat="0" applyFont="0" applyAlignment="0" applyProtection="0"/>
    <xf numFmtId="187" fontId="122" fillId="61" borderId="111" applyNumberFormat="0" applyFont="0" applyAlignment="0" applyProtection="0"/>
    <xf numFmtId="187" fontId="122" fillId="61" borderId="111" applyNumberFormat="0" applyFont="0" applyAlignment="0" applyProtection="0"/>
    <xf numFmtId="187" fontId="122" fillId="61" borderId="111" applyNumberFormat="0" applyFont="0" applyAlignment="0" applyProtection="0"/>
    <xf numFmtId="187" fontId="122" fillId="61" borderId="111" applyNumberFormat="0" applyFont="0" applyAlignment="0" applyProtection="0"/>
    <xf numFmtId="187" fontId="122" fillId="61" borderId="111" applyNumberFormat="0" applyFont="0" applyAlignment="0" applyProtection="0"/>
    <xf numFmtId="187" fontId="122" fillId="61" borderId="111" applyNumberFormat="0" applyFont="0" applyAlignment="0" applyProtection="0"/>
    <xf numFmtId="187" fontId="122" fillId="61" borderId="111" applyNumberFormat="0" applyFont="0" applyAlignment="0" applyProtection="0"/>
    <xf numFmtId="187" fontId="122" fillId="61" borderId="111" applyNumberFormat="0" applyFont="0" applyAlignment="0" applyProtection="0"/>
    <xf numFmtId="4" fontId="122" fillId="73" borderId="111" applyNumberFormat="0" applyProtection="0">
      <alignment vertical="center"/>
    </xf>
    <xf numFmtId="4" fontId="125" fillId="6" borderId="111" applyNumberFormat="0" applyProtection="0">
      <alignment vertical="center"/>
    </xf>
    <xf numFmtId="187" fontId="122" fillId="83" borderId="120" applyNumberFormat="0" applyProtection="0">
      <alignment horizontal="left" vertical="top" indent="1"/>
    </xf>
    <xf numFmtId="4" fontId="122" fillId="74" borderId="111" applyNumberFormat="0" applyProtection="0">
      <alignment horizontal="left" vertical="center" indent="1"/>
    </xf>
    <xf numFmtId="4" fontId="122" fillId="75" borderId="111" applyNumberFormat="0" applyProtection="0">
      <alignment horizontal="right" vertical="center"/>
    </xf>
    <xf numFmtId="4" fontId="122" fillId="76" borderId="111" applyNumberFormat="0" applyProtection="0">
      <alignment horizontal="right" vertical="center"/>
    </xf>
    <xf numFmtId="187" fontId="79" fillId="83" borderId="120" applyNumberFormat="0" applyProtection="0">
      <alignment horizontal="left" vertical="top" indent="1"/>
    </xf>
    <xf numFmtId="4" fontId="122" fillId="44" borderId="111" applyNumberFormat="0" applyProtection="0">
      <alignment horizontal="right" vertical="center"/>
    </xf>
    <xf numFmtId="4" fontId="122" fillId="78" borderId="111" applyNumberFormat="0" applyProtection="0">
      <alignment horizontal="right" vertical="center"/>
    </xf>
    <xf numFmtId="4" fontId="122" fillId="40" borderId="111" applyNumberFormat="0" applyProtection="0">
      <alignment horizontal="right" vertical="center"/>
    </xf>
    <xf numFmtId="4" fontId="122" fillId="37" borderId="111" applyNumberFormat="0" applyProtection="0">
      <alignment horizontal="right" vertical="center"/>
    </xf>
    <xf numFmtId="4" fontId="122" fillId="80" borderId="111" applyNumberFormat="0" applyProtection="0">
      <alignment horizontal="right" vertical="center"/>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4" fontId="122" fillId="36" borderId="111" applyNumberFormat="0" applyProtection="0">
      <alignment horizontal="right" vertical="center"/>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31" borderId="111" applyNumberFormat="0" applyProtection="0">
      <alignment horizontal="left" vertical="center" indent="1"/>
    </xf>
    <xf numFmtId="187" fontId="122" fillId="35" borderId="118" applyNumberFormat="0" applyProtection="0">
      <alignment horizontal="left" vertical="center" indent="1"/>
    </xf>
    <xf numFmtId="187" fontId="79" fillId="35" borderId="120" applyNumberFormat="0" applyProtection="0">
      <alignment horizontal="left" vertical="center" indent="1"/>
    </xf>
    <xf numFmtId="187" fontId="122" fillId="35" borderId="120" applyNumberFormat="0" applyProtection="0">
      <alignment horizontal="left" vertical="top" indent="1"/>
    </xf>
    <xf numFmtId="187" fontId="79"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82" borderId="111" applyNumberFormat="0" applyProtection="0">
      <alignment horizontal="left" vertical="center" indent="1"/>
    </xf>
    <xf numFmtId="187" fontId="122" fillId="35" borderId="120" applyNumberFormat="0" applyProtection="0">
      <alignment horizontal="left" vertical="top" indent="1"/>
    </xf>
    <xf numFmtId="4" fontId="79" fillId="42" borderId="121" applyNumberFormat="0" applyProtection="0">
      <alignment horizontal="left" vertical="center" indent="1"/>
    </xf>
    <xf numFmtId="4" fontId="79" fillId="42" borderId="121" applyNumberFormat="0" applyProtection="0">
      <alignment horizontal="left" vertical="center" indent="1"/>
    </xf>
    <xf numFmtId="4" fontId="122" fillId="36" borderId="118" applyNumberFormat="0" applyProtection="0">
      <alignment horizontal="right" vertical="center"/>
    </xf>
    <xf numFmtId="4" fontId="122" fillId="35" borderId="121" applyNumberFormat="0" applyProtection="0">
      <alignment horizontal="left" vertical="center" indent="1"/>
    </xf>
    <xf numFmtId="4" fontId="122" fillId="36" borderId="121" applyNumberFormat="0" applyProtection="0">
      <alignment horizontal="left" vertical="center" indent="1"/>
    </xf>
    <xf numFmtId="4" fontId="122" fillId="73" borderId="111" applyNumberFormat="0" applyProtection="0">
      <alignment vertical="center"/>
    </xf>
    <xf numFmtId="4" fontId="125" fillId="6" borderId="111" applyNumberFormat="0" applyProtection="0">
      <alignment vertical="center"/>
    </xf>
    <xf numFmtId="4" fontId="122" fillId="6" borderId="111" applyNumberFormat="0" applyProtection="0">
      <alignment horizontal="left" vertical="center" indent="1"/>
    </xf>
    <xf numFmtId="4" fontId="122" fillId="74" borderId="111" applyNumberFormat="0" applyProtection="0">
      <alignment horizontal="left" vertical="center" indent="1"/>
    </xf>
    <xf numFmtId="4" fontId="122" fillId="75" borderId="111" applyNumberFormat="0" applyProtection="0">
      <alignment horizontal="right" vertical="center"/>
    </xf>
    <xf numFmtId="4" fontId="122" fillId="76" borderId="111" applyNumberFormat="0" applyProtection="0">
      <alignment horizontal="right" vertical="center"/>
    </xf>
    <xf numFmtId="187" fontId="122" fillId="83" borderId="111" applyNumberFormat="0" applyProtection="0">
      <alignment horizontal="left" vertical="center" indent="1"/>
    </xf>
    <xf numFmtId="4" fontId="122" fillId="44" borderId="111" applyNumberFormat="0" applyProtection="0">
      <alignment horizontal="right" vertical="center"/>
    </xf>
    <xf numFmtId="4" fontId="122" fillId="78" borderId="111" applyNumberFormat="0" applyProtection="0">
      <alignment horizontal="right" vertical="center"/>
    </xf>
    <xf numFmtId="4" fontId="122" fillId="79" borderId="111" applyNumberFormat="0" applyProtection="0">
      <alignment horizontal="right" vertical="center"/>
    </xf>
    <xf numFmtId="4" fontId="122" fillId="40" borderId="111" applyNumberFormat="0" applyProtection="0">
      <alignment horizontal="right" vertical="center"/>
    </xf>
    <xf numFmtId="4" fontId="122" fillId="37" borderId="111" applyNumberFormat="0" applyProtection="0">
      <alignment horizontal="right" vertical="center"/>
    </xf>
    <xf numFmtId="4" fontId="122" fillId="80" borderId="111" applyNumberFormat="0" applyProtection="0">
      <alignment horizontal="right" vertical="center"/>
    </xf>
    <xf numFmtId="187" fontId="127" fillId="42" borderId="122" applyBorder="0"/>
    <xf numFmtId="4" fontId="122" fillId="36" borderId="111" applyNumberFormat="0" applyProtection="0">
      <alignment horizontal="right" vertical="center"/>
    </xf>
    <xf numFmtId="4" fontId="128" fillId="69" borderId="120" applyNumberFormat="0" applyProtection="0">
      <alignment vertical="center"/>
    </xf>
    <xf numFmtId="4" fontId="128" fillId="31" borderId="120" applyNumberFormat="0" applyProtection="0">
      <alignment horizontal="left" vertical="center" indent="1"/>
    </xf>
    <xf numFmtId="187" fontId="128" fillId="69" borderId="120" applyNumberFormat="0" applyProtection="0">
      <alignment horizontal="left" vertical="top" indent="1"/>
    </xf>
    <xf numFmtId="4" fontId="122" fillId="0" borderId="118" applyNumberFormat="0" applyProtection="0">
      <alignment horizontal="right" vertical="center"/>
    </xf>
    <xf numFmtId="4" fontId="125" fillId="3" borderId="118" applyNumberFormat="0" applyProtection="0">
      <alignment horizontal="right" vertical="center"/>
    </xf>
    <xf numFmtId="187" fontId="122" fillId="31" borderId="111" applyNumberFormat="0" applyProtection="0">
      <alignment horizontal="left" vertical="center" indent="1"/>
    </xf>
    <xf numFmtId="4" fontId="122" fillId="74" borderId="118" applyNumberFormat="0" applyProtection="0">
      <alignment horizontal="left" vertical="center" indent="1"/>
    </xf>
    <xf numFmtId="187" fontId="128" fillId="36" borderId="120" applyNumberFormat="0" applyProtection="0">
      <alignment horizontal="left" vertical="top" indent="1"/>
    </xf>
    <xf numFmtId="4" fontId="129" fillId="85" borderId="121" applyNumberFormat="0" applyProtection="0">
      <alignment horizontal="left" vertical="center" indent="1"/>
    </xf>
    <xf numFmtId="187" fontId="122" fillId="35" borderId="111" applyNumberFormat="0" applyProtection="0">
      <alignment horizontal="left" vertical="center" indent="1"/>
    </xf>
    <xf numFmtId="4" fontId="130" fillId="84" borderId="118" applyNumberFormat="0" applyProtection="0">
      <alignment horizontal="right" vertical="center"/>
    </xf>
    <xf numFmtId="37" fontId="102" fillId="0" borderId="123" applyNumberFormat="0"/>
    <xf numFmtId="187" fontId="122" fillId="82" borderId="111" applyNumberFormat="0" applyProtection="0">
      <alignment horizontal="left" vertical="center" indent="1"/>
    </xf>
    <xf numFmtId="188" fontId="102" fillId="0" borderId="62" applyFill="0"/>
    <xf numFmtId="187" fontId="111" fillId="0" borderId="124" applyNumberFormat="0" applyFill="0" applyAlignment="0" applyProtection="0"/>
    <xf numFmtId="187" fontId="111" fillId="0" borderId="124" applyNumberFormat="0" applyFill="0" applyAlignment="0" applyProtection="0"/>
    <xf numFmtId="187" fontId="109" fillId="65" borderId="118" applyNumberFormat="0" applyAlignment="0" applyProtection="0"/>
    <xf numFmtId="187" fontId="122" fillId="83" borderId="111" applyNumberFormat="0" applyProtection="0">
      <alignment horizontal="left" vertical="center" indent="1"/>
    </xf>
    <xf numFmtId="4" fontId="122" fillId="0" borderId="111" applyNumberFormat="0" applyProtection="0">
      <alignment horizontal="right" vertical="center"/>
    </xf>
    <xf numFmtId="4" fontId="125" fillId="3" borderId="111" applyNumberFormat="0" applyProtection="0">
      <alignment horizontal="right" vertical="center"/>
    </xf>
    <xf numFmtId="187" fontId="122" fillId="35" borderId="111" applyNumberFormat="0" applyProtection="0">
      <alignment horizontal="left" vertical="center" indent="1"/>
    </xf>
    <xf numFmtId="4" fontId="122" fillId="74" borderId="111" applyNumberFormat="0" applyProtection="0">
      <alignment horizontal="left" vertical="center" indent="1"/>
    </xf>
    <xf numFmtId="4" fontId="130" fillId="84" borderId="111" applyNumberFormat="0" applyProtection="0">
      <alignment horizontal="right" vertical="center"/>
    </xf>
    <xf numFmtId="187" fontId="79" fillId="36" borderId="120" applyNumberFormat="0" applyProtection="0">
      <alignment horizontal="left" vertical="top" indent="1"/>
    </xf>
    <xf numFmtId="187" fontId="122" fillId="36" borderId="120" applyNumberFormat="0" applyProtection="0">
      <alignment horizontal="left" vertical="top" indent="1"/>
    </xf>
    <xf numFmtId="4" fontId="122" fillId="78" borderId="118" applyNumberFormat="0" applyProtection="0">
      <alignment horizontal="right" vertical="center"/>
    </xf>
    <xf numFmtId="188" fontId="102" fillId="0" borderId="117" applyFill="0"/>
    <xf numFmtId="187" fontId="122" fillId="42" borderId="120" applyNumberFormat="0" applyProtection="0">
      <alignment horizontal="left" vertical="top" indent="1"/>
    </xf>
    <xf numFmtId="4" fontId="122" fillId="0" borderId="111" applyNumberFormat="0" applyProtection="0">
      <alignment horizontal="right" vertical="center"/>
    </xf>
    <xf numFmtId="4" fontId="125" fillId="3" borderId="111" applyNumberFormat="0" applyProtection="0">
      <alignment horizontal="right" vertical="center"/>
    </xf>
    <xf numFmtId="4" fontId="122" fillId="74" borderId="111" applyNumberFormat="0" applyProtection="0">
      <alignment horizontal="left" vertical="center" indent="1"/>
    </xf>
    <xf numFmtId="187" fontId="122" fillId="42" borderId="120" applyNumberFormat="0" applyProtection="0">
      <alignment horizontal="left" vertical="top" indent="1"/>
    </xf>
    <xf numFmtId="4" fontId="130" fillId="84" borderId="111" applyNumberFormat="0" applyProtection="0">
      <alignment horizontal="right" vertical="center"/>
    </xf>
    <xf numFmtId="4" fontId="122" fillId="81" borderId="121" applyNumberFormat="0" applyProtection="0">
      <alignment horizontal="left" vertical="center" indent="1"/>
    </xf>
    <xf numFmtId="4" fontId="122" fillId="80" borderId="118" applyNumberFormat="0" applyProtection="0">
      <alignment horizontal="right" vertical="center"/>
    </xf>
    <xf numFmtId="4" fontId="122" fillId="79" borderId="111" applyNumberFormat="0" applyProtection="0">
      <alignment horizontal="right" vertical="center"/>
    </xf>
    <xf numFmtId="187" fontId="122" fillId="35" borderId="120" applyNumberFormat="0" applyProtection="0">
      <alignment horizontal="left" vertical="top" indent="1"/>
    </xf>
    <xf numFmtId="187" fontId="122" fillId="61" borderId="118" applyNumberFormat="0" applyFont="0" applyAlignment="0" applyProtection="0"/>
    <xf numFmtId="4" fontId="122" fillId="40" borderId="118" applyNumberFormat="0" applyProtection="0">
      <alignment horizontal="right" vertical="center"/>
    </xf>
    <xf numFmtId="187" fontId="122" fillId="42" borderId="120" applyNumberFormat="0" applyProtection="0">
      <alignment horizontal="left" vertical="top" indent="1"/>
    </xf>
    <xf numFmtId="187" fontId="122" fillId="61" borderId="118" applyNumberFormat="0" applyFont="0" applyAlignment="0" applyProtection="0"/>
    <xf numFmtId="187" fontId="122" fillId="61" borderId="118" applyNumberFormat="0" applyFont="0" applyAlignment="0" applyProtection="0"/>
    <xf numFmtId="187" fontId="122" fillId="36" borderId="120" applyNumberFormat="0" applyProtection="0">
      <alignment horizontal="left" vertical="top" indent="1"/>
    </xf>
    <xf numFmtId="4" fontId="122" fillId="73" borderId="118" applyNumberFormat="0" applyProtection="0">
      <alignment vertical="center"/>
    </xf>
    <xf numFmtId="4" fontId="125" fillId="6" borderId="118" applyNumberFormat="0" applyProtection="0">
      <alignment vertical="center"/>
    </xf>
    <xf numFmtId="4" fontId="122" fillId="6" borderId="118" applyNumberFormat="0" applyProtection="0">
      <alignment horizontal="left" vertical="center" indent="1"/>
    </xf>
    <xf numFmtId="187" fontId="126" fillId="73" borderId="120" applyNumberFormat="0" applyProtection="0">
      <alignment horizontal="left" vertical="top" indent="1"/>
    </xf>
    <xf numFmtId="4" fontId="122" fillId="74" borderId="118" applyNumberFormat="0" applyProtection="0">
      <alignment horizontal="left" vertical="center" indent="1"/>
    </xf>
    <xf numFmtId="4" fontId="122" fillId="75" borderId="118" applyNumberFormat="0" applyProtection="0">
      <alignment horizontal="right" vertical="center"/>
    </xf>
    <xf numFmtId="4" fontId="122" fillId="76" borderId="118" applyNumberFormat="0" applyProtection="0">
      <alignment horizontal="right" vertical="center"/>
    </xf>
    <xf numFmtId="4" fontId="122" fillId="44" borderId="118" applyNumberFormat="0" applyProtection="0">
      <alignment horizontal="right" vertical="center"/>
    </xf>
    <xf numFmtId="4" fontId="122" fillId="78" borderId="118" applyNumberFormat="0" applyProtection="0">
      <alignment horizontal="right" vertical="center"/>
    </xf>
    <xf numFmtId="4" fontId="122" fillId="79" borderId="118" applyNumberFormat="0" applyProtection="0">
      <alignment horizontal="right" vertical="center"/>
    </xf>
    <xf numFmtId="4" fontId="122" fillId="40" borderId="118" applyNumberFormat="0" applyProtection="0">
      <alignment horizontal="right" vertical="center"/>
    </xf>
    <xf numFmtId="4" fontId="122" fillId="73" borderId="118" applyNumberFormat="0" applyProtection="0">
      <alignment vertical="center"/>
    </xf>
    <xf numFmtId="4" fontId="125" fillId="6" borderId="118" applyNumberFormat="0" applyProtection="0">
      <alignment vertical="center"/>
    </xf>
    <xf numFmtId="4" fontId="122" fillId="6" borderId="118" applyNumberFormat="0" applyProtection="0">
      <alignment horizontal="left" vertical="center" indent="1"/>
    </xf>
    <xf numFmtId="187" fontId="126" fillId="73" borderId="120" applyNumberFormat="0" applyProtection="0">
      <alignment horizontal="left" vertical="top" indent="1"/>
    </xf>
    <xf numFmtId="4" fontId="122" fillId="74" borderId="118" applyNumberFormat="0" applyProtection="0">
      <alignment horizontal="left" vertical="center" indent="1"/>
    </xf>
    <xf numFmtId="4" fontId="122" fillId="75" borderId="118" applyNumberFormat="0" applyProtection="0">
      <alignment horizontal="right" vertical="center"/>
    </xf>
    <xf numFmtId="4" fontId="122" fillId="76" borderId="118" applyNumberFormat="0" applyProtection="0">
      <alignment horizontal="right" vertical="center"/>
    </xf>
    <xf numFmtId="4" fontId="122" fillId="77" borderId="121" applyNumberFormat="0" applyProtection="0">
      <alignment horizontal="right" vertical="center"/>
    </xf>
    <xf numFmtId="4" fontId="122" fillId="44" borderId="118" applyNumberFormat="0" applyProtection="0">
      <alignment horizontal="right" vertical="center"/>
    </xf>
    <xf numFmtId="4" fontId="122" fillId="78" borderId="118" applyNumberFormat="0" applyProtection="0">
      <alignment horizontal="right" vertical="center"/>
    </xf>
    <xf numFmtId="4" fontId="122" fillId="79" borderId="118" applyNumberFormat="0" applyProtection="0">
      <alignment horizontal="right" vertical="center"/>
    </xf>
    <xf numFmtId="4" fontId="122" fillId="40" borderId="118" applyNumberFormat="0" applyProtection="0">
      <alignment horizontal="right" vertical="center"/>
    </xf>
    <xf numFmtId="4" fontId="122" fillId="37" borderId="118" applyNumberFormat="0" applyProtection="0">
      <alignment horizontal="right" vertical="center"/>
    </xf>
    <xf numFmtId="4" fontId="122" fillId="80" borderId="118" applyNumberFormat="0" applyProtection="0">
      <alignment horizontal="right" vertical="center"/>
    </xf>
    <xf numFmtId="4" fontId="122" fillId="81" borderId="121" applyNumberFormat="0" applyProtection="0">
      <alignment horizontal="left" vertical="center" indent="1"/>
    </xf>
    <xf numFmtId="4" fontId="79" fillId="42" borderId="121" applyNumberFormat="0" applyProtection="0">
      <alignment horizontal="left" vertical="center" indent="1"/>
    </xf>
    <xf numFmtId="4" fontId="79" fillId="42" borderId="121" applyNumberFormat="0" applyProtection="0">
      <alignment horizontal="left" vertical="center" indent="1"/>
    </xf>
    <xf numFmtId="4" fontId="122" fillId="36" borderId="118" applyNumberFormat="0" applyProtection="0">
      <alignment horizontal="right" vertical="center"/>
    </xf>
    <xf numFmtId="4" fontId="122" fillId="35" borderId="121" applyNumberFormat="0" applyProtection="0">
      <alignment horizontal="left" vertical="center" indent="1"/>
    </xf>
    <xf numFmtId="4" fontId="122" fillId="37" borderId="118" applyNumberFormat="0" applyProtection="0">
      <alignment horizontal="right" vertical="center"/>
    </xf>
    <xf numFmtId="4" fontId="122" fillId="36" borderId="121" applyNumberFormat="0" applyProtection="0">
      <alignment horizontal="left" vertical="center" indent="1"/>
    </xf>
    <xf numFmtId="37" fontId="102" fillId="0" borderId="110" applyNumberFormat="0"/>
    <xf numFmtId="187" fontId="122" fillId="61" borderId="118" applyNumberFormat="0" applyFont="0" applyAlignment="0" applyProtection="0"/>
    <xf numFmtId="187" fontId="109" fillId="65" borderId="118" applyNumberFormat="0" applyAlignment="0" applyProtection="0"/>
    <xf numFmtId="4" fontId="122" fillId="80" borderId="118" applyNumberFormat="0" applyProtection="0">
      <alignment horizontal="right" vertical="center"/>
    </xf>
    <xf numFmtId="187" fontId="122" fillId="31" borderId="118" applyNumberFormat="0" applyProtection="0">
      <alignment horizontal="left" vertical="center" indent="1"/>
    </xf>
    <xf numFmtId="187" fontId="79" fillId="42" borderId="120" applyNumberFormat="0" applyProtection="0">
      <alignment horizontal="left" vertical="center" indent="1"/>
    </xf>
    <xf numFmtId="187" fontId="122" fillId="42" borderId="120" applyNumberFormat="0" applyProtection="0">
      <alignment horizontal="left" vertical="top" indent="1"/>
    </xf>
    <xf numFmtId="187" fontId="79"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82" borderId="118" applyNumberFormat="0" applyProtection="0">
      <alignment horizontal="left" vertical="center" indent="1"/>
    </xf>
    <xf numFmtId="187" fontId="79" fillId="36" borderId="120" applyNumberFormat="0" applyProtection="0">
      <alignment horizontal="left" vertical="center" indent="1"/>
    </xf>
    <xf numFmtId="187" fontId="122" fillId="36" borderId="120" applyNumberFormat="0" applyProtection="0">
      <alignment horizontal="left" vertical="top" indent="1"/>
    </xf>
    <xf numFmtId="187" fontId="79"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83" borderId="118" applyNumberFormat="0" applyProtection="0">
      <alignment horizontal="left" vertical="center" indent="1"/>
    </xf>
    <xf numFmtId="187" fontId="79" fillId="83" borderId="120" applyNumberFormat="0" applyProtection="0">
      <alignment horizontal="left" vertical="center" indent="1"/>
    </xf>
    <xf numFmtId="187" fontId="122" fillId="83" borderId="120" applyNumberFormat="0" applyProtection="0">
      <alignment horizontal="left" vertical="top" indent="1"/>
    </xf>
    <xf numFmtId="187" fontId="79"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35" borderId="118" applyNumberFormat="0" applyProtection="0">
      <alignment horizontal="left" vertical="center" indent="1"/>
    </xf>
    <xf numFmtId="187" fontId="79" fillId="35" borderId="120" applyNumberFormat="0" applyProtection="0">
      <alignment horizontal="left" vertical="center" indent="1"/>
    </xf>
    <xf numFmtId="187" fontId="122" fillId="35" borderId="120" applyNumberFormat="0" applyProtection="0">
      <alignment horizontal="left" vertical="top" indent="1"/>
    </xf>
    <xf numFmtId="187" fontId="79"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4" fontId="122" fillId="36" borderId="118" applyNumberFormat="0" applyProtection="0">
      <alignment horizontal="right" vertical="center"/>
    </xf>
    <xf numFmtId="187" fontId="127" fillId="42" borderId="122" applyBorder="0"/>
    <xf numFmtId="4" fontId="128" fillId="69" borderId="120" applyNumberFormat="0" applyProtection="0">
      <alignment vertical="center"/>
    </xf>
    <xf numFmtId="4" fontId="128" fillId="31" borderId="120" applyNumberFormat="0" applyProtection="0">
      <alignment horizontal="left" vertical="center" indent="1"/>
    </xf>
    <xf numFmtId="187" fontId="128" fillId="69" borderId="120" applyNumberFormat="0" applyProtection="0">
      <alignment horizontal="left" vertical="top" indent="1"/>
    </xf>
    <xf numFmtId="4" fontId="122" fillId="0" borderId="118" applyNumberFormat="0" applyProtection="0">
      <alignment horizontal="right" vertical="center"/>
    </xf>
    <xf numFmtId="4" fontId="125" fillId="3" borderId="118" applyNumberFormat="0" applyProtection="0">
      <alignment horizontal="right" vertical="center"/>
    </xf>
    <xf numFmtId="4" fontId="122" fillId="74" borderId="118" applyNumberFormat="0" applyProtection="0">
      <alignment horizontal="left" vertical="center" indent="1"/>
    </xf>
    <xf numFmtId="187" fontId="128" fillId="36" borderId="120" applyNumberFormat="0" applyProtection="0">
      <alignment horizontal="left" vertical="top" indent="1"/>
    </xf>
    <xf numFmtId="4" fontId="129" fillId="85" borderId="121" applyNumberFormat="0" applyProtection="0">
      <alignment horizontal="left" vertical="center" indent="1"/>
    </xf>
    <xf numFmtId="4" fontId="130" fillId="84" borderId="118" applyNumberFormat="0" applyProtection="0">
      <alignment horizontal="right" vertical="center"/>
    </xf>
    <xf numFmtId="37" fontId="102" fillId="0" borderId="123" applyNumberFormat="0"/>
    <xf numFmtId="188" fontId="102" fillId="0" borderId="89" applyFill="0"/>
    <xf numFmtId="187" fontId="111" fillId="0" borderId="124" applyNumberFormat="0" applyFill="0" applyAlignment="0" applyProtection="0"/>
    <xf numFmtId="187" fontId="111" fillId="0" borderId="124" applyNumberFormat="0" applyFill="0" applyAlignment="0" applyProtection="0"/>
    <xf numFmtId="187" fontId="122" fillId="31" borderId="118" applyNumberFormat="0" applyProtection="0">
      <alignment horizontal="left" vertical="center" indent="1"/>
    </xf>
    <xf numFmtId="187" fontId="79" fillId="42" borderId="120" applyNumberFormat="0" applyProtection="0">
      <alignment horizontal="left" vertical="center" indent="1"/>
    </xf>
    <xf numFmtId="187" fontId="122" fillId="42" borderId="120" applyNumberFormat="0" applyProtection="0">
      <alignment horizontal="left" vertical="top" indent="1"/>
    </xf>
    <xf numFmtId="187" fontId="79"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82" borderId="118" applyNumberFormat="0" applyProtection="0">
      <alignment horizontal="left" vertical="center" indent="1"/>
    </xf>
    <xf numFmtId="187" fontId="79" fillId="36" borderId="120" applyNumberFormat="0" applyProtection="0">
      <alignment horizontal="left" vertical="center" indent="1"/>
    </xf>
    <xf numFmtId="187" fontId="122" fillId="36" borderId="120" applyNumberFormat="0" applyProtection="0">
      <alignment horizontal="left" vertical="top" indent="1"/>
    </xf>
    <xf numFmtId="187" fontId="79"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83" borderId="118" applyNumberFormat="0" applyProtection="0">
      <alignment horizontal="left" vertical="center" indent="1"/>
    </xf>
    <xf numFmtId="187" fontId="79" fillId="83" borderId="120" applyNumberFormat="0" applyProtection="0">
      <alignment horizontal="left" vertical="center" indent="1"/>
    </xf>
    <xf numFmtId="187" fontId="122" fillId="83" borderId="120" applyNumberFormat="0" applyProtection="0">
      <alignment horizontal="left" vertical="top" indent="1"/>
    </xf>
    <xf numFmtId="187" fontId="79"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35" borderId="118" applyNumberFormat="0" applyProtection="0">
      <alignment horizontal="left" vertical="center" indent="1"/>
    </xf>
    <xf numFmtId="187" fontId="79" fillId="35" borderId="120" applyNumberFormat="0" applyProtection="0">
      <alignment horizontal="left" vertical="center" indent="1"/>
    </xf>
    <xf numFmtId="187" fontId="122" fillId="35" borderId="120" applyNumberFormat="0" applyProtection="0">
      <alignment horizontal="left" vertical="top" indent="1"/>
    </xf>
    <xf numFmtId="187" fontId="79"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7" fillId="42" borderId="122" applyBorder="0"/>
    <xf numFmtId="4" fontId="128" fillId="69" borderId="120" applyNumberFormat="0" applyProtection="0">
      <alignment vertical="center"/>
    </xf>
    <xf numFmtId="4" fontId="128" fillId="31" borderId="120" applyNumberFormat="0" applyProtection="0">
      <alignment horizontal="left" vertical="center" indent="1"/>
    </xf>
    <xf numFmtId="187" fontId="128" fillId="69" borderId="120" applyNumberFormat="0" applyProtection="0">
      <alignment horizontal="left" vertical="top" indent="1"/>
    </xf>
    <xf numFmtId="4" fontId="122" fillId="0" borderId="118" applyNumberFormat="0" applyProtection="0">
      <alignment horizontal="right" vertical="center"/>
    </xf>
    <xf numFmtId="4" fontId="125" fillId="3" borderId="118" applyNumberFormat="0" applyProtection="0">
      <alignment horizontal="right" vertical="center"/>
    </xf>
    <xf numFmtId="4" fontId="122" fillId="74" borderId="118" applyNumberFormat="0" applyProtection="0">
      <alignment horizontal="left" vertical="center" indent="1"/>
    </xf>
    <xf numFmtId="187" fontId="128" fillId="36" borderId="120" applyNumberFormat="0" applyProtection="0">
      <alignment horizontal="left" vertical="top" indent="1"/>
    </xf>
    <xf numFmtId="4" fontId="129" fillId="85" borderId="121" applyNumberFormat="0" applyProtection="0">
      <alignment horizontal="left" vertical="center" indent="1"/>
    </xf>
    <xf numFmtId="4" fontId="130" fillId="84" borderId="118" applyNumberFormat="0" applyProtection="0">
      <alignment horizontal="right" vertical="center"/>
    </xf>
    <xf numFmtId="37" fontId="102" fillId="0" borderId="123" applyNumberFormat="0"/>
    <xf numFmtId="188" fontId="102" fillId="0" borderId="89" applyFill="0"/>
    <xf numFmtId="187" fontId="111" fillId="0" borderId="124" applyNumberFormat="0" applyFill="0" applyAlignment="0" applyProtection="0"/>
    <xf numFmtId="187" fontId="111" fillId="0" borderId="124" applyNumberFormat="0" applyFill="0" applyAlignment="0" applyProtection="0"/>
    <xf numFmtId="187" fontId="122" fillId="31" borderId="118" applyNumberFormat="0" applyProtection="0">
      <alignment horizontal="left" vertical="center" indent="1"/>
    </xf>
    <xf numFmtId="187" fontId="79" fillId="42" borderId="120" applyNumberFormat="0" applyProtection="0">
      <alignment horizontal="left" vertical="center" indent="1"/>
    </xf>
    <xf numFmtId="187" fontId="122" fillId="42" borderId="120" applyNumberFormat="0" applyProtection="0">
      <alignment horizontal="left" vertical="top" indent="1"/>
    </xf>
    <xf numFmtId="187" fontId="79"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42" borderId="120" applyNumberFormat="0" applyProtection="0">
      <alignment horizontal="left" vertical="top" indent="1"/>
    </xf>
    <xf numFmtId="187" fontId="122" fillId="82" borderId="118" applyNumberFormat="0" applyProtection="0">
      <alignment horizontal="left" vertical="center" indent="1"/>
    </xf>
    <xf numFmtId="187" fontId="79" fillId="36" borderId="120" applyNumberFormat="0" applyProtection="0">
      <alignment horizontal="left" vertical="center" indent="1"/>
    </xf>
    <xf numFmtId="187" fontId="122" fillId="36" borderId="120" applyNumberFormat="0" applyProtection="0">
      <alignment horizontal="left" vertical="top" indent="1"/>
    </xf>
    <xf numFmtId="187" fontId="79"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36" borderId="120" applyNumberFormat="0" applyProtection="0">
      <alignment horizontal="left" vertical="top" indent="1"/>
    </xf>
    <xf numFmtId="187" fontId="122" fillId="83" borderId="118" applyNumberFormat="0" applyProtection="0">
      <alignment horizontal="left" vertical="center" indent="1"/>
    </xf>
    <xf numFmtId="187" fontId="79" fillId="83" borderId="120" applyNumberFormat="0" applyProtection="0">
      <alignment horizontal="left" vertical="center" indent="1"/>
    </xf>
    <xf numFmtId="187" fontId="122" fillId="83" borderId="120" applyNumberFormat="0" applyProtection="0">
      <alignment horizontal="left" vertical="top" indent="1"/>
    </xf>
    <xf numFmtId="187" fontId="79"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83" borderId="120" applyNumberFormat="0" applyProtection="0">
      <alignment horizontal="left" vertical="top" indent="1"/>
    </xf>
    <xf numFmtId="187" fontId="122" fillId="35" borderId="118" applyNumberFormat="0" applyProtection="0">
      <alignment horizontal="left" vertical="center" indent="1"/>
    </xf>
    <xf numFmtId="187" fontId="79" fillId="35" borderId="120" applyNumberFormat="0" applyProtection="0">
      <alignment horizontal="left" vertical="center" indent="1"/>
    </xf>
    <xf numFmtId="187" fontId="122" fillId="35" borderId="120" applyNumberFormat="0" applyProtection="0">
      <alignment horizontal="left" vertical="top" indent="1"/>
    </xf>
    <xf numFmtId="187" fontId="79"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2" fillId="35" borderId="120" applyNumberFormat="0" applyProtection="0">
      <alignment horizontal="left" vertical="top" indent="1"/>
    </xf>
    <xf numFmtId="187" fontId="127" fillId="42" borderId="122" applyBorder="0"/>
    <xf numFmtId="4" fontId="128" fillId="69" borderId="120" applyNumberFormat="0" applyProtection="0">
      <alignment vertical="center"/>
    </xf>
    <xf numFmtId="4" fontId="128" fillId="31" borderId="120" applyNumberFormat="0" applyProtection="0">
      <alignment horizontal="left" vertical="center" indent="1"/>
    </xf>
    <xf numFmtId="187" fontId="128" fillId="69" borderId="120" applyNumberFormat="0" applyProtection="0">
      <alignment horizontal="left" vertical="top" indent="1"/>
    </xf>
    <xf numFmtId="4" fontId="122" fillId="0" borderId="118" applyNumberFormat="0" applyProtection="0">
      <alignment horizontal="right" vertical="center"/>
    </xf>
    <xf numFmtId="4" fontId="125" fillId="3" borderId="118" applyNumberFormat="0" applyProtection="0">
      <alignment horizontal="right" vertical="center"/>
    </xf>
    <xf numFmtId="4" fontId="122" fillId="74" borderId="118" applyNumberFormat="0" applyProtection="0">
      <alignment horizontal="left" vertical="center" indent="1"/>
    </xf>
    <xf numFmtId="187" fontId="128" fillId="36" borderId="120" applyNumberFormat="0" applyProtection="0">
      <alignment horizontal="left" vertical="top" indent="1"/>
    </xf>
    <xf numFmtId="4" fontId="130" fillId="84" borderId="118" applyNumberFormat="0" applyProtection="0">
      <alignment horizontal="right" vertical="center"/>
    </xf>
    <xf numFmtId="37" fontId="102" fillId="0" borderId="123" applyNumberFormat="0"/>
    <xf numFmtId="187" fontId="111" fillId="0" borderId="124" applyNumberFormat="0" applyFill="0" applyAlignment="0" applyProtection="0"/>
    <xf numFmtId="187" fontId="111" fillId="0" borderId="124" applyNumberFormat="0" applyFill="0" applyAlignment="0" applyProtection="0"/>
    <xf numFmtId="187" fontId="122" fillId="42" borderId="128" applyNumberFormat="0" applyProtection="0">
      <alignment horizontal="left" vertical="top" indent="1"/>
    </xf>
    <xf numFmtId="187" fontId="122" fillId="42" borderId="128" applyNumberFormat="0" applyProtection="0">
      <alignment horizontal="left" vertical="top" indent="1"/>
    </xf>
    <xf numFmtId="187" fontId="111" fillId="0" borderId="131" applyNumberFormat="0" applyFill="0" applyAlignment="0" applyProtection="0"/>
    <xf numFmtId="187" fontId="111" fillId="0" borderId="131" applyNumberFormat="0" applyFill="0" applyAlignment="0" applyProtection="0"/>
    <xf numFmtId="188" fontId="102" fillId="0" borderId="125" applyFill="0"/>
    <xf numFmtId="37" fontId="102" fillId="0" borderId="123" applyNumberFormat="0"/>
    <xf numFmtId="4" fontId="130" fillId="84" borderId="126" applyNumberFormat="0" applyProtection="0">
      <alignment horizontal="right" vertical="center"/>
    </xf>
    <xf numFmtId="4" fontId="129" fillId="85" borderId="129" applyNumberFormat="0" applyProtection="0">
      <alignment horizontal="left" vertical="center" indent="1"/>
    </xf>
    <xf numFmtId="187" fontId="128" fillId="36" borderId="128" applyNumberFormat="0" applyProtection="0">
      <alignment horizontal="left" vertical="top" indent="1"/>
    </xf>
    <xf numFmtId="4" fontId="122" fillId="74" borderId="126" applyNumberFormat="0" applyProtection="0">
      <alignment horizontal="left" vertical="center" indent="1"/>
    </xf>
    <xf numFmtId="4" fontId="125" fillId="3" borderId="126" applyNumberFormat="0" applyProtection="0">
      <alignment horizontal="right" vertical="center"/>
    </xf>
    <xf numFmtId="4" fontId="122" fillId="0" borderId="126" applyNumberFormat="0" applyProtection="0">
      <alignment horizontal="right" vertical="center"/>
    </xf>
    <xf numFmtId="187" fontId="128" fillId="69" borderId="128" applyNumberFormat="0" applyProtection="0">
      <alignment horizontal="left" vertical="top" indent="1"/>
    </xf>
    <xf numFmtId="4" fontId="128" fillId="31" borderId="128" applyNumberFormat="0" applyProtection="0">
      <alignment horizontal="left" vertical="center" indent="1"/>
    </xf>
    <xf numFmtId="4" fontId="128" fillId="69" borderId="128" applyNumberFormat="0" applyProtection="0">
      <alignment vertical="center"/>
    </xf>
    <xf numFmtId="187" fontId="127" fillId="42" borderId="130" applyBorder="0"/>
    <xf numFmtId="187" fontId="122" fillId="35" borderId="128" applyNumberFormat="0" applyProtection="0">
      <alignment horizontal="left" vertical="top" indent="1"/>
    </xf>
    <xf numFmtId="187" fontId="122" fillId="35" borderId="128" applyNumberFormat="0" applyProtection="0">
      <alignment horizontal="left" vertical="top" indent="1"/>
    </xf>
    <xf numFmtId="187" fontId="122" fillId="35" borderId="128" applyNumberFormat="0" applyProtection="0">
      <alignment horizontal="left" vertical="top" indent="1"/>
    </xf>
    <xf numFmtId="187" fontId="122" fillId="35" borderId="128" applyNumberFormat="0" applyProtection="0">
      <alignment horizontal="left" vertical="top" indent="1"/>
    </xf>
    <xf numFmtId="187" fontId="122" fillId="35" borderId="128" applyNumberFormat="0" applyProtection="0">
      <alignment horizontal="left" vertical="top" indent="1"/>
    </xf>
    <xf numFmtId="187" fontId="122" fillId="35" borderId="128" applyNumberFormat="0" applyProtection="0">
      <alignment horizontal="left" vertical="top" indent="1"/>
    </xf>
    <xf numFmtId="187" fontId="122" fillId="35" borderId="128" applyNumberFormat="0" applyProtection="0">
      <alignment horizontal="left" vertical="top" indent="1"/>
    </xf>
    <xf numFmtId="187" fontId="122" fillId="35" borderId="128" applyNumberFormat="0" applyProtection="0">
      <alignment horizontal="left" vertical="top" indent="1"/>
    </xf>
    <xf numFmtId="187" fontId="79" fillId="35" borderId="128" applyNumberFormat="0" applyProtection="0">
      <alignment horizontal="left" vertical="top" indent="1"/>
    </xf>
    <xf numFmtId="187" fontId="122" fillId="35" borderId="128" applyNumberFormat="0" applyProtection="0">
      <alignment horizontal="left" vertical="top" indent="1"/>
    </xf>
    <xf numFmtId="187" fontId="79" fillId="35" borderId="128" applyNumberFormat="0" applyProtection="0">
      <alignment horizontal="left" vertical="center" indent="1"/>
    </xf>
    <xf numFmtId="187" fontId="122" fillId="35" borderId="126" applyNumberFormat="0" applyProtection="0">
      <alignment horizontal="left" vertical="center" indent="1"/>
    </xf>
    <xf numFmtId="187" fontId="122" fillId="83" borderId="128" applyNumberFormat="0" applyProtection="0">
      <alignment horizontal="left" vertical="top" indent="1"/>
    </xf>
    <xf numFmtId="187" fontId="122" fillId="83" borderId="128" applyNumberFormat="0" applyProtection="0">
      <alignment horizontal="left" vertical="top" indent="1"/>
    </xf>
    <xf numFmtId="187" fontId="122" fillId="83" borderId="128" applyNumberFormat="0" applyProtection="0">
      <alignment horizontal="left" vertical="top" indent="1"/>
    </xf>
    <xf numFmtId="187" fontId="122" fillId="83" borderId="128" applyNumberFormat="0" applyProtection="0">
      <alignment horizontal="left" vertical="top" indent="1"/>
    </xf>
    <xf numFmtId="187" fontId="122" fillId="83" borderId="128" applyNumberFormat="0" applyProtection="0">
      <alignment horizontal="left" vertical="top" indent="1"/>
    </xf>
    <xf numFmtId="187" fontId="122" fillId="83" borderId="128" applyNumberFormat="0" applyProtection="0">
      <alignment horizontal="left" vertical="top" indent="1"/>
    </xf>
    <xf numFmtId="187" fontId="122" fillId="83" borderId="128" applyNumberFormat="0" applyProtection="0">
      <alignment horizontal="left" vertical="top" indent="1"/>
    </xf>
    <xf numFmtId="187" fontId="122" fillId="83" borderId="128" applyNumberFormat="0" applyProtection="0">
      <alignment horizontal="left" vertical="top" indent="1"/>
    </xf>
    <xf numFmtId="187" fontId="79" fillId="83" borderId="128" applyNumberFormat="0" applyProtection="0">
      <alignment horizontal="left" vertical="top" indent="1"/>
    </xf>
    <xf numFmtId="187" fontId="122" fillId="83" borderId="128" applyNumberFormat="0" applyProtection="0">
      <alignment horizontal="left" vertical="top" indent="1"/>
    </xf>
    <xf numFmtId="187" fontId="79" fillId="83" borderId="128" applyNumberFormat="0" applyProtection="0">
      <alignment horizontal="left" vertical="center" indent="1"/>
    </xf>
    <xf numFmtId="187" fontId="122" fillId="83" borderId="126" applyNumberFormat="0" applyProtection="0">
      <alignment horizontal="left" vertical="center" indent="1"/>
    </xf>
    <xf numFmtId="187" fontId="122" fillId="36" borderId="128" applyNumberFormat="0" applyProtection="0">
      <alignment horizontal="left" vertical="top" indent="1"/>
    </xf>
    <xf numFmtId="187" fontId="122" fillId="36" borderId="128" applyNumberFormat="0" applyProtection="0">
      <alignment horizontal="left" vertical="top" indent="1"/>
    </xf>
    <xf numFmtId="187" fontId="122" fillId="36" borderId="128" applyNumberFormat="0" applyProtection="0">
      <alignment horizontal="left" vertical="top" indent="1"/>
    </xf>
    <xf numFmtId="187" fontId="122" fillId="36" borderId="128" applyNumberFormat="0" applyProtection="0">
      <alignment horizontal="left" vertical="top" indent="1"/>
    </xf>
    <xf numFmtId="187" fontId="122" fillId="36" borderId="128" applyNumberFormat="0" applyProtection="0">
      <alignment horizontal="left" vertical="top" indent="1"/>
    </xf>
    <xf numFmtId="187" fontId="122" fillId="36" borderId="128" applyNumberFormat="0" applyProtection="0">
      <alignment horizontal="left" vertical="top" indent="1"/>
    </xf>
    <xf numFmtId="187" fontId="122" fillId="36" borderId="128" applyNumberFormat="0" applyProtection="0">
      <alignment horizontal="left" vertical="top" indent="1"/>
    </xf>
    <xf numFmtId="187" fontId="122" fillId="36" borderId="128" applyNumberFormat="0" applyProtection="0">
      <alignment horizontal="left" vertical="top" indent="1"/>
    </xf>
    <xf numFmtId="187" fontId="79" fillId="36" borderId="128" applyNumberFormat="0" applyProtection="0">
      <alignment horizontal="left" vertical="top" indent="1"/>
    </xf>
    <xf numFmtId="187" fontId="122" fillId="36" borderId="128" applyNumberFormat="0" applyProtection="0">
      <alignment horizontal="left" vertical="top" indent="1"/>
    </xf>
    <xf numFmtId="187" fontId="79" fillId="36" borderId="128" applyNumberFormat="0" applyProtection="0">
      <alignment horizontal="left" vertical="center" indent="1"/>
    </xf>
    <xf numFmtId="187" fontId="122" fillId="82" borderId="126" applyNumberFormat="0" applyProtection="0">
      <alignment horizontal="left" vertical="center" indent="1"/>
    </xf>
    <xf numFmtId="187" fontId="122" fillId="42" borderId="128" applyNumberFormat="0" applyProtection="0">
      <alignment horizontal="left" vertical="top" indent="1"/>
    </xf>
    <xf numFmtId="187" fontId="122" fillId="42" borderId="128" applyNumberFormat="0" applyProtection="0">
      <alignment horizontal="left" vertical="top" indent="1"/>
    </xf>
    <xf numFmtId="187" fontId="122" fillId="42" borderId="128" applyNumberFormat="0" applyProtection="0">
      <alignment horizontal="left" vertical="top" indent="1"/>
    </xf>
    <xf numFmtId="187" fontId="122" fillId="42" borderId="128" applyNumberFormat="0" applyProtection="0">
      <alignment horizontal="left" vertical="top" indent="1"/>
    </xf>
    <xf numFmtId="187" fontId="122" fillId="42" borderId="128" applyNumberFormat="0" applyProtection="0">
      <alignment horizontal="left" vertical="top" indent="1"/>
    </xf>
    <xf numFmtId="187" fontId="122" fillId="42" borderId="128" applyNumberFormat="0" applyProtection="0">
      <alignment horizontal="left" vertical="top" indent="1"/>
    </xf>
    <xf numFmtId="187" fontId="79" fillId="42" borderId="128" applyNumberFormat="0" applyProtection="0">
      <alignment horizontal="left" vertical="top" indent="1"/>
    </xf>
    <xf numFmtId="187" fontId="122" fillId="42" borderId="128" applyNumberFormat="0" applyProtection="0">
      <alignment horizontal="left" vertical="top" indent="1"/>
    </xf>
    <xf numFmtId="187" fontId="79" fillId="42" borderId="128" applyNumberFormat="0" applyProtection="0">
      <alignment horizontal="left" vertical="center" indent="1"/>
    </xf>
    <xf numFmtId="187" fontId="122" fillId="31" borderId="126" applyNumberFormat="0" applyProtection="0">
      <alignment horizontal="left" vertical="center" indent="1"/>
    </xf>
    <xf numFmtId="4" fontId="122" fillId="36" borderId="129" applyNumberFormat="0" applyProtection="0">
      <alignment horizontal="left" vertical="center" indent="1"/>
    </xf>
    <xf numFmtId="4" fontId="122" fillId="35" borderId="129" applyNumberFormat="0" applyProtection="0">
      <alignment horizontal="left" vertical="center" indent="1"/>
    </xf>
    <xf numFmtId="4" fontId="122" fillId="36" borderId="126" applyNumberFormat="0" applyProtection="0">
      <alignment horizontal="right" vertical="center"/>
    </xf>
    <xf numFmtId="4" fontId="79" fillId="42" borderId="129" applyNumberFormat="0" applyProtection="0">
      <alignment horizontal="left" vertical="center" indent="1"/>
    </xf>
    <xf numFmtId="4" fontId="79" fillId="42" borderId="129" applyNumberFormat="0" applyProtection="0">
      <alignment horizontal="left" vertical="center" indent="1"/>
    </xf>
    <xf numFmtId="4" fontId="122" fillId="81" borderId="129" applyNumberFormat="0" applyProtection="0">
      <alignment horizontal="left" vertical="center" indent="1"/>
    </xf>
    <xf numFmtId="4" fontId="122" fillId="80" borderId="126" applyNumberFormat="0" applyProtection="0">
      <alignment horizontal="right" vertical="center"/>
    </xf>
    <xf numFmtId="4" fontId="122" fillId="37" borderId="126" applyNumberFormat="0" applyProtection="0">
      <alignment horizontal="right" vertical="center"/>
    </xf>
    <xf numFmtId="4" fontId="122" fillId="40" borderId="126" applyNumberFormat="0" applyProtection="0">
      <alignment horizontal="right" vertical="center"/>
    </xf>
    <xf numFmtId="4" fontId="122" fillId="79" borderId="126" applyNumberFormat="0" applyProtection="0">
      <alignment horizontal="right" vertical="center"/>
    </xf>
    <xf numFmtId="4" fontId="122" fillId="78" borderId="126" applyNumberFormat="0" applyProtection="0">
      <alignment horizontal="right" vertical="center"/>
    </xf>
    <xf numFmtId="4" fontId="122" fillId="44" borderId="126" applyNumberFormat="0" applyProtection="0">
      <alignment horizontal="right" vertical="center"/>
    </xf>
    <xf numFmtId="4" fontId="122" fillId="77" borderId="129" applyNumberFormat="0" applyProtection="0">
      <alignment horizontal="right" vertical="center"/>
    </xf>
    <xf numFmtId="4" fontId="122" fillId="76" borderId="126" applyNumberFormat="0" applyProtection="0">
      <alignment horizontal="right" vertical="center"/>
    </xf>
    <xf numFmtId="4" fontId="122" fillId="75" borderId="126" applyNumberFormat="0" applyProtection="0">
      <alignment horizontal="right" vertical="center"/>
    </xf>
    <xf numFmtId="4" fontId="122" fillId="74" borderId="126" applyNumberFormat="0" applyProtection="0">
      <alignment horizontal="left" vertical="center" indent="1"/>
    </xf>
    <xf numFmtId="187" fontId="126" fillId="73" borderId="128" applyNumberFormat="0" applyProtection="0">
      <alignment horizontal="left" vertical="top" indent="1"/>
    </xf>
    <xf numFmtId="4" fontId="122" fillId="6" borderId="126" applyNumberFormat="0" applyProtection="0">
      <alignment horizontal="left" vertical="center" indent="1"/>
    </xf>
    <xf numFmtId="4" fontId="125" fillId="6" borderId="126" applyNumberFormat="0" applyProtection="0">
      <alignment vertical="center"/>
    </xf>
    <xf numFmtId="4" fontId="122" fillId="73" borderId="126" applyNumberFormat="0" applyProtection="0">
      <alignment vertical="center"/>
    </xf>
    <xf numFmtId="187" fontId="123" fillId="65" borderId="127" applyNumberFormat="0" applyAlignment="0" applyProtection="0"/>
    <xf numFmtId="187" fontId="123" fillId="65" borderId="127" applyNumberFormat="0" applyAlignment="0" applyProtection="0"/>
    <xf numFmtId="187" fontId="122" fillId="61" borderId="126" applyNumberFormat="0" applyFont="0" applyAlignment="0" applyProtection="0"/>
    <xf numFmtId="187" fontId="122" fillId="61" borderId="126" applyNumberFormat="0" applyFont="0" applyAlignment="0" applyProtection="0"/>
    <xf numFmtId="187" fontId="122" fillId="61" borderId="126" applyNumberFormat="0" applyFont="0" applyAlignment="0" applyProtection="0"/>
    <xf numFmtId="187" fontId="122" fillId="61" borderId="126" applyNumberFormat="0" applyFont="0" applyAlignment="0" applyProtection="0"/>
    <xf numFmtId="187" fontId="122" fillId="61" borderId="126" applyNumberFormat="0" applyFont="0" applyAlignment="0" applyProtection="0"/>
    <xf numFmtId="187" fontId="122" fillId="61" borderId="126" applyNumberFormat="0" applyFont="0" applyAlignment="0" applyProtection="0"/>
    <xf numFmtId="187" fontId="122" fillId="61" borderId="126" applyNumberFormat="0" applyFont="0" applyAlignment="0" applyProtection="0"/>
    <xf numFmtId="187" fontId="122" fillId="61" borderId="126" applyNumberFormat="0" applyFont="0" applyAlignment="0" applyProtection="0"/>
    <xf numFmtId="187" fontId="122" fillId="61" borderId="126" applyNumberFormat="0" applyFont="0" applyAlignment="0" applyProtection="0"/>
    <xf numFmtId="187" fontId="109" fillId="65" borderId="126" applyNumberFormat="0" applyAlignment="0" applyProtection="0"/>
    <xf numFmtId="187" fontId="109" fillId="65" borderId="126" applyNumberFormat="0" applyAlignment="0" applyProtection="0"/>
    <xf numFmtId="187" fontId="117" fillId="62" borderId="126" applyNumberFormat="0" applyAlignment="0" applyProtection="0"/>
    <xf numFmtId="187" fontId="117" fillId="62" borderId="126" applyNumberFormat="0" applyAlignment="0" applyProtection="0"/>
    <xf numFmtId="187" fontId="117" fillId="62" borderId="126" applyNumberFormat="0" applyAlignment="0" applyProtection="0"/>
    <xf numFmtId="187" fontId="117" fillId="62" borderId="126" applyNumberFormat="0" applyAlignment="0" applyProtection="0"/>
    <xf numFmtId="187" fontId="109" fillId="65" borderId="126" applyNumberFormat="0" applyAlignment="0" applyProtection="0"/>
    <xf numFmtId="187" fontId="109" fillId="65" borderId="126" applyNumberFormat="0" applyAlignment="0" applyProtection="0"/>
    <xf numFmtId="187" fontId="122" fillId="61" borderId="126" applyNumberFormat="0" applyFont="0" applyAlignment="0" applyProtection="0"/>
    <xf numFmtId="187" fontId="122" fillId="61" borderId="126" applyNumberFormat="0" applyFont="0" applyAlignment="0" applyProtection="0"/>
    <xf numFmtId="187" fontId="122" fillId="61" borderId="126" applyNumberFormat="0" applyFont="0" applyAlignment="0" applyProtection="0"/>
    <xf numFmtId="187" fontId="122" fillId="61" borderId="126" applyNumberFormat="0" applyFont="0" applyAlignment="0" applyProtection="0"/>
    <xf numFmtId="187" fontId="122" fillId="61" borderId="126" applyNumberFormat="0" applyFont="0" applyAlignment="0" applyProtection="0"/>
    <xf numFmtId="187" fontId="122" fillId="61" borderId="126" applyNumberFormat="0" applyFont="0" applyAlignment="0" applyProtection="0"/>
    <xf numFmtId="187" fontId="122" fillId="61" borderId="126" applyNumberFormat="0" applyFont="0" applyAlignment="0" applyProtection="0"/>
    <xf numFmtId="187" fontId="122" fillId="61" borderId="126" applyNumberFormat="0" applyFont="0" applyAlignment="0" applyProtection="0"/>
    <xf numFmtId="187" fontId="122" fillId="61" borderId="126" applyNumberFormat="0" applyFont="0" applyAlignment="0" applyProtection="0"/>
    <xf numFmtId="4" fontId="122" fillId="73" borderId="126" applyNumberFormat="0" applyProtection="0">
      <alignment vertical="center"/>
    </xf>
    <xf numFmtId="4" fontId="125" fillId="6" borderId="126" applyNumberFormat="0" applyProtection="0">
      <alignment vertical="center"/>
    </xf>
    <xf numFmtId="4" fontId="122" fillId="6" borderId="126" applyNumberFormat="0" applyProtection="0">
      <alignment horizontal="left" vertical="center" indent="1"/>
    </xf>
    <xf numFmtId="4" fontId="122" fillId="74" borderId="126" applyNumberFormat="0" applyProtection="0">
      <alignment horizontal="left" vertical="center" indent="1"/>
    </xf>
    <xf numFmtId="4" fontId="122" fillId="75" borderId="126" applyNumberFormat="0" applyProtection="0">
      <alignment horizontal="right" vertical="center"/>
    </xf>
    <xf numFmtId="4" fontId="122" fillId="76" borderId="126" applyNumberFormat="0" applyProtection="0">
      <alignment horizontal="right" vertical="center"/>
    </xf>
    <xf numFmtId="4" fontId="122" fillId="44" borderId="126" applyNumberFormat="0" applyProtection="0">
      <alignment horizontal="right" vertical="center"/>
    </xf>
    <xf numFmtId="4" fontId="122" fillId="78" borderId="126" applyNumberFormat="0" applyProtection="0">
      <alignment horizontal="right" vertical="center"/>
    </xf>
    <xf numFmtId="4" fontId="122" fillId="79" borderId="126" applyNumberFormat="0" applyProtection="0">
      <alignment horizontal="right" vertical="center"/>
    </xf>
    <xf numFmtId="4" fontId="122" fillId="40" borderId="126" applyNumberFormat="0" applyProtection="0">
      <alignment horizontal="right" vertical="center"/>
    </xf>
    <xf numFmtId="4" fontId="122" fillId="37" borderId="126" applyNumberFormat="0" applyProtection="0">
      <alignment horizontal="right" vertical="center"/>
    </xf>
    <xf numFmtId="4" fontId="122" fillId="80" borderId="126" applyNumberFormat="0" applyProtection="0">
      <alignment horizontal="right" vertical="center"/>
    </xf>
    <xf numFmtId="4" fontId="122" fillId="36" borderId="126" applyNumberFormat="0" applyProtection="0">
      <alignment horizontal="right" vertical="center"/>
    </xf>
    <xf numFmtId="187" fontId="122" fillId="31" borderId="126" applyNumberFormat="0" applyProtection="0">
      <alignment horizontal="left" vertical="center" indent="1"/>
    </xf>
    <xf numFmtId="187" fontId="122" fillId="82" borderId="126" applyNumberFormat="0" applyProtection="0">
      <alignment horizontal="left" vertical="center" indent="1"/>
    </xf>
    <xf numFmtId="187" fontId="122" fillId="83" borderId="126" applyNumberFormat="0" applyProtection="0">
      <alignment horizontal="left" vertical="center" indent="1"/>
    </xf>
    <xf numFmtId="187" fontId="122" fillId="35" borderId="126" applyNumberFormat="0" applyProtection="0">
      <alignment horizontal="left" vertical="center" indent="1"/>
    </xf>
    <xf numFmtId="4" fontId="122" fillId="0" borderId="126" applyNumberFormat="0" applyProtection="0">
      <alignment horizontal="right" vertical="center"/>
    </xf>
    <xf numFmtId="4" fontId="125" fillId="3" borderId="126" applyNumberFormat="0" applyProtection="0">
      <alignment horizontal="right" vertical="center"/>
    </xf>
    <xf numFmtId="4" fontId="122" fillId="74" borderId="126" applyNumberFormat="0" applyProtection="0">
      <alignment horizontal="left" vertical="center" indent="1"/>
    </xf>
    <xf numFmtId="4" fontId="130" fillId="84" borderId="126" applyNumberFormat="0" applyProtection="0">
      <alignment horizontal="right" vertical="center"/>
    </xf>
  </cellStyleXfs>
  <cellXfs count="851">
    <xf numFmtId="0" fontId="0" fillId="0" borderId="0" xfId="0"/>
    <xf numFmtId="0" fontId="2" fillId="0" borderId="0" xfId="0" applyFont="1"/>
    <xf numFmtId="0" fontId="0" fillId="0" borderId="1" xfId="0" applyBorder="1"/>
    <xf numFmtId="1" fontId="0" fillId="0" borderId="1" xfId="0" applyNumberFormat="1" applyBorder="1"/>
    <xf numFmtId="0" fontId="3" fillId="0" borderId="1" xfId="0" applyFont="1" applyBorder="1"/>
    <xf numFmtId="0" fontId="7" fillId="2" borderId="0" xfId="1" applyNumberFormat="1" applyFont="1" applyFill="1" applyBorder="1" applyAlignment="1" applyProtection="1">
      <alignment horizontal="left"/>
    </xf>
    <xf numFmtId="0" fontId="0" fillId="2" borderId="0" xfId="0" applyFill="1"/>
    <xf numFmtId="0" fontId="8" fillId="2" borderId="2" xfId="1" applyNumberFormat="1" applyFont="1" applyFill="1" applyBorder="1" applyAlignment="1" applyProtection="1">
      <alignment horizontal="left"/>
    </xf>
    <xf numFmtId="0" fontId="9" fillId="3" borderId="0" xfId="2" applyNumberFormat="1" applyFont="1" applyFill="1"/>
    <xf numFmtId="0" fontId="11" fillId="4" borderId="0" xfId="3" applyNumberFormat="1" applyFont="1" applyFill="1"/>
    <xf numFmtId="0" fontId="6" fillId="0" borderId="1" xfId="4" applyFont="1" applyBorder="1"/>
    <xf numFmtId="0" fontId="6" fillId="5" borderId="1" xfId="4" applyFont="1" applyFill="1" applyBorder="1" applyAlignment="1" applyProtection="1">
      <alignment horizontal="center"/>
      <protection locked="0"/>
    </xf>
    <xf numFmtId="168" fontId="6" fillId="6" borderId="1" xfId="4" applyNumberFormat="1" applyFont="1" applyFill="1" applyBorder="1" applyAlignment="1" applyProtection="1">
      <alignment horizontal="center"/>
      <protection locked="0"/>
    </xf>
    <xf numFmtId="170" fontId="6" fillId="6" borderId="1" xfId="4" applyNumberFormat="1" applyFont="1" applyFill="1" applyBorder="1" applyAlignment="1" applyProtection="1">
      <alignment horizontal="center"/>
      <protection locked="0"/>
    </xf>
    <xf numFmtId="0" fontId="6" fillId="7" borderId="1" xfId="4" applyFont="1" applyFill="1" applyBorder="1" applyAlignment="1">
      <alignment horizontal="center"/>
    </xf>
    <xf numFmtId="0" fontId="6" fillId="0" borderId="1" xfId="4" applyFont="1" applyBorder="1" applyAlignment="1">
      <alignment horizontal="right"/>
    </xf>
    <xf numFmtId="2" fontId="6" fillId="5" borderId="1" xfId="4" applyNumberFormat="1" applyFont="1" applyFill="1" applyBorder="1"/>
    <xf numFmtId="0" fontId="12" fillId="0" borderId="1" xfId="4" applyFont="1" applyBorder="1"/>
    <xf numFmtId="0" fontId="6" fillId="8" borderId="1" xfId="4" applyFont="1" applyFill="1" applyBorder="1" applyAlignment="1">
      <alignment horizontal="center"/>
    </xf>
    <xf numFmtId="171" fontId="6" fillId="8" borderId="1" xfId="4" applyNumberFormat="1" applyFont="1" applyFill="1" applyBorder="1"/>
    <xf numFmtId="171" fontId="6" fillId="8" borderId="1" xfId="5" applyNumberFormat="1" applyFont="1" applyFill="1" applyBorder="1"/>
    <xf numFmtId="0" fontId="13" fillId="0" borderId="0" xfId="0" applyFont="1" applyAlignment="1">
      <alignment vertical="center"/>
    </xf>
    <xf numFmtId="0" fontId="14" fillId="0" borderId="0" xfId="4" applyFont="1"/>
    <xf numFmtId="172" fontId="14" fillId="0" borderId="0" xfId="5" applyFont="1"/>
    <xf numFmtId="171" fontId="14" fillId="0" borderId="0" xfId="4" applyNumberFormat="1" applyFont="1"/>
    <xf numFmtId="3" fontId="18" fillId="0" borderId="8" xfId="0" applyNumberFormat="1" applyFont="1" applyBorder="1" applyAlignment="1">
      <alignment horizontal="center" vertical="center" wrapText="1"/>
    </xf>
    <xf numFmtId="0" fontId="21" fillId="0" borderId="0" xfId="0" applyFont="1"/>
    <xf numFmtId="0" fontId="21"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25" fillId="0" borderId="0" xfId="9" applyAlignment="1">
      <alignment vertical="center"/>
    </xf>
    <xf numFmtId="0" fontId="16" fillId="0" borderId="9" xfId="0" applyFont="1" applyBorder="1" applyAlignment="1">
      <alignment horizontal="right" vertical="center"/>
    </xf>
    <xf numFmtId="0" fontId="0" fillId="0" borderId="0" xfId="0" applyAlignment="1"/>
    <xf numFmtId="0" fontId="23" fillId="0" borderId="3" xfId="0" applyFont="1" applyBorder="1" applyAlignment="1">
      <alignment vertical="center" wrapText="1"/>
    </xf>
    <xf numFmtId="0" fontId="24" fillId="0" borderId="9" xfId="0" applyFont="1" applyBorder="1" applyAlignment="1">
      <alignment vertical="center" wrapText="1"/>
    </xf>
    <xf numFmtId="0" fontId="26" fillId="0" borderId="6" xfId="0" applyFont="1" applyBorder="1" applyAlignment="1">
      <alignment vertical="center" wrapText="1"/>
    </xf>
    <xf numFmtId="0" fontId="28" fillId="0" borderId="9" xfId="0" applyFont="1" applyBorder="1" applyAlignment="1">
      <alignment vertical="center" wrapText="1"/>
    </xf>
    <xf numFmtId="0" fontId="23" fillId="11" borderId="9" xfId="0" applyFont="1" applyFill="1" applyBorder="1" applyAlignment="1">
      <alignment vertical="center" wrapText="1"/>
    </xf>
    <xf numFmtId="0" fontId="23" fillId="12" borderId="9"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24" fillId="0" borderId="6" xfId="0" applyFont="1" applyBorder="1" applyAlignment="1">
      <alignment vertical="center" wrapText="1"/>
    </xf>
    <xf numFmtId="0" fontId="33" fillId="0" borderId="7" xfId="0" applyFont="1" applyBorder="1" applyAlignment="1">
      <alignment horizontal="right" vertical="center" wrapText="1"/>
    </xf>
    <xf numFmtId="0" fontId="15" fillId="0" borderId="0" xfId="0" applyFont="1" applyAlignment="1">
      <alignment vertical="center" wrapText="1"/>
    </xf>
    <xf numFmtId="0" fontId="0" fillId="0" borderId="10" xfId="0" applyBorder="1"/>
    <xf numFmtId="173" fontId="0" fillId="0" borderId="1" xfId="0" applyNumberFormat="1" applyBorder="1"/>
    <xf numFmtId="168" fontId="0" fillId="0" borderId="1" xfId="0" applyNumberFormat="1" applyBorder="1"/>
    <xf numFmtId="0" fontId="36" fillId="0" borderId="6" xfId="0" applyFont="1" applyBorder="1" applyAlignment="1">
      <alignment vertical="center"/>
    </xf>
    <xf numFmtId="4" fontId="0" fillId="0" borderId="0" xfId="0" applyNumberFormat="1"/>
    <xf numFmtId="0" fontId="23" fillId="0" borderId="5" xfId="0" applyFont="1" applyBorder="1" applyAlignment="1">
      <alignment vertical="center" wrapText="1"/>
    </xf>
    <xf numFmtId="0" fontId="21" fillId="0" borderId="0" xfId="0" applyFont="1" applyBorder="1" applyAlignment="1">
      <alignment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6" fillId="0" borderId="0" xfId="0" applyFont="1" applyBorder="1" applyAlignment="1">
      <alignment horizontal="right" vertical="center"/>
    </xf>
    <xf numFmtId="3" fontId="16" fillId="0" borderId="0" xfId="0" applyNumberFormat="1" applyFont="1" applyBorder="1" applyAlignment="1">
      <alignment horizontal="right" vertical="center"/>
    </xf>
    <xf numFmtId="0" fontId="27" fillId="0" borderId="0" xfId="9" applyFont="1" applyBorder="1" applyAlignment="1">
      <alignment horizontal="right" vertical="center"/>
    </xf>
    <xf numFmtId="0" fontId="25" fillId="0" borderId="0" xfId="9" applyBorder="1" applyAlignment="1">
      <alignmen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0" fillId="0" borderId="0" xfId="0" applyBorder="1" applyAlignment="1"/>
    <xf numFmtId="0" fontId="15" fillId="0" borderId="0" xfId="0" applyFont="1" applyBorder="1" applyAlignment="1"/>
    <xf numFmtId="0" fontId="0" fillId="0" borderId="0" xfId="0"/>
    <xf numFmtId="0" fontId="0" fillId="0" borderId="0" xfId="0" applyAlignment="1">
      <alignment vertical="center"/>
    </xf>
    <xf numFmtId="0" fontId="41" fillId="0" borderId="9" xfId="0" applyFont="1" applyBorder="1" applyAlignment="1">
      <alignment vertical="center" wrapText="1"/>
    </xf>
    <xf numFmtId="0" fontId="18" fillId="0" borderId="6" xfId="0" applyFont="1" applyBorder="1" applyAlignment="1">
      <alignment vertical="center" wrapText="1"/>
    </xf>
    <xf numFmtId="0" fontId="29" fillId="0" borderId="9" xfId="0" applyFont="1" applyBorder="1" applyAlignment="1">
      <alignment horizontal="left" vertical="center" wrapText="1" indent="2"/>
    </xf>
    <xf numFmtId="0" fontId="26" fillId="0" borderId="9" xfId="0" applyFont="1" applyBorder="1" applyAlignment="1">
      <alignment horizontal="left" vertical="center" wrapText="1" indent="2"/>
    </xf>
    <xf numFmtId="0" fontId="29" fillId="0" borderId="6" xfId="0" applyFont="1" applyBorder="1" applyAlignment="1">
      <alignment horizontal="left" vertical="center" wrapText="1" indent="2"/>
    </xf>
    <xf numFmtId="0" fontId="18" fillId="0" borderId="9" xfId="0" applyFont="1" applyBorder="1" applyAlignment="1">
      <alignment horizontal="left" vertical="center" wrapText="1" indent="2"/>
    </xf>
    <xf numFmtId="0" fontId="26" fillId="0" borderId="3" xfId="0" applyFont="1" applyBorder="1" applyAlignment="1">
      <alignment vertical="center" wrapText="1"/>
    </xf>
    <xf numFmtId="0" fontId="23" fillId="13" borderId="4" xfId="0" applyFont="1" applyFill="1" applyBorder="1" applyAlignment="1">
      <alignment horizontal="center" vertical="center" wrapText="1"/>
    </xf>
    <xf numFmtId="0" fontId="26" fillId="0" borderId="6" xfId="0" applyFont="1" applyBorder="1" applyAlignment="1">
      <alignment horizontal="center" vertical="center" wrapText="1"/>
    </xf>
    <xf numFmtId="0" fontId="4" fillId="0" borderId="3" xfId="0" applyFont="1" applyBorder="1" applyAlignment="1">
      <alignment vertical="center" wrapText="1"/>
    </xf>
    <xf numFmtId="0" fontId="4" fillId="13" borderId="4" xfId="0" applyFont="1" applyFill="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horizontal="center" vertical="center" wrapText="1"/>
    </xf>
    <xf numFmtId="9" fontId="26" fillId="0" borderId="6" xfId="0" applyNumberFormat="1" applyFont="1" applyBorder="1" applyAlignment="1">
      <alignment vertical="center" wrapText="1"/>
    </xf>
    <xf numFmtId="9" fontId="26" fillId="0" borderId="6" xfId="0" applyNumberFormat="1" applyFont="1" applyBorder="1" applyAlignment="1">
      <alignment horizontal="center" vertical="center" wrapText="1"/>
    </xf>
    <xf numFmtId="10" fontId="26" fillId="0" borderId="6" xfId="0" applyNumberFormat="1" applyFont="1" applyBorder="1" applyAlignment="1">
      <alignment horizontal="center" vertical="center" wrapText="1"/>
    </xf>
    <xf numFmtId="0" fontId="16" fillId="0" borderId="4" xfId="0" applyFont="1" applyBorder="1" applyAlignment="1">
      <alignment horizontal="right" vertical="center"/>
    </xf>
    <xf numFmtId="0" fontId="16" fillId="0" borderId="17" xfId="0" applyFont="1" applyBorder="1" applyAlignment="1">
      <alignment horizontal="center" vertical="center"/>
    </xf>
    <xf numFmtId="0" fontId="23" fillId="12" borderId="6" xfId="0" applyFont="1" applyFill="1" applyBorder="1" applyAlignment="1">
      <alignment horizontal="center" vertical="center" wrapText="1"/>
    </xf>
    <xf numFmtId="0" fontId="0" fillId="0" borderId="3" xfId="0" applyBorder="1"/>
    <xf numFmtId="9" fontId="26" fillId="0" borderId="0" xfId="0" applyNumberFormat="1" applyFont="1" applyBorder="1" applyAlignment="1">
      <alignment vertical="center" wrapText="1"/>
    </xf>
    <xf numFmtId="0" fontId="0" fillId="0" borderId="0" xfId="0" applyFill="1" applyBorder="1"/>
    <xf numFmtId="0" fontId="23"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0" xfId="0" applyFont="1" applyFill="1" applyBorder="1" applyAlignment="1">
      <alignment horizontal="center" vertical="center" wrapText="1"/>
    </xf>
    <xf numFmtId="0" fontId="2" fillId="0" borderId="0" xfId="0" applyFont="1" applyFill="1" applyBorder="1" applyAlignment="1">
      <alignment vertical="center"/>
    </xf>
    <xf numFmtId="0" fontId="4" fillId="0" borderId="0" xfId="0" applyFont="1" applyFill="1" applyBorder="1" applyAlignment="1">
      <alignment vertical="center" wrapText="1"/>
    </xf>
    <xf numFmtId="0" fontId="38" fillId="0" borderId="0" xfId="0" applyFont="1" applyAlignment="1">
      <alignment vertical="center"/>
    </xf>
    <xf numFmtId="0" fontId="37" fillId="0" borderId="6" xfId="0" applyFont="1" applyBorder="1" applyAlignment="1">
      <alignment horizontal="center" vertical="center" wrapText="1"/>
    </xf>
    <xf numFmtId="0" fontId="37" fillId="0" borderId="2" xfId="0" applyFont="1" applyBorder="1" applyAlignment="1">
      <alignment horizontal="center" vertical="center" wrapText="1"/>
    </xf>
    <xf numFmtId="0" fontId="46" fillId="0" borderId="0" xfId="0" applyFont="1" applyAlignment="1">
      <alignment vertical="center"/>
    </xf>
    <xf numFmtId="0" fontId="31" fillId="14" borderId="2" xfId="0" applyFont="1" applyFill="1" applyBorder="1" applyAlignment="1">
      <alignment horizontal="right" vertical="center" wrapText="1"/>
    </xf>
    <xf numFmtId="0" fontId="47" fillId="0" borderId="2" xfId="0" applyFont="1" applyBorder="1" applyAlignment="1">
      <alignment horizontal="right" vertical="center" wrapText="1"/>
    </xf>
    <xf numFmtId="0" fontId="31" fillId="14" borderId="6" xfId="0" applyFont="1" applyFill="1" applyBorder="1" applyAlignment="1">
      <alignment horizontal="right" vertical="center" wrapText="1"/>
    </xf>
    <xf numFmtId="0" fontId="0" fillId="0" borderId="0" xfId="0"/>
    <xf numFmtId="0" fontId="23" fillId="13" borderId="4" xfId="0" applyFont="1" applyFill="1" applyBorder="1" applyAlignment="1">
      <alignment horizontal="center" vertical="center" wrapText="1"/>
    </xf>
    <xf numFmtId="0" fontId="0" fillId="0" borderId="0" xfId="0"/>
    <xf numFmtId="0" fontId="36" fillId="0" borderId="6" xfId="0" applyFont="1" applyBorder="1" applyAlignment="1">
      <alignment vertical="center" wrapText="1"/>
    </xf>
    <xf numFmtId="0" fontId="0" fillId="0" borderId="0" xfId="0"/>
    <xf numFmtId="0" fontId="26" fillId="0" borderId="0" xfId="0" applyFont="1" applyBorder="1" applyAlignment="1">
      <alignment vertical="center" wrapText="1"/>
    </xf>
    <xf numFmtId="0" fontId="28" fillId="0" borderId="12" xfId="0" applyFont="1" applyBorder="1" applyAlignment="1">
      <alignment vertical="center" wrapText="1"/>
    </xf>
    <xf numFmtId="0" fontId="18" fillId="0" borderId="0" xfId="0" applyFont="1" applyBorder="1" applyAlignment="1">
      <alignment vertical="center" wrapText="1"/>
    </xf>
    <xf numFmtId="0" fontId="26" fillId="0" borderId="2" xfId="0" applyFont="1" applyBorder="1" applyAlignment="1">
      <alignment vertical="center" wrapText="1"/>
    </xf>
    <xf numFmtId="0" fontId="20" fillId="15" borderId="15" xfId="0" applyFont="1" applyFill="1" applyBorder="1" applyAlignment="1">
      <alignment vertical="center" wrapText="1"/>
    </xf>
    <xf numFmtId="0" fontId="0" fillId="15" borderId="5" xfId="0" applyFill="1" applyBorder="1" applyAlignment="1">
      <alignment vertical="top" wrapText="1"/>
    </xf>
    <xf numFmtId="0" fontId="0" fillId="15" borderId="18" xfId="0" applyFill="1" applyBorder="1"/>
    <xf numFmtId="2" fontId="0" fillId="0" borderId="3" xfId="0" applyNumberFormat="1" applyBorder="1" applyAlignment="1">
      <alignment wrapText="1"/>
    </xf>
    <xf numFmtId="0" fontId="29" fillId="0" borderId="0" xfId="0" applyFont="1" applyBorder="1" applyAlignment="1">
      <alignment horizontal="left" vertical="center" wrapText="1" indent="2"/>
    </xf>
    <xf numFmtId="0" fontId="26" fillId="0" borderId="0" xfId="0" applyFont="1" applyBorder="1" applyAlignment="1">
      <alignment horizontal="left" vertical="center" wrapText="1" indent="2"/>
    </xf>
    <xf numFmtId="0" fontId="29" fillId="0" borderId="2" xfId="0" applyFont="1" applyBorder="1" applyAlignment="1">
      <alignment horizontal="left" vertical="center" wrapText="1" indent="2"/>
    </xf>
    <xf numFmtId="0" fontId="48" fillId="0" borderId="5" xfId="0" applyFont="1" applyBorder="1" applyAlignment="1">
      <alignment wrapText="1"/>
    </xf>
    <xf numFmtId="168" fontId="5" fillId="0" borderId="6" xfId="0" applyNumberFormat="1" applyFont="1" applyBorder="1" applyAlignment="1">
      <alignment horizontal="center" vertical="center" wrapText="1"/>
    </xf>
    <xf numFmtId="0" fontId="23"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0" fillId="0" borderId="0" xfId="0"/>
    <xf numFmtId="0" fontId="31" fillId="0" borderId="6" xfId="0" applyFont="1" applyBorder="1" applyAlignment="1">
      <alignment horizontal="right" vertical="center" wrapText="1"/>
    </xf>
    <xf numFmtId="0" fontId="31" fillId="0" borderId="2" xfId="0" applyFont="1" applyBorder="1" applyAlignment="1">
      <alignment horizontal="right" vertical="center" wrapText="1"/>
    </xf>
    <xf numFmtId="0" fontId="16" fillId="0" borderId="20" xfId="0" applyFont="1" applyBorder="1" applyAlignment="1">
      <alignment horizontal="right" vertical="center"/>
    </xf>
    <xf numFmtId="0" fontId="16" fillId="0" borderId="22" xfId="0" applyFont="1" applyBorder="1" applyAlignment="1">
      <alignment horizontal="right" vertical="center"/>
    </xf>
    <xf numFmtId="0" fontId="26" fillId="0" borderId="0" xfId="0" applyFont="1" applyBorder="1" applyAlignment="1">
      <alignment horizontal="right" vertical="center" wrapText="1"/>
    </xf>
    <xf numFmtId="0" fontId="23" fillId="0" borderId="23" xfId="0" applyFont="1" applyBorder="1" applyAlignment="1">
      <alignment horizontal="right" vertical="center" wrapText="1"/>
    </xf>
    <xf numFmtId="0" fontId="26" fillId="0" borderId="26" xfId="0" applyFont="1" applyBorder="1" applyAlignment="1">
      <alignment horizontal="center" vertical="center" wrapText="1"/>
    </xf>
    <xf numFmtId="0" fontId="26" fillId="0" borderId="27" xfId="0" applyFont="1" applyBorder="1" applyAlignment="1">
      <alignment horizontal="center" vertical="center" wrapText="1"/>
    </xf>
    <xf numFmtId="0" fontId="15" fillId="0" borderId="29" xfId="0" applyFont="1" applyBorder="1" applyAlignment="1">
      <alignment vertical="center" wrapText="1"/>
    </xf>
    <xf numFmtId="0" fontId="15" fillId="0" borderId="0" xfId="0" applyFont="1" applyBorder="1" applyAlignment="1">
      <alignment vertical="center" wrapText="1"/>
    </xf>
    <xf numFmtId="0" fontId="26" fillId="0" borderId="0" xfId="0" applyFont="1" applyBorder="1" applyAlignment="1">
      <alignment horizontal="center" vertical="center" wrapText="1"/>
    </xf>
    <xf numFmtId="0" fontId="26" fillId="0" borderId="2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9" fontId="18" fillId="0" borderId="20" xfId="0" applyNumberFormat="1" applyFont="1" applyBorder="1" applyAlignment="1">
      <alignment horizontal="center" vertical="center" wrapText="1"/>
    </xf>
    <xf numFmtId="3" fontId="20" fillId="0" borderId="30" xfId="0" applyNumberFormat="1" applyFont="1" applyBorder="1" applyAlignment="1">
      <alignment horizontal="center" vertical="center" wrapText="1"/>
    </xf>
    <xf numFmtId="3" fontId="20" fillId="0" borderId="31" xfId="0" applyNumberFormat="1" applyFont="1" applyBorder="1" applyAlignment="1">
      <alignment horizontal="center" vertical="center" wrapText="1"/>
    </xf>
    <xf numFmtId="9" fontId="20" fillId="0" borderId="22" xfId="10" applyFont="1" applyBorder="1" applyAlignment="1">
      <alignment horizontal="center" vertical="center" wrapText="1"/>
    </xf>
    <xf numFmtId="0" fontId="39" fillId="0" borderId="0" xfId="0" applyFont="1"/>
    <xf numFmtId="0" fontId="52" fillId="0" borderId="0" xfId="0" applyFont="1"/>
    <xf numFmtId="3" fontId="39" fillId="0" borderId="0" xfId="0" applyNumberFormat="1" applyFont="1" applyFill="1"/>
    <xf numFmtId="3" fontId="39" fillId="0" borderId="15" xfId="0" applyNumberFormat="1" applyFont="1" applyFill="1" applyBorder="1"/>
    <xf numFmtId="3" fontId="52" fillId="0" borderId="0" xfId="0" applyNumberFormat="1" applyFont="1" applyFill="1"/>
    <xf numFmtId="3" fontId="39" fillId="0" borderId="0" xfId="0" applyNumberFormat="1" applyFont="1"/>
    <xf numFmtId="3" fontId="52" fillId="0" borderId="0" xfId="0" applyNumberFormat="1" applyFont="1"/>
    <xf numFmtId="4" fontId="36" fillId="0" borderId="6" xfId="0" applyNumberFormat="1" applyFont="1" applyBorder="1" applyAlignment="1">
      <alignment horizontal="center" vertical="center" wrapText="1"/>
    </xf>
    <xf numFmtId="2" fontId="0" fillId="0" borderId="0" xfId="0" applyNumberFormat="1"/>
    <xf numFmtId="168" fontId="0" fillId="0" borderId="0" xfId="0" applyNumberFormat="1"/>
    <xf numFmtId="4" fontId="37" fillId="0" borderId="6" xfId="0" applyNumberFormat="1" applyFont="1" applyBorder="1" applyAlignment="1">
      <alignment horizontal="center" vertical="center" wrapText="1"/>
    </xf>
    <xf numFmtId="174" fontId="36" fillId="0" borderId="6" xfId="0" applyNumberFormat="1" applyFont="1" applyBorder="1" applyAlignment="1">
      <alignment horizontal="center" vertical="center" wrapText="1"/>
    </xf>
    <xf numFmtId="174" fontId="37" fillId="0" borderId="6" xfId="0" applyNumberFormat="1" applyFont="1" applyBorder="1" applyAlignment="1">
      <alignment horizontal="center" vertical="center" wrapText="1"/>
    </xf>
    <xf numFmtId="174" fontId="0" fillId="0" borderId="0" xfId="0" applyNumberFormat="1"/>
    <xf numFmtId="2" fontId="37" fillId="0" borderId="6" xfId="0" applyNumberFormat="1" applyFont="1" applyBorder="1" applyAlignment="1">
      <alignment horizontal="center" vertical="center" wrapText="1"/>
    </xf>
    <xf numFmtId="2" fontId="37" fillId="0" borderId="2" xfId="0" applyNumberFormat="1" applyFont="1" applyBorder="1" applyAlignment="1">
      <alignment horizontal="center" vertical="center" wrapText="1"/>
    </xf>
    <xf numFmtId="2" fontId="36" fillId="0" borderId="6" xfId="0" applyNumberFormat="1" applyFont="1" applyBorder="1" applyAlignment="1">
      <alignment horizontal="center" vertical="center" wrapText="1"/>
    </xf>
    <xf numFmtId="168" fontId="36" fillId="0" borderId="6" xfId="0" applyNumberFormat="1" applyFont="1" applyBorder="1" applyAlignment="1">
      <alignment horizontal="center" vertical="center" wrapText="1"/>
    </xf>
    <xf numFmtId="168" fontId="37" fillId="0" borderId="6" xfId="0" applyNumberFormat="1" applyFont="1" applyBorder="1" applyAlignment="1">
      <alignment horizontal="center" vertical="center" wrapText="1"/>
    </xf>
    <xf numFmtId="4" fontId="37" fillId="0" borderId="2" xfId="0" applyNumberFormat="1" applyFont="1" applyBorder="1" applyAlignment="1">
      <alignment horizontal="center" vertical="center" wrapText="1"/>
    </xf>
    <xf numFmtId="177" fontId="0" fillId="0" borderId="0" xfId="0" applyNumberFormat="1"/>
    <xf numFmtId="171" fontId="0" fillId="0" borderId="0" xfId="0" applyNumberFormat="1"/>
    <xf numFmtId="3" fontId="37" fillId="0" borderId="0" xfId="0" applyNumberFormat="1" applyFont="1" applyFill="1" applyBorder="1" applyAlignment="1">
      <alignment horizontal="right" vertical="center" wrapText="1"/>
    </xf>
    <xf numFmtId="0" fontId="0" fillId="0" borderId="34" xfId="0" applyBorder="1"/>
    <xf numFmtId="1" fontId="31" fillId="0" borderId="35" xfId="0" applyNumberFormat="1" applyFont="1" applyBorder="1" applyAlignment="1">
      <alignment horizontal="right" vertical="center" wrapText="1"/>
    </xf>
    <xf numFmtId="0" fontId="32" fillId="0" borderId="0" xfId="0" applyFont="1" applyBorder="1" applyAlignment="1">
      <alignment horizontal="right" vertical="center" wrapText="1"/>
    </xf>
    <xf numFmtId="2" fontId="31" fillId="0" borderId="0" xfId="0" applyNumberFormat="1" applyFont="1" applyBorder="1" applyAlignment="1">
      <alignment horizontal="right" vertical="center" wrapText="1"/>
    </xf>
    <xf numFmtId="1" fontId="31" fillId="0" borderId="0" xfId="0" applyNumberFormat="1" applyFont="1" applyBorder="1" applyAlignment="1">
      <alignment horizontal="right" vertical="center" wrapText="1"/>
    </xf>
    <xf numFmtId="1" fontId="31" fillId="14" borderId="0" xfId="0" applyNumberFormat="1" applyFont="1" applyFill="1" applyBorder="1" applyAlignment="1">
      <alignment horizontal="right" vertical="center" wrapText="1"/>
    </xf>
    <xf numFmtId="1" fontId="31" fillId="0" borderId="9" xfId="0" applyNumberFormat="1" applyFont="1" applyBorder="1" applyAlignment="1">
      <alignment horizontal="right" vertical="center" wrapText="1"/>
    </xf>
    <xf numFmtId="1" fontId="31" fillId="14" borderId="9" xfId="0" applyNumberFormat="1" applyFont="1" applyFill="1" applyBorder="1" applyAlignment="1">
      <alignment horizontal="right" vertical="center" wrapText="1"/>
    </xf>
    <xf numFmtId="0" fontId="31" fillId="0" borderId="34" xfId="0" applyFont="1" applyBorder="1" applyAlignment="1">
      <alignment horizontal="right" vertical="center" wrapText="1"/>
    </xf>
    <xf numFmtId="168" fontId="31" fillId="0" borderId="35" xfId="0" applyNumberFormat="1" applyFont="1" applyBorder="1" applyAlignment="1">
      <alignment horizontal="right" vertical="center" wrapText="1"/>
    </xf>
    <xf numFmtId="2" fontId="31" fillId="0" borderId="35" xfId="0" applyNumberFormat="1" applyFont="1" applyBorder="1" applyAlignment="1">
      <alignment horizontal="right" vertical="center" wrapText="1"/>
    </xf>
    <xf numFmtId="0" fontId="0" fillId="0" borderId="0" xfId="0" applyAlignment="1"/>
    <xf numFmtId="0" fontId="26" fillId="0" borderId="27" xfId="0" applyFont="1" applyBorder="1" applyAlignment="1">
      <alignment horizontal="center" vertical="center" wrapText="1"/>
    </xf>
    <xf numFmtId="0" fontId="37" fillId="0" borderId="0" xfId="0" applyFont="1" applyFill="1" applyBorder="1" applyAlignment="1">
      <alignment horizontal="right" vertical="center" wrapText="1"/>
    </xf>
    <xf numFmtId="0" fontId="0" fillId="0" borderId="0" xfId="0" applyAlignment="1">
      <alignment wrapText="1"/>
    </xf>
    <xf numFmtId="3" fontId="16" fillId="0" borderId="0" xfId="0" applyNumberFormat="1" applyFont="1" applyAlignment="1"/>
    <xf numFmtId="3" fontId="16" fillId="0" borderId="0" xfId="0" applyNumberFormat="1" applyFont="1" applyBorder="1" applyAlignment="1"/>
    <xf numFmtId="175" fontId="16" fillId="0" borderId="21" xfId="11" applyNumberFormat="1" applyFont="1" applyBorder="1" applyAlignment="1"/>
    <xf numFmtId="0" fontId="0" fillId="0" borderId="0" xfId="0" applyBorder="1"/>
    <xf numFmtId="0" fontId="50" fillId="0" borderId="0" xfId="0" applyFont="1" applyBorder="1" applyAlignment="1">
      <alignment vertical="center"/>
    </xf>
    <xf numFmtId="0" fontId="17" fillId="0" borderId="0" xfId="0" applyFont="1" applyBorder="1" applyAlignment="1">
      <alignment horizontal="right" vertical="center"/>
    </xf>
    <xf numFmtId="0" fontId="25" fillId="0" borderId="0" xfId="9"/>
    <xf numFmtId="0" fontId="54" fillId="0" borderId="0" xfId="0" applyFont="1"/>
    <xf numFmtId="0" fontId="51" fillId="0" borderId="0" xfId="0" applyFont="1"/>
    <xf numFmtId="0" fontId="2" fillId="0" borderId="3" xfId="0" applyFont="1" applyBorder="1"/>
    <xf numFmtId="0" fontId="4" fillId="10" borderId="6" xfId="0" applyFont="1" applyFill="1" applyBorder="1" applyAlignment="1">
      <alignment horizontal="center" vertical="center" wrapText="1"/>
    </xf>
    <xf numFmtId="0" fontId="4" fillId="11" borderId="9" xfId="0" applyFont="1" applyFill="1" applyBorder="1" applyAlignment="1">
      <alignment vertical="center" wrapText="1"/>
    </xf>
    <xf numFmtId="0" fontId="4" fillId="11" borderId="6" xfId="0" applyFont="1" applyFill="1" applyBorder="1" applyAlignment="1">
      <alignment vertical="center" wrapText="1"/>
    </xf>
    <xf numFmtId="0" fontId="51" fillId="11" borderId="6" xfId="0" applyFont="1" applyFill="1" applyBorder="1" applyAlignment="1">
      <alignment vertical="center" wrapText="1"/>
    </xf>
    <xf numFmtId="0" fontId="56" fillId="0" borderId="3" xfId="0" applyFont="1" applyBorder="1" applyAlignment="1">
      <alignment vertical="center" wrapText="1"/>
    </xf>
    <xf numFmtId="0" fontId="56" fillId="0" borderId="4" xfId="0" applyFont="1" applyBorder="1" applyAlignment="1">
      <alignment vertical="center" wrapText="1"/>
    </xf>
    <xf numFmtId="0" fontId="57" fillId="0" borderId="0" xfId="0" applyFont="1"/>
    <xf numFmtId="0" fontId="2" fillId="0" borderId="1" xfId="0" applyFont="1" applyBorder="1"/>
    <xf numFmtId="0" fontId="2" fillId="0" borderId="10" xfId="0" applyFont="1" applyBorder="1"/>
    <xf numFmtId="1" fontId="0" fillId="0" borderId="10" xfId="0" applyNumberFormat="1" applyBorder="1"/>
    <xf numFmtId="173" fontId="0" fillId="0" borderId="10" xfId="0" applyNumberFormat="1" applyBorder="1"/>
    <xf numFmtId="168" fontId="0" fillId="0" borderId="10" xfId="0" applyNumberFormat="1" applyBorder="1"/>
    <xf numFmtId="0" fontId="39" fillId="0" borderId="18" xfId="0" applyFont="1" applyBorder="1"/>
    <xf numFmtId="0" fontId="2" fillId="0" borderId="36" xfId="0" applyFont="1" applyBorder="1"/>
    <xf numFmtId="1" fontId="0" fillId="0" borderId="36" xfId="0" applyNumberFormat="1" applyBorder="1"/>
    <xf numFmtId="173" fontId="0" fillId="0" borderId="36" xfId="0" applyNumberFormat="1" applyBorder="1"/>
    <xf numFmtId="0" fontId="0" fillId="0" borderId="15" xfId="0" applyBorder="1"/>
    <xf numFmtId="168" fontId="0" fillId="0" borderId="37" xfId="0" applyNumberFormat="1" applyBorder="1"/>
    <xf numFmtId="3" fontId="39" fillId="0" borderId="0" xfId="0" applyNumberFormat="1" applyFont="1" applyFill="1" applyBorder="1"/>
    <xf numFmtId="0" fontId="43" fillId="0" borderId="15" xfId="0" applyFont="1" applyBorder="1"/>
    <xf numFmtId="3" fontId="39" fillId="0" borderId="15" xfId="0" applyNumberFormat="1" applyFont="1" applyBorder="1"/>
    <xf numFmtId="3" fontId="43" fillId="0" borderId="15" xfId="0" applyNumberFormat="1" applyFont="1" applyBorder="1"/>
    <xf numFmtId="0" fontId="58" fillId="0" borderId="0" xfId="0" applyFont="1" applyAlignment="1">
      <alignment horizontal="left" vertical="center" indent="4"/>
    </xf>
    <xf numFmtId="0" fontId="0" fillId="0" borderId="0" xfId="0" applyAlignment="1">
      <alignment horizontal="left" vertical="center" indent="4"/>
    </xf>
    <xf numFmtId="0" fontId="39" fillId="0" borderId="0" xfId="0" applyFont="1" applyAlignment="1">
      <alignment vertical="center"/>
    </xf>
    <xf numFmtId="0" fontId="12" fillId="11" borderId="9" xfId="0" applyFont="1" applyFill="1" applyBorder="1" applyAlignment="1">
      <alignment vertical="center" wrapText="1"/>
    </xf>
    <xf numFmtId="1" fontId="0" fillId="0" borderId="37" xfId="0" applyNumberFormat="1" applyBorder="1"/>
    <xf numFmtId="0" fontId="12" fillId="15" borderId="15" xfId="0" applyFont="1" applyFill="1" applyBorder="1" applyAlignment="1">
      <alignment horizontal="left" wrapText="1"/>
    </xf>
    <xf numFmtId="1" fontId="0" fillId="0" borderId="0" xfId="0" applyNumberFormat="1"/>
    <xf numFmtId="9" fontId="0" fillId="0" borderId="0" xfId="10" applyFont="1" applyAlignment="1">
      <alignment horizontal="center"/>
    </xf>
    <xf numFmtId="0" fontId="36" fillId="0" borderId="3" xfId="0" applyFont="1" applyBorder="1" applyAlignment="1">
      <alignment vertical="center"/>
    </xf>
    <xf numFmtId="0" fontId="59" fillId="0" borderId="0" xfId="0" applyFont="1"/>
    <xf numFmtId="0" fontId="60" fillId="0" borderId="0" xfId="0" applyFont="1"/>
    <xf numFmtId="0" fontId="62" fillId="0" borderId="0" xfId="0" applyFont="1"/>
    <xf numFmtId="177" fontId="60" fillId="0" borderId="0" xfId="0" applyNumberFormat="1" applyFont="1"/>
    <xf numFmtId="178" fontId="60" fillId="0" borderId="0" xfId="0" applyNumberFormat="1" applyFont="1"/>
    <xf numFmtId="179" fontId="0" fillId="0" borderId="0" xfId="0" applyNumberFormat="1"/>
    <xf numFmtId="0" fontId="12" fillId="0" borderId="0" xfId="0" applyFont="1" applyAlignment="1">
      <alignment vertical="center"/>
    </xf>
    <xf numFmtId="0" fontId="63" fillId="0" borderId="0" xfId="0" applyFont="1"/>
    <xf numFmtId="0" fontId="36" fillId="0" borderId="0" xfId="0" applyFont="1" applyBorder="1" applyAlignment="1">
      <alignment vertical="center"/>
    </xf>
    <xf numFmtId="3" fontId="0" fillId="0" borderId="0" xfId="0" applyNumberFormat="1"/>
    <xf numFmtId="0" fontId="23" fillId="4" borderId="0" xfId="0" applyFont="1" applyFill="1"/>
    <xf numFmtId="0" fontId="23" fillId="4" borderId="0" xfId="0" applyFont="1" applyFill="1" applyAlignment="1">
      <alignment vertical="center"/>
    </xf>
    <xf numFmtId="0" fontId="21" fillId="4" borderId="0" xfId="0" applyFont="1" applyFill="1" applyAlignment="1">
      <alignment vertical="center"/>
    </xf>
    <xf numFmtId="0" fontId="21" fillId="4" borderId="0" xfId="0" applyFont="1" applyFill="1"/>
    <xf numFmtId="0" fontId="64" fillId="0" borderId="0" xfId="0" applyFont="1" applyAlignment="1">
      <alignment vertical="center"/>
    </xf>
    <xf numFmtId="0" fontId="2" fillId="0" borderId="0" xfId="0" applyFont="1" applyAlignment="1"/>
    <xf numFmtId="0" fontId="0" fillId="0" borderId="0" xfId="0" applyFont="1"/>
    <xf numFmtId="0" fontId="6" fillId="0" borderId="0" xfId="0" applyFont="1"/>
    <xf numFmtId="180" fontId="0" fillId="0" borderId="0" xfId="0" applyNumberFormat="1"/>
    <xf numFmtId="0" fontId="2" fillId="0" borderId="0" xfId="0" applyFont="1" applyAlignment="1">
      <alignment horizontal="center"/>
    </xf>
    <xf numFmtId="168" fontId="21" fillId="0" borderId="0" xfId="0" applyNumberFormat="1" applyFont="1" applyFill="1" applyBorder="1"/>
    <xf numFmtId="175" fontId="0" fillId="0" borderId="0" xfId="11" applyNumberFormat="1" applyFont="1"/>
    <xf numFmtId="0" fontId="69" fillId="0" borderId="0" xfId="0" applyFont="1"/>
    <xf numFmtId="1" fontId="0" fillId="0" borderId="0" xfId="0" applyNumberFormat="1" applyBorder="1"/>
    <xf numFmtId="168" fontId="0" fillId="0" borderId="0" xfId="0" applyNumberFormat="1" applyBorder="1"/>
    <xf numFmtId="3" fontId="39" fillId="19" borderId="15" xfId="0" applyNumberFormat="1" applyFont="1" applyFill="1" applyBorder="1"/>
    <xf numFmtId="3" fontId="39" fillId="20" borderId="15" xfId="0" applyNumberFormat="1" applyFont="1" applyFill="1" applyBorder="1"/>
    <xf numFmtId="0" fontId="0" fillId="0" borderId="13" xfId="0" applyBorder="1"/>
    <xf numFmtId="0" fontId="0" fillId="0" borderId="12" xfId="0" applyBorder="1"/>
    <xf numFmtId="0" fontId="0" fillId="0" borderId="19" xfId="0" applyBorder="1"/>
    <xf numFmtId="0" fontId="2" fillId="0" borderId="11" xfId="0" applyFont="1" applyBorder="1"/>
    <xf numFmtId="0" fontId="39" fillId="0" borderId="0" xfId="0" applyFont="1" applyBorder="1"/>
    <xf numFmtId="0" fontId="0" fillId="0" borderId="11" xfId="0" applyBorder="1"/>
    <xf numFmtId="0" fontId="43" fillId="0" borderId="0" xfId="0" applyFont="1" applyBorder="1"/>
    <xf numFmtId="0" fontId="48" fillId="0" borderId="11" xfId="0" applyFont="1" applyBorder="1"/>
    <xf numFmtId="0" fontId="48" fillId="20" borderId="11" xfId="0" applyFont="1" applyFill="1" applyBorder="1"/>
    <xf numFmtId="3" fontId="39" fillId="20" borderId="0" xfId="0" applyNumberFormat="1" applyFont="1" applyFill="1" applyBorder="1"/>
    <xf numFmtId="0" fontId="48" fillId="19" borderId="11" xfId="0" applyFont="1" applyFill="1" applyBorder="1"/>
    <xf numFmtId="3" fontId="39" fillId="19" borderId="0" xfId="0" applyNumberFormat="1" applyFont="1" applyFill="1" applyBorder="1"/>
    <xf numFmtId="0" fontId="39" fillId="0" borderId="11" xfId="0" applyFont="1" applyFill="1" applyBorder="1"/>
    <xf numFmtId="0" fontId="39" fillId="16" borderId="14" xfId="0" applyFont="1" applyFill="1" applyBorder="1"/>
    <xf numFmtId="3" fontId="39" fillId="16" borderId="2" xfId="0" applyNumberFormat="1" applyFont="1" applyFill="1" applyBorder="1"/>
    <xf numFmtId="3" fontId="52" fillId="16" borderId="6" xfId="0" applyNumberFormat="1" applyFont="1" applyFill="1" applyBorder="1"/>
    <xf numFmtId="0" fontId="2" fillId="0" borderId="13" xfId="0" applyFont="1" applyBorder="1"/>
    <xf numFmtId="3" fontId="39" fillId="0" borderId="12" xfId="0" applyNumberFormat="1" applyFont="1" applyBorder="1"/>
    <xf numFmtId="3" fontId="39" fillId="0" borderId="18" xfId="0" applyNumberFormat="1" applyFont="1" applyBorder="1"/>
    <xf numFmtId="3" fontId="43" fillId="0" borderId="0" xfId="0" applyNumberFormat="1" applyFont="1" applyBorder="1"/>
    <xf numFmtId="0" fontId="5" fillId="0" borderId="6" xfId="0" applyFont="1" applyFill="1" applyBorder="1" applyAlignment="1">
      <alignment horizontal="center" vertical="center" wrapText="1"/>
    </xf>
    <xf numFmtId="168" fontId="5" fillId="0" borderId="6" xfId="0" applyNumberFormat="1" applyFont="1" applyFill="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2" fontId="5" fillId="0" borderId="6" xfId="0" applyNumberFormat="1" applyFont="1" applyBorder="1" applyAlignment="1">
      <alignment horizontal="center" vertical="center" wrapText="1"/>
    </xf>
    <xf numFmtId="2" fontId="5" fillId="0" borderId="0" xfId="0" applyNumberFormat="1" applyFont="1" applyBorder="1" applyAlignment="1">
      <alignment horizontal="center" vertical="center" wrapText="1"/>
    </xf>
    <xf numFmtId="0" fontId="4" fillId="0" borderId="0" xfId="0" applyFont="1" applyFill="1" applyBorder="1" applyAlignment="1">
      <alignment horizontal="center" vertical="center" wrapText="1"/>
    </xf>
    <xf numFmtId="0" fontId="5" fillId="0" borderId="6" xfId="0" quotePrefix="1" applyFont="1" applyBorder="1" applyAlignment="1">
      <alignment horizontal="center" vertical="center" wrapText="1"/>
    </xf>
    <xf numFmtId="0" fontId="26" fillId="0" borderId="27" xfId="0" applyFont="1" applyBorder="1" applyAlignment="1">
      <alignment horizontal="center" vertical="center" wrapText="1"/>
    </xf>
    <xf numFmtId="0" fontId="2" fillId="0" borderId="0" xfId="0" applyFont="1" applyFill="1" applyBorder="1"/>
    <xf numFmtId="9" fontId="0" fillId="0" borderId="0" xfId="10" applyFont="1"/>
    <xf numFmtId="0" fontId="2" fillId="0" borderId="13" xfId="0" applyFont="1" applyFill="1" applyBorder="1"/>
    <xf numFmtId="0" fontId="2" fillId="0" borderId="12" xfId="0" applyFont="1" applyBorder="1"/>
    <xf numFmtId="0" fontId="2" fillId="0" borderId="19" xfId="0" applyFont="1" applyBorder="1"/>
    <xf numFmtId="0" fontId="0" fillId="0" borderId="11" xfId="0" applyFill="1" applyBorder="1"/>
    <xf numFmtId="175" fontId="0" fillId="0" borderId="0" xfId="11" applyNumberFormat="1" applyFont="1" applyBorder="1"/>
    <xf numFmtId="175" fontId="0" fillId="0" borderId="9" xfId="11" applyNumberFormat="1" applyFont="1" applyBorder="1"/>
    <xf numFmtId="0" fontId="2" fillId="0" borderId="11" xfId="0" applyFont="1" applyFill="1" applyBorder="1"/>
    <xf numFmtId="0" fontId="2" fillId="0" borderId="0" xfId="0" applyFont="1" applyBorder="1"/>
    <xf numFmtId="0" fontId="2" fillId="0" borderId="9" xfId="0" applyFont="1" applyBorder="1"/>
    <xf numFmtId="0" fontId="0" fillId="20" borderId="11" xfId="0" applyFill="1" applyBorder="1"/>
    <xf numFmtId="175" fontId="0" fillId="20" borderId="0" xfId="11" applyNumberFormat="1" applyFont="1" applyFill="1" applyBorder="1"/>
    <xf numFmtId="175" fontId="0" fillId="20" borderId="9" xfId="11" applyNumberFormat="1" applyFont="1" applyFill="1" applyBorder="1"/>
    <xf numFmtId="9" fontId="0" fillId="20" borderId="0" xfId="10" applyFont="1" applyFill="1" applyBorder="1"/>
    <xf numFmtId="9" fontId="0" fillId="20" borderId="9" xfId="10" applyFont="1" applyFill="1" applyBorder="1"/>
    <xf numFmtId="0" fontId="0" fillId="20" borderId="14" xfId="0" applyFill="1" applyBorder="1"/>
    <xf numFmtId="9" fontId="0" fillId="20" borderId="2" xfId="10" applyFont="1" applyFill="1" applyBorder="1"/>
    <xf numFmtId="175" fontId="0" fillId="0" borderId="0" xfId="0" applyNumberFormat="1"/>
    <xf numFmtId="167" fontId="0" fillId="0" borderId="0" xfId="0" applyNumberFormat="1"/>
    <xf numFmtId="0" fontId="70" fillId="0" borderId="0" xfId="0" applyFont="1" applyBorder="1" applyAlignment="1">
      <alignment horizontal="left" vertical="center" wrapText="1" indent="2"/>
    </xf>
    <xf numFmtId="0" fontId="70" fillId="0" borderId="9" xfId="0" applyFont="1" applyBorder="1" applyAlignment="1">
      <alignment horizontal="left" vertical="center" wrapText="1" indent="2"/>
    </xf>
    <xf numFmtId="0" fontId="23" fillId="0" borderId="0" xfId="0" applyFont="1" applyBorder="1" applyAlignment="1">
      <alignment horizontal="left" vertical="center" wrapText="1" indent="2"/>
    </xf>
    <xf numFmtId="9" fontId="73" fillId="0" borderId="0" xfId="10" applyFont="1"/>
    <xf numFmtId="169" fontId="73" fillId="0" borderId="0" xfId="10" applyNumberFormat="1" applyFont="1"/>
    <xf numFmtId="0" fontId="23"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33" fillId="19" borderId="7" xfId="0" applyFont="1" applyFill="1" applyBorder="1" applyAlignment="1">
      <alignment horizontal="right" vertical="center" wrapText="1"/>
    </xf>
    <xf numFmtId="0" fontId="26" fillId="19" borderId="0" xfId="0" applyFont="1" applyFill="1" applyBorder="1" applyAlignment="1">
      <alignment horizontal="right" vertical="center" wrapText="1"/>
    </xf>
    <xf numFmtId="0" fontId="26" fillId="19" borderId="26" xfId="0" applyFont="1" applyFill="1" applyBorder="1" applyAlignment="1">
      <alignment horizontal="center" vertical="center" wrapText="1"/>
    </xf>
    <xf numFmtId="0" fontId="26" fillId="19" borderId="27" xfId="0" applyFont="1" applyFill="1" applyBorder="1" applyAlignment="1">
      <alignment horizontal="center" vertical="center" wrapText="1"/>
    </xf>
    <xf numFmtId="0" fontId="15" fillId="19" borderId="29" xfId="0" applyFont="1" applyFill="1" applyBorder="1" applyAlignment="1">
      <alignment vertical="center" wrapText="1"/>
    </xf>
    <xf numFmtId="0" fontId="15" fillId="19" borderId="0" xfId="0" applyFont="1" applyFill="1" applyBorder="1" applyAlignment="1">
      <alignment vertical="center" wrapText="1"/>
    </xf>
    <xf numFmtId="0" fontId="26" fillId="19" borderId="0" xfId="0" applyFont="1" applyFill="1" applyBorder="1" applyAlignment="1">
      <alignment horizontal="center" vertical="center" wrapText="1"/>
    </xf>
    <xf numFmtId="0" fontId="26" fillId="19" borderId="20" xfId="0" applyFont="1" applyFill="1" applyBorder="1" applyAlignment="1">
      <alignment horizontal="center" vertical="center" wrapText="1"/>
    </xf>
    <xf numFmtId="174" fontId="18" fillId="19" borderId="29" xfId="0" applyNumberFormat="1" applyFont="1" applyFill="1" applyBorder="1" applyAlignment="1">
      <alignment horizontal="center" vertical="center" wrapText="1"/>
    </xf>
    <xf numFmtId="174" fontId="18" fillId="19" borderId="8" xfId="0" applyNumberFormat="1" applyFont="1" applyFill="1" applyBorder="1" applyAlignment="1">
      <alignment horizontal="center" vertical="center" wrapText="1"/>
    </xf>
    <xf numFmtId="174" fontId="18" fillId="19" borderId="0" xfId="0" applyNumberFormat="1" applyFont="1" applyFill="1" applyBorder="1" applyAlignment="1">
      <alignment horizontal="center" vertical="center" wrapText="1"/>
    </xf>
    <xf numFmtId="9" fontId="18" fillId="19" borderId="20" xfId="0" applyNumberFormat="1" applyFont="1" applyFill="1" applyBorder="1" applyAlignment="1">
      <alignment horizontal="center" vertical="center" wrapText="1"/>
    </xf>
    <xf numFmtId="0" fontId="23" fillId="19" borderId="23" xfId="0" applyFont="1" applyFill="1" applyBorder="1" applyAlignment="1">
      <alignment horizontal="right" vertical="center" wrapText="1"/>
    </xf>
    <xf numFmtId="174" fontId="20" fillId="19" borderId="30" xfId="0" applyNumberFormat="1" applyFont="1" applyFill="1" applyBorder="1" applyAlignment="1">
      <alignment horizontal="center" vertical="center" wrapText="1"/>
    </xf>
    <xf numFmtId="174" fontId="20" fillId="19" borderId="31" xfId="0" applyNumberFormat="1" applyFont="1" applyFill="1" applyBorder="1" applyAlignment="1">
      <alignment horizontal="center" vertical="center" wrapText="1"/>
    </xf>
    <xf numFmtId="9" fontId="20" fillId="19" borderId="22" xfId="10" applyFont="1" applyFill="1" applyBorder="1" applyAlignment="1">
      <alignment horizontal="center" vertical="center" wrapText="1"/>
    </xf>
    <xf numFmtId="4" fontId="18" fillId="19" borderId="29" xfId="0" applyNumberFormat="1" applyFont="1" applyFill="1" applyBorder="1" applyAlignment="1">
      <alignment horizontal="center" vertical="center" wrapText="1"/>
    </xf>
    <xf numFmtId="4" fontId="18" fillId="19" borderId="8" xfId="0" applyNumberFormat="1" applyFont="1" applyFill="1" applyBorder="1" applyAlignment="1">
      <alignment horizontal="center" vertical="center" wrapText="1"/>
    </xf>
    <xf numFmtId="0" fontId="33" fillId="20" borderId="7" xfId="0" applyFont="1" applyFill="1" applyBorder="1" applyAlignment="1">
      <alignment horizontal="right" vertical="center" wrapText="1"/>
    </xf>
    <xf numFmtId="0" fontId="26" fillId="20" borderId="0" xfId="0" applyFont="1" applyFill="1" applyBorder="1" applyAlignment="1">
      <alignment horizontal="right" vertical="center" wrapText="1"/>
    </xf>
    <xf numFmtId="0" fontId="26" fillId="20" borderId="26" xfId="0" applyFont="1" applyFill="1" applyBorder="1" applyAlignment="1">
      <alignment horizontal="center" vertical="center" wrapText="1"/>
    </xf>
    <xf numFmtId="0" fontId="26" fillId="20" borderId="27" xfId="0" applyFont="1" applyFill="1" applyBorder="1" applyAlignment="1">
      <alignment horizontal="center" vertical="center" wrapText="1"/>
    </xf>
    <xf numFmtId="0" fontId="15" fillId="20" borderId="29" xfId="0" applyFont="1" applyFill="1" applyBorder="1" applyAlignment="1">
      <alignment vertical="center" wrapText="1"/>
    </xf>
    <xf numFmtId="0" fontId="15" fillId="20" borderId="0" xfId="0" applyFont="1" applyFill="1" applyBorder="1" applyAlignment="1">
      <alignment vertical="center" wrapText="1"/>
    </xf>
    <xf numFmtId="0" fontId="26" fillId="20" borderId="0" xfId="0" applyFont="1" applyFill="1" applyBorder="1" applyAlignment="1">
      <alignment horizontal="center" vertical="center" wrapText="1"/>
    </xf>
    <xf numFmtId="0" fontId="26" fillId="20" borderId="20" xfId="0" applyFont="1" applyFill="1" applyBorder="1" applyAlignment="1">
      <alignment horizontal="center" vertical="center" wrapText="1"/>
    </xf>
    <xf numFmtId="174" fontId="18" fillId="20" borderId="29" xfId="0" applyNumberFormat="1" applyFont="1" applyFill="1" applyBorder="1" applyAlignment="1">
      <alignment horizontal="center" vertical="center" wrapText="1"/>
    </xf>
    <xf numFmtId="174" fontId="18" fillId="20" borderId="8" xfId="0" applyNumberFormat="1" applyFont="1" applyFill="1" applyBorder="1" applyAlignment="1">
      <alignment horizontal="center" vertical="center" wrapText="1"/>
    </xf>
    <xf numFmtId="174" fontId="18" fillId="20" borderId="0" xfId="0" applyNumberFormat="1" applyFont="1" applyFill="1" applyBorder="1" applyAlignment="1">
      <alignment horizontal="center" vertical="center" wrapText="1"/>
    </xf>
    <xf numFmtId="9" fontId="18" fillId="20" borderId="20" xfId="0" applyNumberFormat="1" applyFont="1" applyFill="1" applyBorder="1" applyAlignment="1">
      <alignment horizontal="center" vertical="center" wrapText="1"/>
    </xf>
    <xf numFmtId="0" fontId="23" fillId="20" borderId="23" xfId="0" applyFont="1" applyFill="1" applyBorder="1" applyAlignment="1">
      <alignment horizontal="right" vertical="center" wrapText="1"/>
    </xf>
    <xf numFmtId="174" fontId="20" fillId="20" borderId="30" xfId="0" applyNumberFormat="1" applyFont="1" applyFill="1" applyBorder="1" applyAlignment="1">
      <alignment horizontal="center" vertical="center" wrapText="1"/>
    </xf>
    <xf numFmtId="174" fontId="20" fillId="20" borderId="31" xfId="0" applyNumberFormat="1" applyFont="1" applyFill="1" applyBorder="1" applyAlignment="1">
      <alignment horizontal="center" vertical="center" wrapText="1"/>
    </xf>
    <xf numFmtId="9" fontId="20" fillId="20" borderId="22" xfId="10" applyFont="1" applyFill="1" applyBorder="1" applyAlignment="1">
      <alignment horizontal="center" vertical="center" wrapText="1"/>
    </xf>
    <xf numFmtId="4" fontId="18" fillId="20" borderId="29" xfId="0" applyNumberFormat="1" applyFont="1" applyFill="1" applyBorder="1" applyAlignment="1">
      <alignment horizontal="center" vertical="center" wrapText="1"/>
    </xf>
    <xf numFmtId="4" fontId="18" fillId="20" borderId="8" xfId="0" applyNumberFormat="1" applyFont="1" applyFill="1" applyBorder="1" applyAlignment="1">
      <alignment horizontal="center" vertical="center" wrapText="1"/>
    </xf>
    <xf numFmtId="0" fontId="74" fillId="0" borderId="0" xfId="0" applyFont="1"/>
    <xf numFmtId="0" fontId="37" fillId="0" borderId="0" xfId="0" applyFont="1" applyFill="1" applyBorder="1" applyAlignment="1">
      <alignment horizontal="left" vertical="center"/>
    </xf>
    <xf numFmtId="4" fontId="18" fillId="20" borderId="0" xfId="0" applyNumberFormat="1" applyFont="1" applyFill="1" applyBorder="1" applyAlignment="1">
      <alignment horizontal="center" vertical="center" wrapText="1"/>
    </xf>
    <xf numFmtId="0" fontId="0" fillId="21" borderId="0" xfId="0" applyFill="1"/>
    <xf numFmtId="3" fontId="0" fillId="21" borderId="0" xfId="0" applyNumberFormat="1" applyFill="1"/>
    <xf numFmtId="9" fontId="0" fillId="21" borderId="0" xfId="10" applyFont="1" applyFill="1"/>
    <xf numFmtId="1" fontId="0" fillId="21" borderId="0" xfId="10" applyNumberFormat="1" applyFont="1" applyFill="1"/>
    <xf numFmtId="168" fontId="60" fillId="0" borderId="39" xfId="0" applyNumberFormat="1" applyFont="1" applyBorder="1"/>
    <xf numFmtId="168" fontId="60" fillId="0" borderId="40" xfId="0" applyNumberFormat="1" applyFont="1" applyBorder="1"/>
    <xf numFmtId="10" fontId="24" fillId="0" borderId="0" xfId="0" applyNumberFormat="1" applyFont="1" applyFill="1" applyBorder="1" applyAlignment="1">
      <alignment horizontal="center" vertical="center" wrapText="1"/>
    </xf>
    <xf numFmtId="0" fontId="24" fillId="0" borderId="0" xfId="0" applyFont="1" applyFill="1" applyBorder="1" applyAlignment="1">
      <alignment horizontal="center" vertical="center" wrapText="1"/>
    </xf>
    <xf numFmtId="0" fontId="26" fillId="0" borderId="27" xfId="0" applyFont="1" applyBorder="1" applyAlignment="1">
      <alignment horizontal="center" vertical="center" wrapText="1"/>
    </xf>
    <xf numFmtId="0" fontId="75" fillId="0" borderId="0" xfId="0" applyFont="1" applyAlignment="1">
      <alignment vertical="center"/>
    </xf>
    <xf numFmtId="17" fontId="76" fillId="22" borderId="17" xfId="0" applyNumberFormat="1" applyFont="1" applyFill="1" applyBorder="1" applyAlignment="1">
      <alignment horizontal="right" vertical="center"/>
    </xf>
    <xf numFmtId="17" fontId="76" fillId="22" borderId="12" xfId="0" applyNumberFormat="1" applyFont="1" applyFill="1" applyBorder="1" applyAlignment="1">
      <alignment horizontal="right" vertical="center"/>
    </xf>
    <xf numFmtId="17" fontId="76" fillId="22" borderId="12" xfId="0" applyNumberFormat="1" applyFont="1" applyFill="1" applyBorder="1" applyAlignment="1">
      <alignment horizontal="right" vertical="center" wrapText="1"/>
    </xf>
    <xf numFmtId="1" fontId="76" fillId="22" borderId="44" xfId="0" applyNumberFormat="1" applyFont="1" applyFill="1" applyBorder="1" applyAlignment="1">
      <alignment horizontal="right" vertical="center"/>
    </xf>
    <xf numFmtId="1" fontId="76" fillId="22" borderId="45" xfId="0" applyNumberFormat="1" applyFont="1" applyFill="1" applyBorder="1" applyAlignment="1">
      <alignment horizontal="right" vertical="center"/>
    </xf>
    <xf numFmtId="0" fontId="23" fillId="10" borderId="0" xfId="0" applyFont="1" applyFill="1" applyAlignment="1">
      <alignment vertical="center" wrapText="1"/>
    </xf>
    <xf numFmtId="0" fontId="23" fillId="10" borderId="9" xfId="0" applyFont="1" applyFill="1" applyBorder="1" applyAlignment="1">
      <alignment vertical="center" wrapText="1"/>
    </xf>
    <xf numFmtId="0" fontId="26" fillId="10" borderId="0" xfId="0" applyFont="1" applyFill="1" applyAlignment="1">
      <alignment horizontal="right" vertical="center"/>
    </xf>
    <xf numFmtId="0" fontId="26" fillId="10" borderId="0" xfId="0" applyFont="1" applyFill="1" applyAlignment="1">
      <alignment horizontal="right" vertical="center" wrapText="1"/>
    </xf>
    <xf numFmtId="0" fontId="26" fillId="10" borderId="0" xfId="0" applyFont="1" applyFill="1" applyAlignment="1">
      <alignment vertical="center"/>
    </xf>
    <xf numFmtId="0" fontId="26" fillId="10" borderId="9" xfId="0" applyFont="1" applyFill="1" applyBorder="1" applyAlignment="1">
      <alignment vertical="center"/>
    </xf>
    <xf numFmtId="0" fontId="26" fillId="10" borderId="2" xfId="0" applyFont="1" applyFill="1" applyBorder="1" applyAlignment="1">
      <alignment vertical="center"/>
    </xf>
    <xf numFmtId="0" fontId="26" fillId="10" borderId="6" xfId="0" applyFont="1" applyFill="1" applyBorder="1" applyAlignment="1">
      <alignment vertical="center"/>
    </xf>
    <xf numFmtId="0" fontId="0" fillId="23" borderId="1" xfId="0" applyFill="1" applyBorder="1"/>
    <xf numFmtId="2" fontId="0" fillId="23" borderId="1" xfId="0" applyNumberFormat="1" applyFill="1" applyBorder="1" applyAlignment="1">
      <alignment horizontal="right"/>
    </xf>
    <xf numFmtId="0" fontId="24" fillId="0" borderId="26" xfId="0" applyFont="1" applyBorder="1" applyAlignment="1">
      <alignment vertical="center" wrapText="1"/>
    </xf>
    <xf numFmtId="0" fontId="26" fillId="0" borderId="26" xfId="0" applyFont="1" applyBorder="1" applyAlignment="1">
      <alignment vertical="center" wrapText="1"/>
    </xf>
    <xf numFmtId="0" fontId="21" fillId="0" borderId="10" xfId="0" applyFont="1" applyBorder="1" applyAlignment="1">
      <alignment vertical="center" wrapText="1"/>
    </xf>
    <xf numFmtId="0" fontId="0" fillId="0" borderId="0" xfId="0" applyBorder="1" applyAlignment="1">
      <alignment horizontal="center"/>
    </xf>
    <xf numFmtId="168" fontId="0" fillId="0" borderId="0" xfId="0" applyNumberFormat="1" applyBorder="1" applyAlignment="1">
      <alignment horizontal="center"/>
    </xf>
    <xf numFmtId="168" fontId="26" fillId="10" borderId="0" xfId="0" applyNumberFormat="1" applyFont="1" applyFill="1" applyAlignment="1">
      <alignment horizontal="right" vertical="center" wrapText="1"/>
    </xf>
    <xf numFmtId="168" fontId="26" fillId="10" borderId="2" xfId="0" applyNumberFormat="1" applyFont="1" applyFill="1" applyBorder="1" applyAlignment="1">
      <alignment horizontal="right" vertical="center" wrapText="1"/>
    </xf>
    <xf numFmtId="168" fontId="26" fillId="10" borderId="0" xfId="0" applyNumberFormat="1" applyFont="1" applyFill="1" applyAlignment="1">
      <alignment horizontal="right" vertical="center"/>
    </xf>
    <xf numFmtId="168" fontId="26" fillId="10" borderId="2" xfId="0" applyNumberFormat="1" applyFont="1" applyFill="1" applyBorder="1" applyAlignment="1">
      <alignment horizontal="right" vertical="center"/>
    </xf>
    <xf numFmtId="9" fontId="61" fillId="0" borderId="0" xfId="10" applyFont="1"/>
    <xf numFmtId="169" fontId="24" fillId="0" borderId="41" xfId="0" applyNumberFormat="1" applyFont="1" applyBorder="1" applyAlignment="1">
      <alignment horizontal="center" vertical="center" wrapText="1"/>
    </xf>
    <xf numFmtId="169" fontId="21" fillId="0" borderId="1" xfId="0" applyNumberFormat="1" applyFont="1" applyBorder="1" applyAlignment="1">
      <alignment horizontal="center" vertical="center" wrapText="1"/>
    </xf>
    <xf numFmtId="3" fontId="77" fillId="0" borderId="0" xfId="0" applyNumberFormat="1" applyFont="1" applyFill="1"/>
    <xf numFmtId="3" fontId="77" fillId="0" borderId="0" xfId="0" applyNumberFormat="1" applyFont="1"/>
    <xf numFmtId="3" fontId="46" fillId="0" borderId="0" xfId="0" applyNumberFormat="1" applyFont="1"/>
    <xf numFmtId="0" fontId="0" fillId="0" borderId="17" xfId="0" applyBorder="1"/>
    <xf numFmtId="0" fontId="0" fillId="0" borderId="4" xfId="0" applyBorder="1"/>
    <xf numFmtId="0" fontId="0" fillId="4" borderId="0" xfId="0" applyFill="1"/>
    <xf numFmtId="0" fontId="2" fillId="0" borderId="16" xfId="0" applyFont="1" applyBorder="1"/>
    <xf numFmtId="0" fontId="0" fillId="0" borderId="0" xfId="0" applyAlignment="1"/>
    <xf numFmtId="1" fontId="82" fillId="0" borderId="6" xfId="0" applyNumberFormat="1" applyFont="1" applyBorder="1" applyAlignment="1">
      <alignment horizontal="right" vertical="center"/>
    </xf>
    <xf numFmtId="0" fontId="73" fillId="0" borderId="0" xfId="0" applyFont="1"/>
    <xf numFmtId="175" fontId="82" fillId="0" borderId="6" xfId="11" applyNumberFormat="1" applyFont="1" applyBorder="1" applyAlignment="1">
      <alignment horizontal="right" vertical="center"/>
    </xf>
    <xf numFmtId="0" fontId="82" fillId="30" borderId="14" xfId="0" applyFont="1" applyFill="1" applyBorder="1" applyAlignment="1">
      <alignment vertical="center"/>
    </xf>
    <xf numFmtId="9" fontId="0" fillId="30" borderId="2" xfId="10" applyFont="1" applyFill="1" applyBorder="1"/>
    <xf numFmtId="9" fontId="0" fillId="30" borderId="6" xfId="10" applyFont="1" applyFill="1" applyBorder="1"/>
    <xf numFmtId="1" fontId="2" fillId="18" borderId="16" xfId="0" applyNumberFormat="1" applyFont="1" applyFill="1" applyBorder="1"/>
    <xf numFmtId="1" fontId="2" fillId="18" borderId="17" xfId="0" applyNumberFormat="1" applyFont="1" applyFill="1" applyBorder="1"/>
    <xf numFmtId="1" fontId="2" fillId="18" borderId="4" xfId="0" applyNumberFormat="1" applyFont="1" applyFill="1" applyBorder="1"/>
    <xf numFmtId="1" fontId="82" fillId="0" borderId="5" xfId="0" applyNumberFormat="1" applyFont="1" applyBorder="1" applyAlignment="1">
      <alignment horizontal="right" vertical="center"/>
    </xf>
    <xf numFmtId="1" fontId="2" fillId="18" borderId="3" xfId="0" applyNumberFormat="1" applyFont="1" applyFill="1" applyBorder="1"/>
    <xf numFmtId="175" fontId="82" fillId="0" borderId="5" xfId="11" applyNumberFormat="1" applyFont="1" applyBorder="1" applyAlignment="1">
      <alignment horizontal="right" vertical="center"/>
    </xf>
    <xf numFmtId="9" fontId="0" fillId="30" borderId="5" xfId="10" applyFont="1" applyFill="1" applyBorder="1"/>
    <xf numFmtId="0" fontId="82" fillId="28" borderId="16" xfId="0" applyFont="1" applyFill="1" applyBorder="1" applyAlignment="1">
      <alignment vertical="center" wrapText="1"/>
    </xf>
    <xf numFmtId="0" fontId="82" fillId="0" borderId="14" xfId="0" applyFont="1" applyBorder="1" applyAlignment="1">
      <alignment vertical="center"/>
    </xf>
    <xf numFmtId="9" fontId="0" fillId="30" borderId="14" xfId="10" applyFont="1" applyFill="1" applyBorder="1"/>
    <xf numFmtId="0" fontId="0" fillId="0" borderId="0" xfId="0" applyFont="1" applyAlignment="1">
      <alignment horizontal="left" vertical="top"/>
    </xf>
    <xf numFmtId="0" fontId="0" fillId="0" borderId="0" xfId="0" applyFont="1" applyAlignment="1">
      <alignment horizontal="left" vertical="top" wrapText="1"/>
    </xf>
    <xf numFmtId="0" fontId="2" fillId="0" borderId="0" xfId="0" applyFont="1" applyAlignment="1">
      <alignment vertical="top"/>
    </xf>
    <xf numFmtId="0" fontId="0" fillId="0" borderId="0" xfId="0" applyAlignment="1">
      <alignment vertical="center"/>
    </xf>
    <xf numFmtId="0" fontId="0" fillId="0" borderId="0" xfId="0" applyFont="1" applyAlignment="1"/>
    <xf numFmtId="0" fontId="5" fillId="0" borderId="0" xfId="0" applyFont="1" applyAlignment="1">
      <alignment horizontal="left" vertical="top"/>
    </xf>
    <xf numFmtId="9" fontId="0" fillId="0" borderId="0" xfId="10" applyNumberFormat="1" applyFont="1"/>
    <xf numFmtId="0" fontId="82" fillId="0" borderId="0" xfId="0" applyFont="1" applyFill="1" applyBorder="1" applyAlignment="1">
      <alignment vertical="center"/>
    </xf>
    <xf numFmtId="0" fontId="0" fillId="0" borderId="0" xfId="0" applyFill="1" applyBorder="1" applyAlignment="1">
      <alignment vertical="center"/>
    </xf>
    <xf numFmtId="1" fontId="82" fillId="0" borderId="0" xfId="0" applyNumberFormat="1" applyFont="1" applyFill="1" applyBorder="1" applyAlignment="1">
      <alignment horizontal="right" vertical="center"/>
    </xf>
    <xf numFmtId="1" fontId="2" fillId="0" borderId="0" xfId="0" applyNumberFormat="1" applyFont="1" applyFill="1" applyBorder="1"/>
    <xf numFmtId="9" fontId="0" fillId="0" borderId="0" xfId="10" applyFont="1" applyFill="1" applyBorder="1"/>
    <xf numFmtId="1" fontId="0" fillId="0" borderId="0" xfId="0" applyNumberFormat="1" applyFont="1" applyFill="1" applyBorder="1"/>
    <xf numFmtId="9" fontId="2" fillId="0" borderId="0" xfId="10" applyFont="1" applyFill="1" applyBorder="1"/>
    <xf numFmtId="0" fontId="0" fillId="0" borderId="0" xfId="0" applyFill="1" applyBorder="1" applyAlignment="1">
      <alignment vertical="center"/>
    </xf>
    <xf numFmtId="0" fontId="32" fillId="28" borderId="3" xfId="0" applyFont="1" applyFill="1" applyBorder="1" applyAlignment="1">
      <alignment horizontal="left" vertical="center" wrapText="1"/>
    </xf>
    <xf numFmtId="0" fontId="32" fillId="28" borderId="4" xfId="0" applyFont="1" applyFill="1" applyBorder="1" applyAlignment="1">
      <alignment horizontal="left" vertical="center" wrapText="1"/>
    </xf>
    <xf numFmtId="0" fontId="32" fillId="28" borderId="4" xfId="0" applyFont="1" applyFill="1" applyBorder="1" applyAlignment="1">
      <alignment horizontal="justify" vertical="center" wrapText="1"/>
    </xf>
    <xf numFmtId="0" fontId="24" fillId="0" borderId="0" xfId="0" applyFont="1" applyAlignment="1">
      <alignment horizontal="left"/>
    </xf>
    <xf numFmtId="0" fontId="32" fillId="29" borderId="3" xfId="0" applyFont="1" applyFill="1" applyBorder="1" applyAlignment="1">
      <alignment horizontal="left" vertical="center" wrapText="1"/>
    </xf>
    <xf numFmtId="1" fontId="85" fillId="0" borderId="0" xfId="0" applyNumberFormat="1" applyFont="1" applyFill="1" applyBorder="1" applyAlignment="1">
      <alignment horizontal="right" vertical="center"/>
    </xf>
    <xf numFmtId="0" fontId="73" fillId="0" borderId="0" xfId="0" applyFont="1" applyFill="1" applyBorder="1"/>
    <xf numFmtId="0" fontId="82" fillId="0" borderId="0" xfId="0" applyFont="1" applyFill="1" applyBorder="1" applyAlignment="1">
      <alignment vertical="center" wrapText="1"/>
    </xf>
    <xf numFmtId="0" fontId="82" fillId="0" borderId="0" xfId="0" applyFont="1" applyFill="1" applyBorder="1" applyAlignment="1">
      <alignment horizontal="justify" vertical="center" wrapText="1"/>
    </xf>
    <xf numFmtId="0" fontId="82" fillId="0" borderId="0" xfId="0" applyFont="1" applyFill="1" applyBorder="1" applyAlignment="1">
      <alignment horizontal="left" vertical="center" wrapText="1"/>
    </xf>
    <xf numFmtId="0" fontId="83" fillId="0" borderId="0" xfId="0" applyFont="1" applyFill="1" applyBorder="1"/>
    <xf numFmtId="175" fontId="82" fillId="0" borderId="0" xfId="11" applyNumberFormat="1" applyFont="1" applyFill="1" applyBorder="1" applyAlignment="1">
      <alignment horizontal="right" vertical="center"/>
    </xf>
    <xf numFmtId="1" fontId="0" fillId="0" borderId="0" xfId="0" applyNumberFormat="1" applyFill="1" applyBorder="1"/>
    <xf numFmtId="0" fontId="2" fillId="0" borderId="0" xfId="0" applyFont="1" applyFill="1" applyBorder="1" applyAlignment="1">
      <alignment vertical="top" wrapText="1"/>
    </xf>
    <xf numFmtId="0" fontId="0" fillId="0" borderId="0" xfId="0" applyFill="1" applyBorder="1" applyAlignment="1">
      <alignment wrapText="1"/>
    </xf>
    <xf numFmtId="0" fontId="0" fillId="0" borderId="0" xfId="0" applyFill="1" applyBorder="1" applyAlignment="1"/>
    <xf numFmtId="0" fontId="2" fillId="0" borderId="0" xfId="0" applyFont="1" applyFill="1" applyBorder="1" applyAlignment="1">
      <alignment wrapText="1"/>
    </xf>
    <xf numFmtId="0" fontId="2" fillId="0" borderId="0" xfId="0" applyFont="1" applyFill="1" applyBorder="1" applyAlignment="1"/>
    <xf numFmtId="0" fontId="0" fillId="0" borderId="0" xfId="0" applyFont="1" applyFill="1" applyBorder="1"/>
    <xf numFmtId="0" fontId="0" fillId="0" borderId="0" xfId="0" applyFont="1" applyFill="1" applyBorder="1" applyAlignment="1"/>
    <xf numFmtId="0" fontId="5"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168" fontId="60" fillId="0" borderId="0" xfId="0" applyNumberFormat="1" applyFont="1"/>
    <xf numFmtId="0" fontId="86" fillId="0" borderId="0" xfId="0" applyFont="1"/>
    <xf numFmtId="2" fontId="73" fillId="0" borderId="0" xfId="0" applyNumberFormat="1" applyFont="1"/>
    <xf numFmtId="0" fontId="39" fillId="0" borderId="0" xfId="0" applyFont="1" applyFill="1" applyBorder="1"/>
    <xf numFmtId="181" fontId="0" fillId="0" borderId="0" xfId="0" applyNumberFormat="1"/>
    <xf numFmtId="4" fontId="60" fillId="0" borderId="0" xfId="0" applyNumberFormat="1" applyFont="1"/>
    <xf numFmtId="4" fontId="0" fillId="0" borderId="0" xfId="0" applyNumberFormat="1" applyAlignment="1">
      <alignment horizontal="left"/>
    </xf>
    <xf numFmtId="177" fontId="37" fillId="0" borderId="6" xfId="0" applyNumberFormat="1" applyFont="1" applyBorder="1" applyAlignment="1">
      <alignment horizontal="center" vertical="center" wrapText="1"/>
    </xf>
    <xf numFmtId="169" fontId="0" fillId="0" borderId="0" xfId="10" applyNumberFormat="1" applyFont="1" applyAlignment="1">
      <alignment horizontal="center"/>
    </xf>
    <xf numFmtId="0" fontId="77" fillId="0" borderId="0" xfId="0" applyFont="1"/>
    <xf numFmtId="0" fontId="26" fillId="0" borderId="27" xfId="0" applyFont="1" applyBorder="1" applyAlignment="1">
      <alignment horizontal="center" vertical="center" wrapText="1"/>
    </xf>
    <xf numFmtId="183" fontId="73" fillId="0" borderId="0" xfId="0" applyNumberFormat="1" applyFont="1"/>
    <xf numFmtId="9" fontId="20" fillId="0" borderId="22" xfId="10" applyNumberFormat="1" applyFont="1" applyBorder="1" applyAlignment="1">
      <alignment horizontal="center" vertical="center" wrapText="1"/>
    </xf>
    <xf numFmtId="0" fontId="60" fillId="0" borderId="0" xfId="0" applyFont="1" applyAlignment="1">
      <alignment horizontal="right"/>
    </xf>
    <xf numFmtId="0" fontId="1" fillId="0" borderId="20" xfId="0" applyFont="1" applyBorder="1" applyAlignment="1">
      <alignment vertical="center" wrapText="1"/>
    </xf>
    <xf numFmtId="0" fontId="0" fillId="0" borderId="20" xfId="0" applyFont="1" applyBorder="1" applyAlignment="1">
      <alignment vertical="center" wrapText="1"/>
    </xf>
    <xf numFmtId="4" fontId="2" fillId="0" borderId="0" xfId="0" applyNumberFormat="1" applyFont="1" applyAlignment="1">
      <alignment horizontal="left"/>
    </xf>
    <xf numFmtId="3" fontId="89" fillId="0" borderId="0" xfId="0" applyNumberFormat="1" applyFont="1"/>
    <xf numFmtId="175" fontId="89" fillId="0" borderId="0" xfId="11" applyNumberFormat="1" applyFont="1"/>
    <xf numFmtId="175" fontId="89" fillId="0" borderId="0" xfId="0" applyNumberFormat="1" applyFont="1"/>
    <xf numFmtId="9" fontId="89" fillId="0" borderId="0" xfId="10" applyFont="1"/>
    <xf numFmtId="4" fontId="73" fillId="0" borderId="0" xfId="0" applyNumberFormat="1" applyFont="1"/>
    <xf numFmtId="175" fontId="73" fillId="0" borderId="0" xfId="0" applyNumberFormat="1" applyFont="1"/>
    <xf numFmtId="175" fontId="39" fillId="0" borderId="0" xfId="11" applyNumberFormat="1" applyFont="1" applyAlignment="1">
      <alignment horizontal="center" vertical="center"/>
    </xf>
    <xf numFmtId="3" fontId="18" fillId="0" borderId="46" xfId="0" applyNumberFormat="1" applyFont="1" applyBorder="1" applyAlignment="1">
      <alignment horizontal="center" vertical="center" wrapText="1"/>
    </xf>
    <xf numFmtId="0" fontId="18" fillId="0" borderId="46" xfId="0" applyFont="1" applyBorder="1" applyAlignment="1">
      <alignment horizontal="center" vertical="center" wrapText="1"/>
    </xf>
    <xf numFmtId="184" fontId="0" fillId="0" borderId="0" xfId="0" applyNumberFormat="1"/>
    <xf numFmtId="171" fontId="37" fillId="0" borderId="6" xfId="0" applyNumberFormat="1" applyFont="1" applyBorder="1" applyAlignment="1">
      <alignment horizontal="center" vertical="center" wrapText="1"/>
    </xf>
    <xf numFmtId="0" fontId="91" fillId="0" borderId="0" xfId="0" applyFont="1" applyFill="1" applyBorder="1" applyAlignment="1">
      <alignment horizontal="center" vertical="center" wrapText="1"/>
    </xf>
    <xf numFmtId="168" fontId="73" fillId="0" borderId="0" xfId="0" applyNumberFormat="1" applyFont="1" applyFill="1" applyBorder="1"/>
    <xf numFmtId="0" fontId="90" fillId="0" borderId="0" xfId="0" applyFont="1" applyFill="1" applyBorder="1"/>
    <xf numFmtId="174" fontId="73" fillId="0" borderId="0" xfId="0" applyNumberFormat="1" applyFont="1" applyFill="1" applyBorder="1"/>
    <xf numFmtId="9" fontId="73" fillId="0" borderId="0" xfId="10" applyFont="1" applyFill="1" applyBorder="1"/>
    <xf numFmtId="0" fontId="93" fillId="0" borderId="0" xfId="0" applyFont="1" applyFill="1" applyBorder="1"/>
    <xf numFmtId="9" fontId="73" fillId="0" borderId="0" xfId="10" applyNumberFormat="1" applyFont="1" applyFill="1" applyBorder="1"/>
    <xf numFmtId="0" fontId="0" fillId="0" borderId="0" xfId="10" applyNumberFormat="1" applyFont="1"/>
    <xf numFmtId="169" fontId="2" fillId="0" borderId="0" xfId="10" applyNumberFormat="1" applyFont="1"/>
    <xf numFmtId="169" fontId="18" fillId="0" borderId="20" xfId="0" applyNumberFormat="1" applyFont="1" applyBorder="1" applyAlignment="1">
      <alignment horizontal="center" vertical="center" wrapText="1"/>
    </xf>
    <xf numFmtId="0" fontId="94" fillId="0" borderId="3" xfId="0" applyFont="1" applyBorder="1" applyAlignment="1">
      <alignment horizontal="center" vertical="center" wrapText="1"/>
    </xf>
    <xf numFmtId="0" fontId="96" fillId="0" borderId="0" xfId="0" applyFont="1" applyAlignment="1">
      <alignment vertical="center"/>
    </xf>
    <xf numFmtId="0" fontId="33" fillId="0" borderId="0" xfId="0" applyFont="1" applyFill="1" applyBorder="1" applyAlignment="1">
      <alignment horizontal="left" vertical="center"/>
    </xf>
    <xf numFmtId="0" fontId="97" fillId="0" borderId="0" xfId="0" applyFont="1" applyFill="1" applyBorder="1" applyAlignment="1">
      <alignment horizontal="left" vertical="center"/>
    </xf>
    <xf numFmtId="0" fontId="0" fillId="0" borderId="0" xfId="0" applyAlignment="1">
      <alignment vertical="center"/>
    </xf>
    <xf numFmtId="168" fontId="0" fillId="0" borderId="0" xfId="0" applyNumberFormat="1" applyFill="1" applyBorder="1"/>
    <xf numFmtId="3" fontId="134" fillId="0" borderId="0" xfId="0" applyNumberFormat="1" applyFont="1" applyFill="1"/>
    <xf numFmtId="0" fontId="78" fillId="0" borderId="0" xfId="0" applyFont="1" applyFill="1" applyBorder="1"/>
    <xf numFmtId="0" fontId="0" fillId="0" borderId="0" xfId="0"/>
    <xf numFmtId="177" fontId="0" fillId="0" borderId="0" xfId="0" applyNumberFormat="1" applyFill="1" applyBorder="1"/>
    <xf numFmtId="177" fontId="0" fillId="0" borderId="0" xfId="0" applyNumberFormat="1" applyBorder="1"/>
    <xf numFmtId="177" fontId="2" fillId="0" borderId="0" xfId="0" applyNumberFormat="1" applyFont="1" applyBorder="1"/>
    <xf numFmtId="171" fontId="2" fillId="0" borderId="0" xfId="0" applyNumberFormat="1" applyFont="1" applyBorder="1"/>
    <xf numFmtId="186" fontId="0" fillId="0" borderId="0" xfId="11" applyNumberFormat="1" applyFont="1" applyBorder="1"/>
    <xf numFmtId="9" fontId="0" fillId="20" borderId="6" xfId="10" applyNumberFormat="1" applyFont="1" applyFill="1" applyBorder="1"/>
    <xf numFmtId="3" fontId="18" fillId="18" borderId="8" xfId="0" applyNumberFormat="1" applyFont="1" applyFill="1" applyBorder="1" applyAlignment="1">
      <alignment horizontal="center" vertical="center" wrapText="1"/>
    </xf>
    <xf numFmtId="3" fontId="20" fillId="18" borderId="30" xfId="0" applyNumberFormat="1" applyFont="1" applyFill="1" applyBorder="1" applyAlignment="1">
      <alignment horizontal="center" vertical="center" wrapText="1"/>
    </xf>
    <xf numFmtId="3" fontId="18" fillId="25" borderId="29" xfId="0" applyNumberFormat="1" applyFont="1" applyFill="1" applyBorder="1" applyAlignment="1">
      <alignment horizontal="center" vertical="center" wrapText="1"/>
    </xf>
    <xf numFmtId="3" fontId="20" fillId="25" borderId="30" xfId="0" applyNumberFormat="1" applyFont="1" applyFill="1" applyBorder="1" applyAlignment="1">
      <alignment horizontal="center" vertical="center" wrapText="1"/>
    </xf>
    <xf numFmtId="0" fontId="0" fillId="4" borderId="0" xfId="0" applyFill="1" applyAlignment="1">
      <alignment horizontal="center"/>
    </xf>
    <xf numFmtId="0" fontId="0" fillId="0" borderId="0" xfId="0" applyFill="1" applyBorder="1" applyAlignment="1"/>
    <xf numFmtId="177" fontId="36" fillId="0" borderId="6" xfId="0" applyNumberFormat="1" applyFont="1" applyBorder="1" applyAlignment="1">
      <alignment horizontal="center" vertical="center" wrapText="1"/>
    </xf>
    <xf numFmtId="0" fontId="15" fillId="0" borderId="0" xfId="0" applyFont="1" applyFill="1" applyBorder="1" applyAlignment="1">
      <alignment vertical="center" wrapText="1"/>
    </xf>
    <xf numFmtId="3" fontId="18" fillId="0" borderId="0" xfId="0" applyNumberFormat="1" applyFont="1" applyFill="1" applyBorder="1" applyAlignment="1">
      <alignment horizontal="center" vertical="center" wrapText="1"/>
    </xf>
    <xf numFmtId="0" fontId="21" fillId="0" borderId="0" xfId="0" applyFont="1" applyFill="1" applyBorder="1" applyAlignment="1">
      <alignment vertical="center"/>
    </xf>
    <xf numFmtId="3" fontId="20" fillId="0" borderId="0" xfId="0" applyNumberFormat="1" applyFont="1" applyFill="1" applyBorder="1" applyAlignment="1">
      <alignment horizontal="center" vertical="center" wrapText="1"/>
    </xf>
    <xf numFmtId="0" fontId="46" fillId="0" borderId="0" xfId="0" applyFont="1" applyFill="1" applyBorder="1"/>
    <xf numFmtId="0" fontId="135" fillId="0" borderId="0" xfId="0" applyFont="1" applyFill="1" applyBorder="1"/>
    <xf numFmtId="9" fontId="0" fillId="0" borderId="0" xfId="10" applyFont="1" applyBorder="1"/>
    <xf numFmtId="177" fontId="2" fillId="0" borderId="0" xfId="0" applyNumberFormat="1" applyFont="1" applyFill="1" applyBorder="1"/>
    <xf numFmtId="168" fontId="0" fillId="0" borderId="0" xfId="0" applyNumberFormat="1" applyFill="1" applyBorder="1" applyAlignment="1"/>
    <xf numFmtId="171" fontId="2" fillId="0" borderId="0" xfId="0" applyNumberFormat="1" applyFont="1" applyFill="1" applyBorder="1"/>
    <xf numFmtId="3" fontId="73" fillId="0" borderId="0" xfId="0" applyNumberFormat="1" applyFont="1" applyFill="1" applyBorder="1"/>
    <xf numFmtId="183" fontId="73" fillId="0" borderId="0" xfId="0" applyNumberFormat="1" applyFont="1" applyFill="1" applyBorder="1"/>
    <xf numFmtId="0" fontId="92" fillId="0" borderId="0" xfId="0" applyFont="1" applyFill="1" applyBorder="1"/>
    <xf numFmtId="0" fontId="37" fillId="0" borderId="0" xfId="0" applyFont="1" applyFill="1" applyBorder="1" applyAlignment="1">
      <alignment horizontal="center" vertical="center" wrapText="1"/>
    </xf>
    <xf numFmtId="174" fontId="0" fillId="0" borderId="0" xfId="0" applyNumberFormat="1" applyFill="1" applyBorder="1"/>
    <xf numFmtId="4" fontId="0" fillId="0" borderId="0" xfId="0" applyNumberFormat="1" applyFill="1" applyBorder="1"/>
    <xf numFmtId="178" fontId="0" fillId="0" borderId="0" xfId="0" applyNumberFormat="1" applyFill="1" applyBorder="1"/>
    <xf numFmtId="171" fontId="0" fillId="0" borderId="0" xfId="0" applyNumberFormat="1" applyFill="1" applyBorder="1"/>
    <xf numFmtId="9" fontId="0" fillId="0" borderId="0" xfId="10" applyNumberFormat="1" applyFont="1" applyFill="1" applyBorder="1"/>
    <xf numFmtId="0" fontId="78" fillId="0" borderId="0" xfId="0" applyFont="1" applyFill="1"/>
    <xf numFmtId="0" fontId="78" fillId="0" borderId="0" xfId="0" applyFont="1" applyFill="1" applyAlignment="1">
      <alignment horizontal="left"/>
    </xf>
    <xf numFmtId="4" fontId="78" fillId="0" borderId="0" xfId="0" applyNumberFormat="1" applyFont="1" applyFill="1" applyAlignment="1">
      <alignment horizontal="left"/>
    </xf>
    <xf numFmtId="0" fontId="78" fillId="0" borderId="0" xfId="0" applyFont="1" applyFill="1" applyBorder="1" applyAlignment="1">
      <alignment horizontal="left"/>
    </xf>
    <xf numFmtId="4" fontId="78" fillId="0" borderId="0" xfId="0" applyNumberFormat="1" applyFont="1" applyFill="1" applyBorder="1" applyAlignment="1">
      <alignment horizontal="left"/>
    </xf>
    <xf numFmtId="0" fontId="6" fillId="0" borderId="20" xfId="0" applyFont="1" applyBorder="1" applyAlignment="1">
      <alignment vertical="center" wrapText="1"/>
    </xf>
    <xf numFmtId="1" fontId="82" fillId="0" borderId="5" xfId="0" applyNumberFormat="1" applyFont="1" applyFill="1" applyBorder="1" applyAlignment="1">
      <alignment horizontal="right" vertical="center"/>
    </xf>
    <xf numFmtId="1" fontId="82" fillId="0" borderId="6" xfId="0" applyNumberFormat="1" applyFont="1" applyFill="1" applyBorder="1" applyAlignment="1">
      <alignment horizontal="right" vertical="center"/>
    </xf>
    <xf numFmtId="194" fontId="73" fillId="0" borderId="0" xfId="0" applyNumberFormat="1" applyFont="1"/>
    <xf numFmtId="171" fontId="6" fillId="8" borderId="61" xfId="5" applyNumberFormat="1" applyFont="1" applyFill="1" applyBorder="1"/>
    <xf numFmtId="172" fontId="12" fillId="0" borderId="1" xfId="5" applyFont="1" applyBorder="1"/>
    <xf numFmtId="171" fontId="12" fillId="7" borderId="1" xfId="5" applyNumberFormat="1" applyFont="1" applyFill="1" applyBorder="1" applyAlignment="1">
      <alignment horizontal="center"/>
    </xf>
    <xf numFmtId="172" fontId="136" fillId="0" borderId="61" xfId="5" applyFont="1" applyBorder="1"/>
    <xf numFmtId="171" fontId="136" fillId="4" borderId="61" xfId="5" applyNumberFormat="1" applyFont="1" applyFill="1" applyBorder="1" applyAlignment="1">
      <alignment horizontal="center"/>
    </xf>
    <xf numFmtId="3" fontId="39" fillId="0" borderId="0" xfId="0" applyNumberFormat="1" applyFont="1" applyBorder="1"/>
    <xf numFmtId="0" fontId="137" fillId="0" borderId="19" xfId="0" applyFont="1" applyBorder="1"/>
    <xf numFmtId="0" fontId="137" fillId="0" borderId="9" xfId="0" applyFont="1" applyBorder="1"/>
    <xf numFmtId="0" fontId="138" fillId="0" borderId="9" xfId="0" applyFont="1" applyBorder="1"/>
    <xf numFmtId="3" fontId="138" fillId="0" borderId="9" xfId="0" applyNumberFormat="1" applyFont="1" applyFill="1" applyBorder="1"/>
    <xf numFmtId="3" fontId="138" fillId="20" borderId="9" xfId="0" applyNumberFormat="1" applyFont="1" applyFill="1" applyBorder="1"/>
    <xf numFmtId="3" fontId="138" fillId="19" borderId="9" xfId="0" applyNumberFormat="1" applyFont="1" applyFill="1" applyBorder="1"/>
    <xf numFmtId="3" fontId="137" fillId="0" borderId="19" xfId="0" applyNumberFormat="1" applyFont="1" applyBorder="1"/>
    <xf numFmtId="3" fontId="138" fillId="0" borderId="9" xfId="0" applyNumberFormat="1" applyFont="1" applyBorder="1"/>
    <xf numFmtId="3" fontId="138" fillId="16" borderId="6" xfId="0" applyNumberFormat="1" applyFont="1" applyFill="1" applyBorder="1"/>
    <xf numFmtId="0" fontId="2" fillId="0" borderId="105" xfId="0" applyFont="1" applyBorder="1"/>
    <xf numFmtId="176" fontId="0" fillId="0" borderId="105" xfId="0" applyNumberFormat="1" applyBorder="1"/>
    <xf numFmtId="1" fontId="0" fillId="0" borderId="105" xfId="0" applyNumberFormat="1" applyBorder="1"/>
    <xf numFmtId="176" fontId="0" fillId="0" borderId="36" xfId="0" applyNumberFormat="1" applyBorder="1"/>
    <xf numFmtId="173" fontId="0" fillId="0" borderId="105" xfId="0" applyNumberFormat="1" applyBorder="1"/>
    <xf numFmtId="168" fontId="0" fillId="0" borderId="105" xfId="0" applyNumberFormat="1" applyBorder="1"/>
    <xf numFmtId="0" fontId="2" fillId="0" borderId="106" xfId="0" applyFont="1" applyBorder="1"/>
    <xf numFmtId="1" fontId="0" fillId="0" borderId="106" xfId="0" applyNumberFormat="1" applyBorder="1"/>
    <xf numFmtId="173" fontId="0" fillId="0" borderId="106" xfId="0" applyNumberFormat="1" applyBorder="1"/>
    <xf numFmtId="168" fontId="0" fillId="0" borderId="106" xfId="0" applyNumberFormat="1" applyBorder="1"/>
    <xf numFmtId="0" fontId="0" fillId="0" borderId="106" xfId="0" applyBorder="1"/>
    <xf numFmtId="3" fontId="39" fillId="16" borderId="3" xfId="0" applyNumberFormat="1" applyFont="1" applyFill="1" applyBorder="1"/>
    <xf numFmtId="3" fontId="39" fillId="0" borderId="5" xfId="0" applyNumberFormat="1" applyFont="1" applyFill="1" applyBorder="1"/>
    <xf numFmtId="3" fontId="0" fillId="0" borderId="13" xfId="0" applyNumberFormat="1" applyBorder="1"/>
    <xf numFmtId="3" fontId="0" fillId="0" borderId="19" xfId="0" applyNumberFormat="1" applyFill="1" applyBorder="1"/>
    <xf numFmtId="0" fontId="52" fillId="0" borderId="11" xfId="0" applyFont="1" applyBorder="1"/>
    <xf numFmtId="0" fontId="2" fillId="0" borderId="9" xfId="0" applyFont="1" applyBorder="1" applyAlignment="1">
      <alignment horizontal="center"/>
    </xf>
    <xf numFmtId="3" fontId="52" fillId="0" borderId="11" xfId="0" applyNumberFormat="1" applyFont="1" applyFill="1" applyBorder="1"/>
    <xf numFmtId="3" fontId="12" fillId="27" borderId="107" xfId="7" applyNumberFormat="1" applyFont="1" applyFill="1" applyBorder="1" applyAlignment="1">
      <alignment horizontal="center"/>
    </xf>
    <xf numFmtId="0" fontId="0" fillId="0" borderId="9" xfId="0" applyBorder="1"/>
    <xf numFmtId="3" fontId="12" fillId="27" borderId="108" xfId="7" applyNumberFormat="1" applyFont="1" applyFill="1" applyBorder="1" applyAlignment="1">
      <alignment horizontal="center"/>
    </xf>
    <xf numFmtId="0" fontId="52" fillId="0" borderId="13" xfId="0" applyFont="1" applyBorder="1"/>
    <xf numFmtId="0" fontId="2" fillId="0" borderId="19" xfId="0" applyFont="1" applyBorder="1" applyAlignment="1">
      <alignment horizontal="center"/>
    </xf>
    <xf numFmtId="0" fontId="139" fillId="0" borderId="0" xfId="0" applyFont="1"/>
    <xf numFmtId="0" fontId="23" fillId="13" borderId="4"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0" fillId="0" borderId="0" xfId="0" applyAlignment="1"/>
    <xf numFmtId="0" fontId="0" fillId="0" borderId="0" xfId="0" applyAlignment="1">
      <alignment wrapText="1"/>
    </xf>
    <xf numFmtId="0" fontId="0" fillId="0" borderId="0" xfId="0" applyAlignment="1">
      <alignment horizontal="center"/>
    </xf>
    <xf numFmtId="0" fontId="82" fillId="0" borderId="0" xfId="0" applyFont="1" applyFill="1" applyBorder="1" applyAlignment="1">
      <alignment vertical="center"/>
    </xf>
    <xf numFmtId="0" fontId="0" fillId="0" borderId="0" xfId="0" applyAlignment="1">
      <alignment vertical="center"/>
    </xf>
    <xf numFmtId="0" fontId="80" fillId="0" borderId="0" xfId="0" applyFont="1" applyBorder="1" applyAlignment="1">
      <alignment horizontal="center" vertical="center" wrapText="1"/>
    </xf>
    <xf numFmtId="0" fontId="0" fillId="15" borderId="9" xfId="0" applyFill="1" applyBorder="1"/>
    <xf numFmtId="0" fontId="140" fillId="0" borderId="0" xfId="0" applyFont="1" applyBorder="1" applyAlignment="1">
      <alignment horizontal="left" vertical="center" wrapText="1" indent="2"/>
    </xf>
    <xf numFmtId="175" fontId="16" fillId="0" borderId="0" xfId="11" applyNumberFormat="1" applyFont="1" applyBorder="1" applyAlignment="1"/>
    <xf numFmtId="169" fontId="0" fillId="20" borderId="9" xfId="10" applyNumberFormat="1" applyFont="1" applyFill="1" applyBorder="1"/>
    <xf numFmtId="0" fontId="0" fillId="0" borderId="18" xfId="10" applyNumberFormat="1" applyFont="1" applyBorder="1"/>
    <xf numFmtId="9" fontId="0" fillId="0" borderId="15" xfId="10" applyNumberFormat="1" applyFont="1" applyBorder="1"/>
    <xf numFmtId="169" fontId="2" fillId="0" borderId="15" xfId="10" applyNumberFormat="1" applyFont="1" applyBorder="1"/>
    <xf numFmtId="169" fontId="2" fillId="0" borderId="5" xfId="10" applyNumberFormat="1" applyFont="1" applyBorder="1"/>
    <xf numFmtId="2" fontId="26" fillId="10" borderId="6" xfId="0" applyNumberFormat="1" applyFont="1" applyFill="1" applyBorder="1" applyAlignment="1">
      <alignment horizontal="center" vertical="center"/>
    </xf>
    <xf numFmtId="2" fontId="26" fillId="10" borderId="6" xfId="0" applyNumberFormat="1" applyFont="1" applyFill="1" applyBorder="1" applyAlignment="1">
      <alignment horizontal="center" vertical="center" wrapText="1"/>
    </xf>
    <xf numFmtId="2" fontId="26" fillId="0" borderId="6" xfId="0" applyNumberFormat="1" applyFont="1" applyFill="1" applyBorder="1" applyAlignment="1">
      <alignment horizontal="center" vertical="center" wrapText="1"/>
    </xf>
    <xf numFmtId="0" fontId="142" fillId="0" borderId="6" xfId="0" applyFont="1" applyBorder="1" applyAlignment="1">
      <alignment horizontal="left" vertical="center" wrapText="1" indent="2"/>
    </xf>
    <xf numFmtId="2" fontId="25" fillId="0" borderId="0" xfId="9" applyNumberFormat="1" applyAlignment="1">
      <alignment vertical="center"/>
    </xf>
    <xf numFmtId="2" fontId="146" fillId="0" borderId="3" xfId="0" applyNumberFormat="1" applyFont="1" applyBorder="1"/>
    <xf numFmtId="2" fontId="31" fillId="0" borderId="3" xfId="0" applyNumberFormat="1" applyFont="1" applyBorder="1" applyAlignment="1">
      <alignment horizontal="right" vertical="center" wrapText="1"/>
    </xf>
    <xf numFmtId="0" fontId="0" fillId="0" borderId="0" xfId="0" applyFill="1"/>
    <xf numFmtId="9" fontId="95" fillId="0" borderId="0" xfId="10" applyNumberFormat="1" applyFont="1" applyFill="1"/>
    <xf numFmtId="0" fontId="46" fillId="0" borderId="16" xfId="0" applyFont="1" applyBorder="1" applyAlignment="1">
      <alignment horizontal="right"/>
    </xf>
    <xf numFmtId="3" fontId="46" fillId="0" borderId="17" xfId="0" applyNumberFormat="1" applyFont="1" applyFill="1" applyBorder="1"/>
    <xf numFmtId="3" fontId="147" fillId="0" borderId="4" xfId="0" applyNumberFormat="1" applyFont="1" applyFill="1" applyBorder="1"/>
    <xf numFmtId="0" fontId="39" fillId="20" borderId="14" xfId="0" applyFont="1" applyFill="1" applyBorder="1"/>
    <xf numFmtId="3" fontId="39" fillId="20" borderId="2" xfId="0" applyNumberFormat="1" applyFont="1" applyFill="1" applyBorder="1"/>
    <xf numFmtId="3" fontId="138" fillId="20" borderId="6" xfId="0" applyNumberFormat="1" applyFont="1" applyFill="1" applyBorder="1"/>
    <xf numFmtId="3" fontId="46" fillId="0" borderId="3" xfId="0" applyNumberFormat="1" applyFont="1" applyFill="1" applyBorder="1"/>
    <xf numFmtId="3" fontId="39" fillId="16" borderId="5" xfId="0" applyNumberFormat="1" applyFont="1" applyFill="1" applyBorder="1"/>
    <xf numFmtId="3" fontId="39" fillId="20" borderId="5" xfId="0" applyNumberFormat="1" applyFont="1" applyFill="1" applyBorder="1"/>
    <xf numFmtId="168" fontId="148" fillId="0" borderId="16" xfId="0" applyNumberFormat="1" applyFont="1" applyBorder="1"/>
    <xf numFmtId="168" fontId="148" fillId="0" borderId="4" xfId="0" applyNumberFormat="1" applyFont="1" applyBorder="1"/>
    <xf numFmtId="0" fontId="148" fillId="0" borderId="0" xfId="0" applyFont="1"/>
    <xf numFmtId="0" fontId="148" fillId="0" borderId="16" xfId="0" applyFont="1" applyBorder="1"/>
    <xf numFmtId="0" fontId="148" fillId="0" borderId="17" xfId="0" applyFont="1" applyBorder="1"/>
    <xf numFmtId="0" fontId="148" fillId="0" borderId="4" xfId="0" applyFont="1" applyBorder="1"/>
    <xf numFmtId="1" fontId="6" fillId="0" borderId="0" xfId="0" applyNumberFormat="1" applyFont="1"/>
    <xf numFmtId="1" fontId="148" fillId="0" borderId="16" xfId="0" applyNumberFormat="1" applyFont="1" applyBorder="1"/>
    <xf numFmtId="1" fontId="148" fillId="0" borderId="4" xfId="0" applyNumberFormat="1" applyFont="1" applyBorder="1"/>
    <xf numFmtId="0" fontId="12" fillId="0" borderId="0" xfId="0" applyFont="1"/>
    <xf numFmtId="1" fontId="148" fillId="0" borderId="0" xfId="0" applyNumberFormat="1" applyFont="1"/>
    <xf numFmtId="2" fontId="148" fillId="0" borderId="0" xfId="0" applyNumberFormat="1" applyFont="1"/>
    <xf numFmtId="0" fontId="26" fillId="0" borderId="27" xfId="0" applyFont="1" applyBorder="1" applyAlignment="1">
      <alignment horizontal="center" vertical="center" wrapText="1"/>
    </xf>
    <xf numFmtId="0" fontId="82" fillId="0" borderId="6" xfId="0" applyFont="1" applyBorder="1" applyAlignment="1">
      <alignment horizontal="right" vertical="center"/>
    </xf>
    <xf numFmtId="0" fontId="2" fillId="0" borderId="0" xfId="0" applyFont="1" applyBorder="1" applyAlignment="1">
      <alignment vertical="center" wrapText="1"/>
    </xf>
    <xf numFmtId="1" fontId="82" fillId="0" borderId="14" xfId="0" applyNumberFormat="1" applyFont="1" applyBorder="1" applyAlignment="1">
      <alignment horizontal="right" vertical="center"/>
    </xf>
    <xf numFmtId="0" fontId="151" fillId="0" borderId="5" xfId="0" applyFont="1" applyBorder="1" applyAlignment="1">
      <alignment horizontal="justify" vertical="center"/>
    </xf>
    <xf numFmtId="175" fontId="82" fillId="0" borderId="5" xfId="11" quotePrefix="1" applyNumberFormat="1" applyFont="1" applyBorder="1" applyAlignment="1">
      <alignment horizontal="right" vertical="center"/>
    </xf>
    <xf numFmtId="1" fontId="82" fillId="0" borderId="2" xfId="0" applyNumberFormat="1" applyFont="1" applyBorder="1" applyAlignment="1">
      <alignment horizontal="right" vertical="center"/>
    </xf>
    <xf numFmtId="0" fontId="82" fillId="0" borderId="3" xfId="0" applyFont="1" applyBorder="1" applyAlignment="1">
      <alignment vertical="center"/>
    </xf>
    <xf numFmtId="172" fontId="73" fillId="0" borderId="0" xfId="5" applyFont="1" applyBorder="1"/>
    <xf numFmtId="171" fontId="73" fillId="0" borderId="0" xfId="5" applyNumberFormat="1" applyFont="1" applyFill="1" applyBorder="1" applyAlignment="1">
      <alignment horizontal="center"/>
    </xf>
    <xf numFmtId="0" fontId="82" fillId="0" borderId="0" xfId="0" applyFont="1" applyBorder="1" applyAlignment="1">
      <alignment vertical="center"/>
    </xf>
    <xf numFmtId="0" fontId="82" fillId="0" borderId="0" xfId="0" applyFont="1" applyBorder="1" applyAlignment="1">
      <alignment horizontal="right" vertical="center"/>
    </xf>
    <xf numFmtId="1" fontId="82" fillId="18" borderId="5" xfId="0" applyNumberFormat="1" applyFont="1" applyFill="1" applyBorder="1" applyAlignment="1">
      <alignment horizontal="right" vertical="center"/>
    </xf>
    <xf numFmtId="1" fontId="82" fillId="18" borderId="6" xfId="0" applyNumberFormat="1" applyFont="1" applyFill="1" applyBorder="1" applyAlignment="1">
      <alignment horizontal="right" vertical="center"/>
    </xf>
    <xf numFmtId="0" fontId="1" fillId="0" borderId="0" xfId="0" applyFont="1" applyBorder="1" applyAlignment="1">
      <alignment vertical="center" wrapText="1"/>
    </xf>
    <xf numFmtId="0" fontId="1" fillId="0" borderId="0" xfId="0" applyFont="1" applyBorder="1" applyAlignment="1">
      <alignment horizontal="right" vertical="center" wrapText="1"/>
    </xf>
    <xf numFmtId="8" fontId="1" fillId="0" borderId="0" xfId="0" applyNumberFormat="1" applyFont="1" applyBorder="1" applyAlignment="1">
      <alignment vertical="center" wrapText="1"/>
    </xf>
    <xf numFmtId="0" fontId="15" fillId="0" borderId="0" xfId="0" applyFont="1" applyBorder="1" applyAlignment="1">
      <alignment horizontal="right" vertical="center" wrapText="1"/>
    </xf>
    <xf numFmtId="0" fontId="2" fillId="0" borderId="0" xfId="0" applyFont="1" applyBorder="1" applyAlignment="1">
      <alignment horizontal="center" vertical="center"/>
    </xf>
    <xf numFmtId="2" fontId="52" fillId="0" borderId="0" xfId="10" applyNumberFormat="1" applyFont="1" applyFill="1"/>
    <xf numFmtId="0" fontId="5" fillId="10" borderId="3" xfId="0" applyFont="1" applyFill="1" applyBorder="1" applyAlignment="1">
      <alignment vertical="center" wrapText="1"/>
    </xf>
    <xf numFmtId="0" fontId="5" fillId="11" borderId="5" xfId="0" applyFont="1" applyFill="1" applyBorder="1" applyAlignment="1">
      <alignment vertical="center" wrapText="1"/>
    </xf>
    <xf numFmtId="0" fontId="5" fillId="89" borderId="5" xfId="0" applyFont="1" applyFill="1" applyBorder="1" applyAlignment="1">
      <alignment vertical="center" wrapText="1"/>
    </xf>
    <xf numFmtId="0" fontId="5" fillId="90" borderId="5" xfId="0" applyFont="1" applyFill="1" applyBorder="1" applyAlignment="1">
      <alignment vertical="center" wrapText="1"/>
    </xf>
    <xf numFmtId="0" fontId="152" fillId="0" borderId="6" xfId="0" applyFont="1" applyBorder="1" applyAlignment="1">
      <alignment horizontal="left" vertical="center" wrapText="1" indent="2"/>
    </xf>
    <xf numFmtId="0" fontId="0" fillId="0" borderId="11" xfId="10" applyNumberFormat="1" applyFont="1" applyBorder="1"/>
    <xf numFmtId="0" fontId="0" fillId="0" borderId="0" xfId="10" applyNumberFormat="1" applyFont="1" applyBorder="1"/>
    <xf numFmtId="9" fontId="0" fillId="0" borderId="11" xfId="10" applyNumberFormat="1" applyFont="1" applyBorder="1"/>
    <xf numFmtId="9" fontId="0" fillId="0" borderId="0" xfId="10" applyNumberFormat="1" applyFont="1" applyBorder="1"/>
    <xf numFmtId="169" fontId="2" fillId="0" borderId="11" xfId="10" applyNumberFormat="1" applyFont="1" applyBorder="1"/>
    <xf numFmtId="169" fontId="2" fillId="0" borderId="0" xfId="10" applyNumberFormat="1" applyFont="1" applyBorder="1"/>
    <xf numFmtId="169" fontId="2" fillId="0" borderId="14" xfId="10" applyNumberFormat="1" applyFont="1" applyBorder="1"/>
    <xf numFmtId="169" fontId="2" fillId="0" borderId="2" xfId="10" applyNumberFormat="1" applyFont="1" applyBorder="1"/>
    <xf numFmtId="9" fontId="0" fillId="0" borderId="0" xfId="0" applyNumberFormat="1"/>
    <xf numFmtId="0" fontId="26" fillId="0" borderId="0" xfId="0" applyFont="1" applyFill="1" applyBorder="1" applyAlignment="1">
      <alignment vertical="center" wrapText="1"/>
    </xf>
    <xf numFmtId="175" fontId="5" fillId="0" borderId="0" xfId="0" applyNumberFormat="1" applyFont="1" applyFill="1" applyBorder="1" applyAlignment="1">
      <alignment horizontal="center" vertical="center" wrapText="1"/>
    </xf>
    <xf numFmtId="168" fontId="2" fillId="0" borderId="0" xfId="0" applyNumberFormat="1" applyFont="1"/>
    <xf numFmtId="0" fontId="156" fillId="0" borderId="0" xfId="0" applyFont="1"/>
    <xf numFmtId="3" fontId="0" fillId="0" borderId="0" xfId="0" applyNumberFormat="1" applyFill="1"/>
    <xf numFmtId="2" fontId="0" fillId="0" borderId="0" xfId="0" applyNumberFormat="1" applyFill="1"/>
    <xf numFmtId="3" fontId="2" fillId="0" borderId="0" xfId="0" applyNumberFormat="1" applyFont="1" applyFill="1"/>
    <xf numFmtId="9" fontId="0" fillId="0" borderId="0" xfId="10" applyFont="1" applyFill="1"/>
    <xf numFmtId="182" fontId="0" fillId="0" borderId="0" xfId="10" applyNumberFormat="1" applyFont="1" applyFill="1"/>
    <xf numFmtId="9" fontId="2" fillId="0" borderId="0" xfId="10" applyFont="1" applyFill="1"/>
    <xf numFmtId="0" fontId="0" fillId="0" borderId="12" xfId="0" applyBorder="1" applyAlignment="1">
      <alignment horizontal="center"/>
    </xf>
    <xf numFmtId="195" fontId="0" fillId="0" borderId="9" xfId="11" applyNumberFormat="1" applyFont="1" applyFill="1" applyBorder="1"/>
    <xf numFmtId="3" fontId="52" fillId="19" borderId="11" xfId="0" applyNumberFormat="1" applyFont="1" applyFill="1" applyBorder="1"/>
    <xf numFmtId="195" fontId="0" fillId="19" borderId="9" xfId="11" applyNumberFormat="1" applyFont="1" applyFill="1" applyBorder="1"/>
    <xf numFmtId="3" fontId="52" fillId="16" borderId="11" xfId="0" applyNumberFormat="1" applyFont="1" applyFill="1" applyBorder="1"/>
    <xf numFmtId="3" fontId="12" fillId="27" borderId="9" xfId="7" applyNumberFormat="1" applyFont="1" applyFill="1" applyBorder="1" applyAlignment="1">
      <alignment horizontal="center"/>
    </xf>
    <xf numFmtId="3" fontId="0" fillId="0" borderId="14" xfId="0" applyNumberFormat="1" applyBorder="1"/>
    <xf numFmtId="9" fontId="0" fillId="88" borderId="3" xfId="10" applyFont="1" applyFill="1" applyBorder="1"/>
    <xf numFmtId="0" fontId="0" fillId="0" borderId="14" xfId="0" applyBorder="1"/>
    <xf numFmtId="9" fontId="0" fillId="88" borderId="6" xfId="10" applyFont="1" applyFill="1" applyBorder="1"/>
    <xf numFmtId="9" fontId="0" fillId="88" borderId="0" xfId="10" applyFont="1" applyFill="1"/>
    <xf numFmtId="9" fontId="157" fillId="88" borderId="0" xfId="10" applyFont="1" applyFill="1"/>
    <xf numFmtId="9" fontId="138" fillId="88" borderId="0" xfId="10" applyFont="1" applyFill="1"/>
    <xf numFmtId="10" fontId="0" fillId="0" borderId="0" xfId="0" applyNumberFormat="1"/>
    <xf numFmtId="0" fontId="0" fillId="0" borderId="62" xfId="0" applyBorder="1"/>
    <xf numFmtId="0" fontId="0" fillId="0" borderId="105" xfId="0" applyBorder="1"/>
    <xf numFmtId="10" fontId="158" fillId="0" borderId="0" xfId="10" applyNumberFormat="1" applyFont="1" applyBorder="1"/>
    <xf numFmtId="0" fontId="158" fillId="0" borderId="0" xfId="0" applyFont="1" applyBorder="1"/>
    <xf numFmtId="4" fontId="158" fillId="0" borderId="0" xfId="0" applyNumberFormat="1" applyFont="1" applyBorder="1"/>
    <xf numFmtId="3" fontId="158" fillId="0" borderId="0" xfId="0" applyNumberFormat="1" applyFont="1" applyBorder="1"/>
    <xf numFmtId="0" fontId="96" fillId="4" borderId="0" xfId="0" applyFont="1" applyFill="1" applyAlignment="1">
      <alignment vertical="center"/>
    </xf>
    <xf numFmtId="0" fontId="25" fillId="18" borderId="0" xfId="9" applyFill="1"/>
    <xf numFmtId="43" fontId="0" fillId="0" borderId="9" xfId="11" applyNumberFormat="1" applyFont="1" applyBorder="1"/>
    <xf numFmtId="0" fontId="0" fillId="0" borderId="0" xfId="0"/>
    <xf numFmtId="3" fontId="0" fillId="0" borderId="0" xfId="0" applyNumberFormat="1"/>
    <xf numFmtId="10" fontId="6" fillId="0" borderId="0" xfId="0" applyNumberFormat="1" applyFont="1"/>
    <xf numFmtId="169" fontId="0" fillId="88" borderId="3" xfId="10" applyNumberFormat="1" applyFont="1" applyFill="1" applyBorder="1"/>
    <xf numFmtId="196" fontId="0" fillId="0" borderId="0" xfId="10" applyNumberFormat="1" applyFont="1" applyFill="1"/>
    <xf numFmtId="9" fontId="52" fillId="0" borderId="0" xfId="10" applyFont="1" applyFill="1"/>
    <xf numFmtId="9" fontId="0" fillId="20" borderId="9" xfId="10" applyNumberFormat="1" applyFont="1" applyFill="1" applyBorder="1"/>
    <xf numFmtId="3" fontId="52" fillId="20" borderId="11" xfId="0" applyNumberFormat="1" applyFont="1" applyFill="1" applyBorder="1"/>
    <xf numFmtId="3" fontId="52" fillId="4" borderId="11" xfId="0" applyNumberFormat="1" applyFont="1" applyFill="1" applyBorder="1"/>
    <xf numFmtId="195" fontId="0" fillId="4" borderId="9" xfId="11" applyNumberFormat="1" applyFont="1" applyFill="1" applyBorder="1"/>
    <xf numFmtId="3" fontId="52" fillId="16" borderId="14" xfId="0" applyNumberFormat="1" applyFont="1" applyFill="1" applyBorder="1"/>
    <xf numFmtId="3" fontId="52" fillId="92" borderId="11" xfId="0" applyNumberFormat="1" applyFont="1" applyFill="1" applyBorder="1"/>
    <xf numFmtId="195" fontId="0" fillId="92" borderId="9" xfId="11" applyNumberFormat="1" applyFont="1" applyFill="1" applyBorder="1"/>
    <xf numFmtId="0" fontId="0" fillId="4" borderId="0" xfId="0" applyFill="1" applyAlignment="1">
      <alignment horizontal="center"/>
    </xf>
    <xf numFmtId="0" fontId="51" fillId="17" borderId="18" xfId="0" applyFont="1" applyFill="1" applyBorder="1" applyAlignment="1">
      <alignment horizontal="center" vertical="center" wrapText="1"/>
    </xf>
    <xf numFmtId="0" fontId="0" fillId="17" borderId="15" xfId="0" applyFill="1" applyBorder="1" applyAlignment="1">
      <alignment horizontal="center" vertical="center" wrapText="1"/>
    </xf>
    <xf numFmtId="0" fontId="0" fillId="17" borderId="5" xfId="0" applyFill="1" applyBorder="1" applyAlignment="1">
      <alignment horizontal="center" vertical="center" wrapText="1"/>
    </xf>
    <xf numFmtId="0" fontId="35" fillId="0" borderId="18" xfId="0" applyFont="1" applyBorder="1" applyAlignment="1">
      <alignment vertical="center" wrapText="1"/>
    </xf>
    <xf numFmtId="0" fontId="0" fillId="0" borderId="109" xfId="0" applyBorder="1" applyAlignment="1">
      <alignment vertical="center" wrapText="1"/>
    </xf>
    <xf numFmtId="0" fontId="4" fillId="0" borderId="18" xfId="0" applyFont="1" applyBorder="1" applyAlignment="1">
      <alignment vertical="center" wrapText="1"/>
    </xf>
    <xf numFmtId="0" fontId="4" fillId="0" borderId="15" xfId="0" applyFont="1" applyBorder="1" applyAlignment="1">
      <alignment vertical="center" wrapText="1"/>
    </xf>
    <xf numFmtId="0" fontId="4" fillId="0" borderId="5" xfId="0" applyFont="1" applyBorder="1" applyAlignment="1">
      <alignment vertical="center" wrapText="1"/>
    </xf>
    <xf numFmtId="0" fontId="26" fillId="0" borderId="18" xfId="0" applyFont="1" applyBorder="1" applyAlignment="1">
      <alignment vertical="center" wrapText="1"/>
    </xf>
    <xf numFmtId="0" fontId="26" fillId="0" borderId="15" xfId="0" applyFont="1" applyBorder="1" applyAlignment="1">
      <alignment vertical="center" wrapText="1"/>
    </xf>
    <xf numFmtId="0" fontId="26" fillId="0" borderId="5" xfId="0" applyFont="1" applyBorder="1" applyAlignment="1">
      <alignment vertical="center" wrapText="1"/>
    </xf>
    <xf numFmtId="0" fontId="48" fillId="0" borderId="18" xfId="0" applyFont="1" applyBorder="1" applyAlignment="1">
      <alignment wrapText="1"/>
    </xf>
    <xf numFmtId="0" fontId="0" fillId="0" borderId="15" xfId="0" applyBorder="1" applyAlignment="1">
      <alignment wrapText="1"/>
    </xf>
    <xf numFmtId="0" fontId="35" fillId="0" borderId="15" xfId="0" applyFont="1" applyBorder="1" applyAlignment="1">
      <alignment vertical="center" wrapText="1"/>
    </xf>
    <xf numFmtId="0" fontId="0" fillId="0" borderId="15" xfId="0" applyBorder="1" applyAlignment="1">
      <alignment vertical="center" wrapText="1"/>
    </xf>
    <xf numFmtId="0" fontId="0" fillId="0" borderId="5" xfId="0" applyBorder="1" applyAlignment="1">
      <alignment wrapText="1"/>
    </xf>
    <xf numFmtId="0" fontId="23" fillId="0" borderId="18" xfId="0" applyFont="1" applyBorder="1" applyAlignment="1">
      <alignment horizontal="center" vertical="center" wrapText="1"/>
    </xf>
    <xf numFmtId="0" fontId="0" fillId="0" borderId="15" xfId="0" applyFont="1" applyBorder="1" applyAlignment="1"/>
    <xf numFmtId="0" fontId="0" fillId="0" borderId="5" xfId="0" applyFont="1" applyBorder="1" applyAlignment="1"/>
    <xf numFmtId="0" fontId="2" fillId="0" borderId="18" xfId="0" applyFont="1" applyBorder="1" applyAlignment="1">
      <alignment vertical="center" wrapText="1"/>
    </xf>
    <xf numFmtId="0" fontId="0" fillId="0" borderId="15" xfId="0" applyFont="1" applyBorder="1" applyAlignment="1">
      <alignment wrapText="1"/>
    </xf>
    <xf numFmtId="0" fontId="0" fillId="0" borderId="5" xfId="0" applyFont="1" applyBorder="1" applyAlignment="1">
      <alignment wrapText="1"/>
    </xf>
    <xf numFmtId="0" fontId="0" fillId="0" borderId="15" xfId="0" applyFont="1" applyBorder="1" applyAlignment="1">
      <alignment vertical="center" wrapText="1"/>
    </xf>
    <xf numFmtId="0" fontId="0" fillId="0" borderId="5" xfId="0" applyBorder="1" applyAlignment="1">
      <alignment vertical="center" wrapText="1"/>
    </xf>
    <xf numFmtId="0" fontId="2" fillId="0" borderId="15" xfId="0" applyFont="1" applyBorder="1" applyAlignment="1">
      <alignment vertical="center" wrapText="1"/>
    </xf>
    <xf numFmtId="0" fontId="0" fillId="0" borderId="5" xfId="0" applyFont="1" applyBorder="1" applyAlignment="1">
      <alignment vertical="center" wrapText="1"/>
    </xf>
    <xf numFmtId="0" fontId="55" fillId="9" borderId="16" xfId="0" applyFont="1" applyFill="1" applyBorder="1" applyAlignment="1">
      <alignment vertical="center" wrapText="1"/>
    </xf>
    <xf numFmtId="0" fontId="55" fillId="9" borderId="17" xfId="0" applyFont="1" applyFill="1" applyBorder="1" applyAlignment="1">
      <alignment vertical="center" wrapText="1"/>
    </xf>
    <xf numFmtId="0" fontId="55" fillId="9" borderId="4" xfId="0" applyFont="1" applyFill="1" applyBorder="1" applyAlignment="1">
      <alignment vertical="center" wrapText="1"/>
    </xf>
    <xf numFmtId="0" fontId="2" fillId="0" borderId="5" xfId="0" applyFont="1" applyBorder="1" applyAlignment="1">
      <alignment vertical="center" wrapText="1"/>
    </xf>
    <xf numFmtId="0" fontId="2" fillId="15" borderId="12" xfId="0" applyFont="1" applyFill="1" applyBorder="1" applyAlignment="1">
      <alignment horizontal="center" vertical="center" wrapText="1"/>
    </xf>
    <xf numFmtId="0" fontId="0" fillId="0" borderId="0" xfId="0" applyBorder="1" applyAlignment="1"/>
    <xf numFmtId="0" fontId="0" fillId="0" borderId="2" xfId="0" applyBorder="1" applyAlignment="1"/>
    <xf numFmtId="0" fontId="2" fillId="91" borderId="18" xfId="0" applyFont="1" applyFill="1" applyBorder="1" applyAlignment="1">
      <alignment horizontal="center" vertical="center" wrapText="1"/>
    </xf>
    <xf numFmtId="0" fontId="0" fillId="91" borderId="5" xfId="0" applyFill="1" applyBorder="1" applyAlignment="1">
      <alignment vertical="center"/>
    </xf>
    <xf numFmtId="0" fontId="4" fillId="10" borderId="18" xfId="0" applyFont="1" applyFill="1" applyBorder="1" applyAlignment="1">
      <alignment horizontal="center" vertical="center" wrapText="1"/>
    </xf>
    <xf numFmtId="0" fontId="0" fillId="0" borderId="5" xfId="0" applyFont="1" applyBorder="1" applyAlignment="1">
      <alignment horizontal="center" vertical="center" wrapText="1"/>
    </xf>
    <xf numFmtId="0" fontId="4" fillId="11" borderId="18"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13" borderId="16" xfId="0" applyFont="1" applyFill="1" applyBorder="1" applyAlignment="1">
      <alignment horizontal="center" vertical="center" wrapText="1"/>
    </xf>
    <xf numFmtId="0" fontId="23" fillId="13" borderId="4" xfId="0" applyFont="1" applyFill="1" applyBorder="1" applyAlignment="1">
      <alignment horizontal="center" vertical="center" wrapText="1"/>
    </xf>
    <xf numFmtId="0" fontId="23" fillId="0" borderId="0" xfId="0" applyFont="1" applyFill="1" applyBorder="1" applyAlignment="1">
      <alignment horizontal="center" vertical="center"/>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4" xfId="0" applyFont="1" applyBorder="1" applyAlignment="1">
      <alignment vertical="center" wrapText="1"/>
    </xf>
    <xf numFmtId="0" fontId="20" fillId="0" borderId="0" xfId="0" applyFont="1" applyFill="1" applyBorder="1" applyAlignment="1">
      <alignment horizontal="center" vertical="center" wrapText="1"/>
    </xf>
    <xf numFmtId="0" fontId="23" fillId="0" borderId="0" xfId="0" applyFont="1" applyFill="1" applyBorder="1" applyAlignment="1">
      <alignment vertical="center"/>
    </xf>
    <xf numFmtId="0" fontId="5" fillId="0" borderId="18" xfId="0" quotePrefix="1" applyFont="1"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5" fillId="0" borderId="18" xfId="0" quotePrefix="1" applyNumberFormat="1" applyFont="1" applyBorder="1" applyAlignment="1">
      <alignment horizontal="center" vertical="center" wrapText="1"/>
    </xf>
    <xf numFmtId="0" fontId="0" fillId="0" borderId="15" xfId="0" applyNumberFormat="1" applyBorder="1" applyAlignment="1">
      <alignment horizontal="center" vertical="center" wrapText="1"/>
    </xf>
    <xf numFmtId="0" fontId="0" fillId="0" borderId="5" xfId="0" applyNumberFormat="1" applyBorder="1" applyAlignment="1">
      <alignment horizontal="center" vertical="center" wrapText="1"/>
    </xf>
    <xf numFmtId="0" fontId="23" fillId="12" borderId="18" xfId="0" applyFont="1" applyFill="1" applyBorder="1" applyAlignment="1">
      <alignment vertical="center"/>
    </xf>
    <xf numFmtId="0" fontId="23" fillId="12" borderId="5" xfId="0" applyFont="1" applyFill="1" applyBorder="1" applyAlignment="1">
      <alignment vertical="center"/>
    </xf>
    <xf numFmtId="0" fontId="23" fillId="12" borderId="15" xfId="0" applyFont="1" applyFill="1" applyBorder="1" applyAlignment="1">
      <alignment horizontal="center" vertical="center"/>
    </xf>
    <xf numFmtId="0" fontId="23" fillId="12" borderId="5" xfId="0" applyFont="1" applyFill="1" applyBorder="1" applyAlignment="1">
      <alignment horizontal="center" vertical="center"/>
    </xf>
    <xf numFmtId="0" fontId="23" fillId="12" borderId="13" xfId="0" applyFont="1" applyFill="1" applyBorder="1" applyAlignment="1">
      <alignment horizontal="center" vertical="center" wrapText="1"/>
    </xf>
    <xf numFmtId="0" fontId="23" fillId="12" borderId="12" xfId="0" applyFont="1" applyFill="1" applyBorder="1" applyAlignment="1">
      <alignment horizontal="center" vertical="center" wrapText="1"/>
    </xf>
    <xf numFmtId="0" fontId="0" fillId="0" borderId="12" xfId="0" applyBorder="1" applyAlignment="1">
      <alignment wrapText="1"/>
    </xf>
    <xf numFmtId="0" fontId="0" fillId="0" borderId="19" xfId="0" applyBorder="1" applyAlignment="1">
      <alignment wrapText="1"/>
    </xf>
    <xf numFmtId="0" fontId="23" fillId="12" borderId="14" xfId="0" applyFont="1" applyFill="1" applyBorder="1" applyAlignment="1">
      <alignment horizontal="center" vertical="center" wrapText="1"/>
    </xf>
    <xf numFmtId="0" fontId="23" fillId="12" borderId="2" xfId="0" applyFont="1" applyFill="1" applyBorder="1" applyAlignment="1">
      <alignment horizontal="center" vertical="center" wrapText="1"/>
    </xf>
    <xf numFmtId="0" fontId="0" fillId="0" borderId="2" xfId="0" applyBorder="1" applyAlignment="1">
      <alignment wrapText="1"/>
    </xf>
    <xf numFmtId="0" fontId="0" fillId="0" borderId="6" xfId="0" applyBorder="1" applyAlignment="1">
      <alignment wrapText="1"/>
    </xf>
    <xf numFmtId="0" fontId="76" fillId="22" borderId="17" xfId="0" applyFont="1" applyFill="1" applyBorder="1" applyAlignment="1">
      <alignment horizontal="left" vertical="center"/>
    </xf>
    <xf numFmtId="0" fontId="76" fillId="22" borderId="42" xfId="0" applyFont="1" applyFill="1" applyBorder="1" applyAlignment="1">
      <alignment horizontal="left" vertical="center"/>
    </xf>
    <xf numFmtId="0" fontId="76" fillId="22" borderId="12" xfId="0" applyFont="1" applyFill="1" applyBorder="1" applyAlignment="1">
      <alignment horizontal="left" vertical="center"/>
    </xf>
    <xf numFmtId="0" fontId="76" fillId="22" borderId="43" xfId="0" applyFont="1" applyFill="1" applyBorder="1" applyAlignment="1">
      <alignment horizontal="lef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horizontal="right" vertical="center" wrapText="1"/>
    </xf>
    <xf numFmtId="0" fontId="37" fillId="0" borderId="19" xfId="0" applyFont="1" applyBorder="1" applyAlignment="1">
      <alignment vertical="center" wrapText="1"/>
    </xf>
    <xf numFmtId="0" fontId="0" fillId="0" borderId="9" xfId="0" applyBorder="1" applyAlignment="1">
      <alignment vertical="center" wrapText="1"/>
    </xf>
    <xf numFmtId="0" fontId="36" fillId="0" borderId="18" xfId="0" applyFont="1" applyBorder="1" applyAlignment="1">
      <alignment horizontal="center" vertical="center" wrapText="1"/>
    </xf>
    <xf numFmtId="0" fontId="36" fillId="0" borderId="5" xfId="0" applyFont="1" applyBorder="1" applyAlignment="1">
      <alignment horizontal="center" vertical="center" wrapText="1"/>
    </xf>
    <xf numFmtId="2" fontId="36" fillId="0" borderId="18" xfId="0" applyNumberFormat="1" applyFont="1" applyBorder="1" applyAlignment="1">
      <alignment horizontal="center" vertical="center" wrapText="1"/>
    </xf>
    <xf numFmtId="2" fontId="36" fillId="0" borderId="5" xfId="0" applyNumberFormat="1" applyFont="1" applyBorder="1" applyAlignment="1">
      <alignment horizontal="center" vertical="center" wrapText="1"/>
    </xf>
    <xf numFmtId="0" fontId="2" fillId="0" borderId="9" xfId="0" applyFont="1" applyBorder="1" applyAlignment="1">
      <alignment vertical="center" wrapText="1"/>
    </xf>
    <xf numFmtId="4" fontId="36" fillId="0" borderId="18" xfId="0" applyNumberFormat="1" applyFont="1" applyBorder="1" applyAlignment="1">
      <alignment horizontal="center" vertical="center" wrapText="1"/>
    </xf>
    <xf numFmtId="4" fontId="36" fillId="0" borderId="5" xfId="0" applyNumberFormat="1" applyFont="1" applyBorder="1" applyAlignment="1">
      <alignment horizontal="center" vertical="center" wrapText="1"/>
    </xf>
    <xf numFmtId="177" fontId="39" fillId="0" borderId="0" xfId="0" applyNumberFormat="1" applyFont="1" applyFill="1" applyBorder="1" applyAlignment="1">
      <alignment wrapText="1"/>
    </xf>
    <xf numFmtId="0" fontId="39" fillId="0" borderId="0" xfId="0" applyFont="1" applyFill="1" applyBorder="1" applyAlignment="1">
      <alignment wrapText="1"/>
    </xf>
    <xf numFmtId="0" fontId="2" fillId="0" borderId="0" xfId="0" applyFont="1" applyFill="1" applyBorder="1" applyAlignment="1">
      <alignment vertical="top" wrapText="1"/>
    </xf>
    <xf numFmtId="0" fontId="0" fillId="0" borderId="0" xfId="0" applyFill="1" applyBorder="1" applyAlignment="1">
      <alignment wrapText="1"/>
    </xf>
    <xf numFmtId="0" fontId="0" fillId="0" borderId="0" xfId="0" applyFill="1" applyBorder="1" applyAlignment="1"/>
    <xf numFmtId="0" fontId="2" fillId="0" borderId="0" xfId="0" applyFont="1" applyFill="1" applyBorder="1" applyAlignment="1">
      <alignment wrapText="1"/>
    </xf>
    <xf numFmtId="0" fontId="5"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2" fillId="0" borderId="0" xfId="0" applyFont="1" applyFill="1" applyBorder="1" applyAlignment="1">
      <alignment vertical="center" wrapText="1"/>
    </xf>
    <xf numFmtId="1" fontId="82" fillId="0" borderId="0" xfId="0" applyNumberFormat="1" applyFont="1" applyFill="1" applyBorder="1" applyAlignment="1">
      <alignment horizontal="right" vertical="center"/>
    </xf>
    <xf numFmtId="0" fontId="0" fillId="0" borderId="0" xfId="0" applyFill="1" applyBorder="1" applyAlignment="1">
      <alignment horizontal="right" vertical="center"/>
    </xf>
    <xf numFmtId="0" fontId="82" fillId="0" borderId="0" xfId="0" applyFont="1" applyFill="1" applyBorder="1" applyAlignment="1">
      <alignment vertical="center"/>
    </xf>
    <xf numFmtId="0" fontId="0" fillId="0" borderId="0" xfId="0" applyFill="1" applyBorder="1" applyAlignment="1">
      <alignment vertical="center"/>
    </xf>
    <xf numFmtId="0" fontId="4" fillId="0" borderId="0" xfId="0" applyFont="1" applyFill="1" applyBorder="1" applyAlignment="1">
      <alignment vertical="center" wrapText="1"/>
    </xf>
    <xf numFmtId="0" fontId="20" fillId="0" borderId="0" xfId="0" applyFont="1" applyFill="1" applyBorder="1" applyAlignment="1">
      <alignment vertical="center" wrapText="1"/>
    </xf>
    <xf numFmtId="0" fontId="1" fillId="0" borderId="0" xfId="0" applyFont="1" applyFill="1" applyBorder="1" applyAlignment="1">
      <alignment vertical="center" wrapText="1"/>
    </xf>
    <xf numFmtId="0" fontId="33" fillId="19" borderId="24" xfId="0" applyFont="1" applyFill="1" applyBorder="1" applyAlignment="1">
      <alignment horizontal="center" vertical="center" wrapText="1"/>
    </xf>
    <xf numFmtId="0" fontId="33" fillId="19" borderId="25" xfId="0" applyFont="1" applyFill="1" applyBorder="1" applyAlignment="1">
      <alignment horizontal="center" vertical="center" wrapText="1"/>
    </xf>
    <xf numFmtId="0" fontId="33" fillId="0" borderId="24" xfId="0" applyFont="1" applyBorder="1" applyAlignment="1">
      <alignment horizontal="center" vertical="center" wrapText="1"/>
    </xf>
    <xf numFmtId="0" fontId="33" fillId="0" borderId="25"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8" xfId="0" applyFont="1" applyBorder="1" applyAlignment="1">
      <alignment horizontal="center" vertical="center" wrapText="1"/>
    </xf>
    <xf numFmtId="0" fontId="26" fillId="20" borderId="27" xfId="0" applyFont="1" applyFill="1" applyBorder="1" applyAlignment="1">
      <alignment horizontal="center" vertical="center" wrapText="1"/>
    </xf>
    <xf numFmtId="0" fontId="26" fillId="20" borderId="28" xfId="0" applyFont="1" applyFill="1" applyBorder="1" applyAlignment="1">
      <alignment horizontal="center" vertical="center" wrapText="1"/>
    </xf>
    <xf numFmtId="0" fontId="33" fillId="20" borderId="24" xfId="0" applyFont="1" applyFill="1" applyBorder="1" applyAlignment="1">
      <alignment horizontal="center" vertical="center" wrapText="1"/>
    </xf>
    <xf numFmtId="0" fontId="33" fillId="20" borderId="25" xfId="0" applyFont="1" applyFill="1" applyBorder="1" applyAlignment="1">
      <alignment horizontal="center" vertical="center" wrapText="1"/>
    </xf>
    <xf numFmtId="0" fontId="26" fillId="19" borderId="27" xfId="0" applyFont="1" applyFill="1" applyBorder="1" applyAlignment="1">
      <alignment horizontal="center" vertical="center" wrapText="1"/>
    </xf>
    <xf numFmtId="0" fontId="26" fillId="19" borderId="28" xfId="0" applyFont="1" applyFill="1" applyBorder="1" applyAlignment="1">
      <alignment horizontal="center" vertical="center" wrapText="1"/>
    </xf>
    <xf numFmtId="0" fontId="0" fillId="0" borderId="0" xfId="0" applyAlignment="1">
      <alignment vertical="center"/>
    </xf>
    <xf numFmtId="0" fontId="2" fillId="0" borderId="0" xfId="0" applyFont="1" applyAlignment="1">
      <alignment vertical="center" wrapText="1"/>
    </xf>
    <xf numFmtId="0" fontId="0" fillId="0" borderId="0" xfId="0" applyAlignment="1">
      <alignment wrapText="1"/>
    </xf>
    <xf numFmtId="0" fontId="2" fillId="0" borderId="0" xfId="0" applyFont="1" applyAlignment="1">
      <alignment vertical="top" wrapText="1"/>
    </xf>
    <xf numFmtId="0" fontId="0" fillId="0" borderId="0" xfId="0" applyAlignment="1"/>
    <xf numFmtId="0" fontId="5" fillId="0" borderId="0" xfId="0" applyFont="1" applyAlignment="1">
      <alignment horizontal="left" vertical="top" wrapText="1"/>
    </xf>
    <xf numFmtId="0" fontId="0" fillId="0" borderId="0" xfId="0" applyFont="1" applyAlignment="1">
      <alignment horizontal="left" vertical="top" wrapText="1"/>
    </xf>
    <xf numFmtId="177" fontId="39" fillId="0" borderId="0" xfId="0" applyNumberFormat="1" applyFont="1" applyBorder="1" applyAlignment="1">
      <alignment wrapText="1"/>
    </xf>
    <xf numFmtId="0" fontId="39" fillId="0" borderId="0" xfId="0" applyFont="1" applyBorder="1" applyAlignment="1">
      <alignment wrapText="1"/>
    </xf>
    <xf numFmtId="0" fontId="80" fillId="0" borderId="0" xfId="0" applyFont="1" applyBorder="1" applyAlignment="1">
      <alignment horizontal="center" vertical="center" wrapText="1"/>
    </xf>
    <xf numFmtId="0" fontId="2" fillId="0" borderId="0" xfId="0" applyFont="1" applyAlignment="1">
      <alignment wrapText="1"/>
    </xf>
    <xf numFmtId="0" fontId="150" fillId="0" borderId="0" xfId="0" applyFont="1" applyAlignment="1">
      <alignment wrapText="1"/>
    </xf>
    <xf numFmtId="0" fontId="0" fillId="0" borderId="13" xfId="0" applyBorder="1" applyAlignment="1">
      <alignment vertical="center" wrapText="1"/>
    </xf>
    <xf numFmtId="0" fontId="0" fillId="0" borderId="12" xfId="0" applyBorder="1" applyAlignment="1">
      <alignment vertical="center" wrapText="1"/>
    </xf>
    <xf numFmtId="0" fontId="0" fillId="0" borderId="19" xfId="0"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4" xfId="0"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24" fillId="0" borderId="0" xfId="0" applyFont="1" applyAlignment="1">
      <alignment horizontal="center" wrapText="1"/>
    </xf>
    <xf numFmtId="0" fontId="0" fillId="0" borderId="0" xfId="0" applyFont="1" applyAlignment="1">
      <alignment wrapText="1"/>
    </xf>
    <xf numFmtId="0" fontId="0" fillId="0" borderId="0" xfId="0" applyAlignment="1">
      <alignment horizontal="center"/>
    </xf>
    <xf numFmtId="0" fontId="0" fillId="0" borderId="0" xfId="0" applyAlignment="1">
      <alignment horizontal="center" wrapText="1"/>
    </xf>
    <xf numFmtId="0" fontId="0" fillId="0" borderId="13"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4" fillId="12" borderId="18" xfId="0" applyFont="1" applyFill="1" applyBorder="1" applyAlignment="1">
      <alignment vertical="center" wrapText="1"/>
    </xf>
    <xf numFmtId="0" fontId="4" fillId="12" borderId="15" xfId="0" applyFont="1" applyFill="1" applyBorder="1" applyAlignment="1">
      <alignment vertical="center" wrapText="1"/>
    </xf>
    <xf numFmtId="0" fontId="20" fillId="12" borderId="18" xfId="0" applyFont="1" applyFill="1" applyBorder="1" applyAlignment="1">
      <alignment horizontal="center" vertical="center" wrapText="1"/>
    </xf>
    <xf numFmtId="0" fontId="20" fillId="12" borderId="15" xfId="0" applyFont="1" applyFill="1" applyBorder="1" applyAlignment="1">
      <alignment horizontal="center" vertical="center" wrapText="1"/>
    </xf>
    <xf numFmtId="0" fontId="0" fillId="0" borderId="13" xfId="0" applyBorder="1" applyAlignment="1">
      <alignment horizontal="center" wrapText="1"/>
    </xf>
    <xf numFmtId="0" fontId="0" fillId="0" borderId="12" xfId="0" applyBorder="1" applyAlignment="1">
      <alignment horizontal="center" wrapText="1"/>
    </xf>
    <xf numFmtId="0" fontId="0" fillId="0" borderId="19" xfId="0" applyBorder="1" applyAlignment="1">
      <alignment horizontal="center" wrapText="1"/>
    </xf>
    <xf numFmtId="0" fontId="0" fillId="0" borderId="13" xfId="0" applyFont="1" applyBorder="1" applyAlignment="1">
      <alignment wrapText="1"/>
    </xf>
    <xf numFmtId="0" fontId="0" fillId="0" borderId="12" xfId="0" applyFont="1" applyBorder="1" applyAlignment="1">
      <alignment wrapText="1"/>
    </xf>
    <xf numFmtId="0" fontId="0" fillId="0" borderId="19" xfId="0" applyFont="1" applyBorder="1" applyAlignment="1">
      <alignment wrapText="1"/>
    </xf>
    <xf numFmtId="0" fontId="0" fillId="0" borderId="14" xfId="0" applyFont="1" applyBorder="1" applyAlignment="1">
      <alignment wrapText="1"/>
    </xf>
    <xf numFmtId="0" fontId="0" fillId="0" borderId="2" xfId="0" applyFont="1" applyBorder="1" applyAlignment="1">
      <alignment wrapText="1"/>
    </xf>
    <xf numFmtId="0" fontId="0" fillId="0" borderId="6" xfId="0" applyFont="1" applyBorder="1" applyAlignment="1">
      <alignment wrapText="1"/>
    </xf>
    <xf numFmtId="0" fontId="31" fillId="0" borderId="10" xfId="0" applyFont="1" applyBorder="1" applyAlignment="1">
      <alignment horizontal="right" vertical="center" wrapText="1"/>
    </xf>
    <xf numFmtId="0" fontId="31" fillId="0" borderId="34" xfId="0" applyFont="1" applyBorder="1" applyAlignment="1">
      <alignment horizontal="right" vertical="center" wrapText="1"/>
    </xf>
    <xf numFmtId="2" fontId="31" fillId="0" borderId="32" xfId="0" applyNumberFormat="1" applyFont="1" applyBorder="1" applyAlignment="1">
      <alignment horizontal="right" vertical="center" wrapText="1"/>
    </xf>
    <xf numFmtId="2" fontId="31" fillId="0" borderId="33" xfId="0" applyNumberFormat="1" applyFont="1" applyBorder="1" applyAlignment="1">
      <alignment horizontal="right" vertical="center" wrapText="1"/>
    </xf>
    <xf numFmtId="0" fontId="31" fillId="0" borderId="2" xfId="0" applyFont="1" applyBorder="1" applyAlignment="1">
      <alignment horizontal="right" vertical="center" wrapText="1"/>
    </xf>
    <xf numFmtId="0" fontId="31" fillId="0" borderId="16" xfId="0" applyFont="1" applyBorder="1" applyAlignment="1">
      <alignment horizontal="right" vertical="center" wrapText="1"/>
    </xf>
    <xf numFmtId="0" fontId="31" fillId="0" borderId="4" xfId="0" applyFont="1" applyBorder="1" applyAlignment="1">
      <alignment horizontal="right" vertical="center" wrapText="1"/>
    </xf>
    <xf numFmtId="2" fontId="31" fillId="0" borderId="11" xfId="0" applyNumberFormat="1" applyFont="1" applyBorder="1" applyAlignment="1">
      <alignment horizontal="right" vertical="center" wrapText="1"/>
    </xf>
    <xf numFmtId="0" fontId="31" fillId="0" borderId="9" xfId="0" applyFont="1" applyBorder="1" applyAlignment="1">
      <alignment horizontal="right" vertical="center" wrapText="1"/>
    </xf>
    <xf numFmtId="0" fontId="37" fillId="0" borderId="0" xfId="0" applyFont="1" applyFill="1" applyBorder="1" applyAlignment="1">
      <alignment horizontal="right" vertical="center" wrapText="1"/>
    </xf>
    <xf numFmtId="0" fontId="37" fillId="0" borderId="0" xfId="0" applyFont="1" applyFill="1" applyBorder="1" applyAlignment="1">
      <alignment horizontal="right" vertical="center"/>
    </xf>
    <xf numFmtId="3" fontId="37" fillId="0" borderId="0" xfId="0" applyNumberFormat="1" applyFont="1" applyFill="1" applyBorder="1" applyAlignment="1">
      <alignment horizontal="right" vertical="center" wrapText="1"/>
    </xf>
    <xf numFmtId="3" fontId="37" fillId="0" borderId="0" xfId="0" applyNumberFormat="1" applyFont="1" applyFill="1" applyBorder="1" applyAlignment="1">
      <alignment horizontal="right" vertical="center"/>
    </xf>
  </cellXfs>
  <cellStyles count="2734">
    <cellStyle name="%" xfId="4" xr:uid="{00000000-0005-0000-0000-000000000000}"/>
    <cellStyle name="% 10" xfId="42" xr:uid="{00000000-0005-0000-0000-000001000000}"/>
    <cellStyle name="% 10 2 3" xfId="5" xr:uid="{00000000-0005-0000-0000-000002000000}"/>
    <cellStyle name="% 2" xfId="43" xr:uid="{00000000-0005-0000-0000-000003000000}"/>
    <cellStyle name="% 2 2" xfId="44" xr:uid="{00000000-0005-0000-0000-000004000000}"/>
    <cellStyle name="% 2 2 2" xfId="45" xr:uid="{00000000-0005-0000-0000-000005000000}"/>
    <cellStyle name="% 3" xfId="46" xr:uid="{00000000-0005-0000-0000-000006000000}"/>
    <cellStyle name="% 4" xfId="47" xr:uid="{00000000-0005-0000-0000-000007000000}"/>
    <cellStyle name="% 4 2" xfId="48" xr:uid="{00000000-0005-0000-0000-000008000000}"/>
    <cellStyle name="% 4 3" xfId="49" xr:uid="{00000000-0005-0000-0000-000009000000}"/>
    <cellStyle name="% 4 4" xfId="50" xr:uid="{00000000-0005-0000-0000-00000A000000}"/>
    <cellStyle name="% 4 5" xfId="51" xr:uid="{00000000-0005-0000-0000-00000B000000}"/>
    <cellStyle name="% 4 6" xfId="52" xr:uid="{00000000-0005-0000-0000-00000C000000}"/>
    <cellStyle name="% 4 7" xfId="53" xr:uid="{00000000-0005-0000-0000-00000D000000}"/>
    <cellStyle name="% 4 8" xfId="54" xr:uid="{00000000-0005-0000-0000-00000E000000}"/>
    <cellStyle name="% 5" xfId="41" xr:uid="{00000000-0005-0000-0000-00000F000000}"/>
    <cellStyle name="%_3.3 Tax" xfId="55" xr:uid="{00000000-0005-0000-0000-000010000000}"/>
    <cellStyle name="%_3.3 Tax 2" xfId="56" xr:uid="{00000000-0005-0000-0000-000011000000}"/>
    <cellStyle name="%_BP10+ GTO Capex Split CN" xfId="57" xr:uid="{00000000-0005-0000-0000-000012000000}"/>
    <cellStyle name="%_GTO Non Operational Capex Roll-over submission (FINAL with property)" xfId="58" xr:uid="{00000000-0005-0000-0000-000013000000}"/>
    <cellStyle name="%_NGG TPCR4 MG Workings" xfId="59" xr:uid="{00000000-0005-0000-0000-000014000000}"/>
    <cellStyle name="%_Opex Input" xfId="60" xr:uid="{00000000-0005-0000-0000-000015000000}"/>
    <cellStyle name="%_Transmission PCRRP tables_SPTL_200809 V1" xfId="61" xr:uid="{00000000-0005-0000-0000-000016000000}"/>
    <cellStyle name="%_VR NGET Opex tables" xfId="62" xr:uid="{00000000-0005-0000-0000-000017000000}"/>
    <cellStyle name="%_VR Pensions Opex tables" xfId="63" xr:uid="{00000000-0005-0000-0000-000018000000}"/>
    <cellStyle name="_070323 - 5yr opex BPQ (Final)" xfId="64" xr:uid="{00000000-0005-0000-0000-000019000000}"/>
    <cellStyle name="_0708 GSO Capex RRP (detail)" xfId="65" xr:uid="{00000000-0005-0000-0000-00001A000000}"/>
    <cellStyle name="_0708 GSO Capex RRP (detail) 2" xfId="66" xr:uid="{00000000-0005-0000-0000-00001B000000}"/>
    <cellStyle name="_0708 GSO Capex RRP (detail) 2 2" xfId="67" xr:uid="{00000000-0005-0000-0000-00001C000000}"/>
    <cellStyle name="_0708 GSO Capex RRP (detail) 2 3" xfId="68" xr:uid="{00000000-0005-0000-0000-00001D000000}"/>
    <cellStyle name="_0708 GSO Capex RRP (detail) 2 4" xfId="69" xr:uid="{00000000-0005-0000-0000-00001E000000}"/>
    <cellStyle name="_0708 GSO Capex RRP (detail) 2 5" xfId="70" xr:uid="{00000000-0005-0000-0000-00001F000000}"/>
    <cellStyle name="_0708 GSO Capex RRP (detail) 2 6" xfId="71" xr:uid="{00000000-0005-0000-0000-000020000000}"/>
    <cellStyle name="_0708 GSO Capex RRP (detail) 2 7" xfId="72" xr:uid="{00000000-0005-0000-0000-000021000000}"/>
    <cellStyle name="_0708 GSO Capex RRP (detail) 2 8" xfId="73" xr:uid="{00000000-0005-0000-0000-000022000000}"/>
    <cellStyle name="_0708 GSO Capex RRP (detail)_Opex Input" xfId="74" xr:uid="{00000000-0005-0000-0000-000023000000}"/>
    <cellStyle name="_0708 TO Non-Op Capex (detail)" xfId="75" xr:uid="{00000000-0005-0000-0000-000024000000}"/>
    <cellStyle name="_Book4" xfId="76" xr:uid="{00000000-0005-0000-0000-000025000000}"/>
    <cellStyle name="_Book4 2" xfId="77" xr:uid="{00000000-0005-0000-0000-000026000000}"/>
    <cellStyle name="_Book4 2 2" xfId="78" xr:uid="{00000000-0005-0000-0000-000027000000}"/>
    <cellStyle name="_Book4 2 3" xfId="79" xr:uid="{00000000-0005-0000-0000-000028000000}"/>
    <cellStyle name="_Book4 2 4" xfId="80" xr:uid="{00000000-0005-0000-0000-000029000000}"/>
    <cellStyle name="_Book4 2 5" xfId="81" xr:uid="{00000000-0005-0000-0000-00002A000000}"/>
    <cellStyle name="_Book4 2 6" xfId="82" xr:uid="{00000000-0005-0000-0000-00002B000000}"/>
    <cellStyle name="_Book4 2 7" xfId="83" xr:uid="{00000000-0005-0000-0000-00002C000000}"/>
    <cellStyle name="_Book4 2 8" xfId="84" xr:uid="{00000000-0005-0000-0000-00002D000000}"/>
    <cellStyle name="_BP10+ GTO Capex Split CN" xfId="85" xr:uid="{00000000-0005-0000-0000-00002E000000}"/>
    <cellStyle name="_BP10+post TIC 1 Jun" xfId="86" xr:uid="{00000000-0005-0000-0000-00002F000000}"/>
    <cellStyle name="_BP10+post TIC 1 Jun 2" xfId="87" xr:uid="{00000000-0005-0000-0000-000030000000}"/>
    <cellStyle name="_BP10+post TIC 1 Jun 2 2" xfId="88" xr:uid="{00000000-0005-0000-0000-000031000000}"/>
    <cellStyle name="_BP10+post TIC 1 Jun 2 3" xfId="89" xr:uid="{00000000-0005-0000-0000-000032000000}"/>
    <cellStyle name="_BP10+post TIC 1 Jun 2 4" xfId="90" xr:uid="{00000000-0005-0000-0000-000033000000}"/>
    <cellStyle name="_BP10+post TIC 1 Jun 2 5" xfId="91" xr:uid="{00000000-0005-0000-0000-000034000000}"/>
    <cellStyle name="_BP10+post TIC 1 Jun 2 6" xfId="92" xr:uid="{00000000-0005-0000-0000-000035000000}"/>
    <cellStyle name="_BP10+post TIC 1 Jun 2 7" xfId="93" xr:uid="{00000000-0005-0000-0000-000036000000}"/>
    <cellStyle name="_BP10+post TIC 1 Jun 2 8" xfId="94" xr:uid="{00000000-0005-0000-0000-000037000000}"/>
    <cellStyle name="_Capital Plan - IS UK" xfId="95" xr:uid="{00000000-0005-0000-0000-000038000000}"/>
    <cellStyle name="_Capital Plan - IS UK_0910 GSO Capex RRP - Final (Detail) v2 220710" xfId="96" xr:uid="{00000000-0005-0000-0000-000039000000}"/>
    <cellStyle name="_Capital Plan - IS UK_0910 GSO Capex RRP - Final (Detail) v2 220710 2" xfId="97" xr:uid="{00000000-0005-0000-0000-00003A000000}"/>
    <cellStyle name="_Capital Plan - IS UK_0910 GSO Capex RRP - Final (Detail) v2 220710 2 2" xfId="98" xr:uid="{00000000-0005-0000-0000-00003B000000}"/>
    <cellStyle name="_Capital Plan - IS UK_0910 GSO Capex RRP - Final (Detail) v2 220710 2 3" xfId="99" xr:uid="{00000000-0005-0000-0000-00003C000000}"/>
    <cellStyle name="_Capital Plan - IS UK_0910 GSO Capex RRP - Final (Detail) v2 220710 2 4" xfId="100" xr:uid="{00000000-0005-0000-0000-00003D000000}"/>
    <cellStyle name="_Capital Plan - IS UK_0910 GSO Capex RRP - Final (Detail) v2 220710 2 5" xfId="101" xr:uid="{00000000-0005-0000-0000-00003E000000}"/>
    <cellStyle name="_Capital Plan - IS UK_0910 GSO Capex RRP - Final (Detail) v2 220710 2 6" xfId="102" xr:uid="{00000000-0005-0000-0000-00003F000000}"/>
    <cellStyle name="_Capital Plan - IS UK_0910 GSO Capex RRP - Final (Detail) v2 220710 2 7" xfId="103" xr:uid="{00000000-0005-0000-0000-000040000000}"/>
    <cellStyle name="_Capital Plan - IS UK_0910 GSO Capex RRP - Final (Detail) v2 220710 2 8" xfId="104" xr:uid="{00000000-0005-0000-0000-000041000000}"/>
    <cellStyle name="_Capital Plan - IS UK_0910 GSO Capex RRP - Final (Detail) v2 220710_Opex Input" xfId="105" xr:uid="{00000000-0005-0000-0000-000042000000}"/>
    <cellStyle name="_Gas TO major Projects Forecast Jun-10" xfId="106" xr:uid="{00000000-0005-0000-0000-000043000000}"/>
    <cellStyle name="_Gas TO major Projects Forecast Jun-10 2" xfId="107" xr:uid="{00000000-0005-0000-0000-000044000000}"/>
    <cellStyle name="_Gas TO major Projects Forecast Jun-10 2 2" xfId="108" xr:uid="{00000000-0005-0000-0000-000045000000}"/>
    <cellStyle name="_Gas TO major Projects Forecast Jun-10 2 3" xfId="109" xr:uid="{00000000-0005-0000-0000-000046000000}"/>
    <cellStyle name="_Gas TO major Projects Forecast Jun-10 2 4" xfId="110" xr:uid="{00000000-0005-0000-0000-000047000000}"/>
    <cellStyle name="_Gas TO major Projects Forecast Jun-10 2 5" xfId="111" xr:uid="{00000000-0005-0000-0000-000048000000}"/>
    <cellStyle name="_Gas TO major Projects Forecast Jun-10 2 6" xfId="112" xr:uid="{00000000-0005-0000-0000-000049000000}"/>
    <cellStyle name="_Gas TO major Projects Forecast Jun-10 2 7" xfId="113" xr:uid="{00000000-0005-0000-0000-00004A000000}"/>
    <cellStyle name="_Gas TO major Projects Forecast Jun-10 2 8" xfId="114" xr:uid="{00000000-0005-0000-0000-00004B000000}"/>
    <cellStyle name="_Gas TO major Projects Forecast May-10 BP10+ v5" xfId="115" xr:uid="{00000000-0005-0000-0000-00004C000000}"/>
    <cellStyle name="_Gas TO major Projects Forecast May-10 BP10+ v5 2" xfId="116" xr:uid="{00000000-0005-0000-0000-00004D000000}"/>
    <cellStyle name="_Gas TO major Projects Forecast May-10 BP10+ v5 2 2" xfId="117" xr:uid="{00000000-0005-0000-0000-00004E000000}"/>
    <cellStyle name="_Gas TO major Projects Forecast May-10 BP10+ v5 2 3" xfId="118" xr:uid="{00000000-0005-0000-0000-00004F000000}"/>
    <cellStyle name="_Gas TO major Projects Forecast May-10 BP10+ v5 2 4" xfId="119" xr:uid="{00000000-0005-0000-0000-000050000000}"/>
    <cellStyle name="_Gas TO major Projects Forecast May-10 BP10+ v5 2 5" xfId="120" xr:uid="{00000000-0005-0000-0000-000051000000}"/>
    <cellStyle name="_Gas TO major Projects Forecast May-10 BP10+ v5 2 6" xfId="121" xr:uid="{00000000-0005-0000-0000-000052000000}"/>
    <cellStyle name="_Gas TO major Projects Forecast May-10 BP10+ v5 2 7" xfId="122" xr:uid="{00000000-0005-0000-0000-000053000000}"/>
    <cellStyle name="_Gas TO major Projects Forecast May-10 BP10+ v5 2 8" xfId="123" xr:uid="{00000000-0005-0000-0000-000054000000}"/>
    <cellStyle name="_GTO Non Operational Capex Roll-over submission (FINAL with property)" xfId="124" xr:uid="{00000000-0005-0000-0000-000055000000}"/>
    <cellStyle name="_Test scoring_UKGDx_20070924_Pilot (DV)" xfId="125" xr:uid="{00000000-0005-0000-0000-000056000000}"/>
    <cellStyle name="=C:\WINNT\SYSTEM32\COMMAND.COM" xfId="35" xr:uid="{00000000-0005-0000-0000-000057000000}"/>
    <cellStyle name="=C:\WINNT\SYSTEM32\COMMAND.COM 10" xfId="33" xr:uid="{00000000-0005-0000-0000-000058000000}"/>
    <cellStyle name="=C:\WINNT\SYSTEM32\COMMAND.COM 11" xfId="126" xr:uid="{00000000-0005-0000-0000-000059000000}"/>
    <cellStyle name="=C:\WINNT\SYSTEM32\COMMAND.COM 12" xfId="127" xr:uid="{00000000-0005-0000-0000-00005A000000}"/>
    <cellStyle name="=C:\WINNT\SYSTEM32\COMMAND.COM 13" xfId="128" xr:uid="{00000000-0005-0000-0000-00005B000000}"/>
    <cellStyle name="=C:\WINNT\SYSTEM32\COMMAND.COM 14" xfId="129" xr:uid="{00000000-0005-0000-0000-00005C000000}"/>
    <cellStyle name="=C:\WINNT\SYSTEM32\COMMAND.COM 15" xfId="130" xr:uid="{00000000-0005-0000-0000-00005D000000}"/>
    <cellStyle name="=C:\WINNT\SYSTEM32\COMMAND.COM 16" xfId="131" xr:uid="{00000000-0005-0000-0000-00005E000000}"/>
    <cellStyle name="=C:\WINNT\SYSTEM32\COMMAND.COM 17" xfId="132" xr:uid="{00000000-0005-0000-0000-00005F000000}"/>
    <cellStyle name="=C:\WINNT\SYSTEM32\COMMAND.COM 18" xfId="133" xr:uid="{00000000-0005-0000-0000-000060000000}"/>
    <cellStyle name="=C:\WINNT\SYSTEM32\COMMAND.COM 19" xfId="134" xr:uid="{00000000-0005-0000-0000-000061000000}"/>
    <cellStyle name="=C:\WINNT\SYSTEM32\COMMAND.COM 2" xfId="31" xr:uid="{00000000-0005-0000-0000-000062000000}"/>
    <cellStyle name="=C:\WINNT\SYSTEM32\COMMAND.COM 2 2" xfId="7" xr:uid="{00000000-0005-0000-0000-000063000000}"/>
    <cellStyle name="=C:\WINNT\SYSTEM32\COMMAND.COM 2 2 10" xfId="1606" xr:uid="{00000000-0005-0000-0000-000064000000}"/>
    <cellStyle name="=C:\WINNT\SYSTEM32\COMMAND.COM 2 2 2" xfId="136" xr:uid="{00000000-0005-0000-0000-000065000000}"/>
    <cellStyle name="=C:\WINNT\SYSTEM32\COMMAND.COM 2 2 2 2" xfId="137" xr:uid="{00000000-0005-0000-0000-000066000000}"/>
    <cellStyle name="=C:\WINNT\SYSTEM32\COMMAND.COM 2 2 2 3" xfId="138" xr:uid="{00000000-0005-0000-0000-000067000000}"/>
    <cellStyle name="=C:\WINNT\SYSTEM32\COMMAND.COM 2 2 2_Opex Input" xfId="139" xr:uid="{00000000-0005-0000-0000-000068000000}"/>
    <cellStyle name="=C:\WINNT\SYSTEM32\COMMAND.COM 2 2 3" xfId="140" xr:uid="{00000000-0005-0000-0000-000069000000}"/>
    <cellStyle name="=C:\WINNT\SYSTEM32\COMMAND.COM 2 2 4" xfId="135" xr:uid="{00000000-0005-0000-0000-00006A000000}"/>
    <cellStyle name="=C:\WINNT\SYSTEM32\COMMAND.COM 2 2 5" xfId="1352" xr:uid="{00000000-0005-0000-0000-00006B000000}"/>
    <cellStyle name="=C:\WINNT\SYSTEM32\COMMAND.COM 2 2 6" xfId="1537" xr:uid="{00000000-0005-0000-0000-00006C000000}"/>
    <cellStyle name="=C:\WINNT\SYSTEM32\COMMAND.COM 2 2 7" xfId="1351" xr:uid="{00000000-0005-0000-0000-00006D000000}"/>
    <cellStyle name="=C:\WINNT\SYSTEM32\COMMAND.COM 2 2 8" xfId="1438" xr:uid="{00000000-0005-0000-0000-00006E000000}"/>
    <cellStyle name="=C:\WINNT\SYSTEM32\COMMAND.COM 2 2 9" xfId="1327" xr:uid="{00000000-0005-0000-0000-00006F000000}"/>
    <cellStyle name="=C:\WINNT\SYSTEM32\COMMAND.COM 2 2_Opex Input" xfId="141" xr:uid="{00000000-0005-0000-0000-000070000000}"/>
    <cellStyle name="=C:\WINNT\SYSTEM32\COMMAND.COM 2 3" xfId="142" xr:uid="{00000000-0005-0000-0000-000071000000}"/>
    <cellStyle name="=C:\WINNT\SYSTEM32\COMMAND.COM 2_Opex Input" xfId="143" xr:uid="{00000000-0005-0000-0000-000072000000}"/>
    <cellStyle name="=C:\WINNT\SYSTEM32\COMMAND.COM 20" xfId="144" xr:uid="{00000000-0005-0000-0000-000073000000}"/>
    <cellStyle name="=C:\WINNT\SYSTEM32\COMMAND.COM 21" xfId="145" xr:uid="{00000000-0005-0000-0000-000074000000}"/>
    <cellStyle name="=C:\WINNT\SYSTEM32\COMMAND.COM 22" xfId="146" xr:uid="{00000000-0005-0000-0000-000075000000}"/>
    <cellStyle name="=C:\WINNT\SYSTEM32\COMMAND.COM 23" xfId="147" xr:uid="{00000000-0005-0000-0000-000076000000}"/>
    <cellStyle name="=C:\WINNT\SYSTEM32\COMMAND.COM 23 2" xfId="148" xr:uid="{00000000-0005-0000-0000-000077000000}"/>
    <cellStyle name="=C:\WINNT\SYSTEM32\COMMAND.COM 24" xfId="149" xr:uid="{00000000-0005-0000-0000-000078000000}"/>
    <cellStyle name="=C:\WINNT\SYSTEM32\COMMAND.COM 25" xfId="150" xr:uid="{00000000-0005-0000-0000-000079000000}"/>
    <cellStyle name="=C:\WINNT\SYSTEM32\COMMAND.COM 25 2" xfId="151" xr:uid="{00000000-0005-0000-0000-00007A000000}"/>
    <cellStyle name="=C:\WINNT\SYSTEM32\COMMAND.COM 25 3" xfId="152" xr:uid="{00000000-0005-0000-0000-00007B000000}"/>
    <cellStyle name="=C:\WINNT\SYSTEM32\COMMAND.COM 26" xfId="153" xr:uid="{00000000-0005-0000-0000-00007C000000}"/>
    <cellStyle name="=C:\WINNT\SYSTEM32\COMMAND.COM 27" xfId="154" xr:uid="{00000000-0005-0000-0000-00007D000000}"/>
    <cellStyle name="=C:\WINNT\SYSTEM32\COMMAND.COM 28" xfId="155" xr:uid="{00000000-0005-0000-0000-00007E000000}"/>
    <cellStyle name="=C:\WINNT\SYSTEM32\COMMAND.COM 29" xfId="156" xr:uid="{00000000-0005-0000-0000-00007F000000}"/>
    <cellStyle name="=C:\WINNT\SYSTEM32\COMMAND.COM 3" xfId="32" xr:uid="{00000000-0005-0000-0000-000080000000}"/>
    <cellStyle name="=C:\WINNT\SYSTEM32\COMMAND.COM 30" xfId="157" xr:uid="{00000000-0005-0000-0000-000081000000}"/>
    <cellStyle name="=C:\WINNT\SYSTEM32\COMMAND.COM 31" xfId="158" xr:uid="{00000000-0005-0000-0000-000082000000}"/>
    <cellStyle name="=C:\WINNT\SYSTEM32\COMMAND.COM 32" xfId="159" xr:uid="{00000000-0005-0000-0000-000083000000}"/>
    <cellStyle name="=C:\WINNT\SYSTEM32\COMMAND.COM 33" xfId="160" xr:uid="{00000000-0005-0000-0000-000084000000}"/>
    <cellStyle name="=C:\WINNT\SYSTEM32\COMMAND.COM 4" xfId="161" xr:uid="{00000000-0005-0000-0000-000085000000}"/>
    <cellStyle name="=C:\WINNT\SYSTEM32\COMMAND.COM 4 2" xfId="162" xr:uid="{00000000-0005-0000-0000-000086000000}"/>
    <cellStyle name="=C:\WINNT\SYSTEM32\COMMAND.COM 4 3" xfId="163" xr:uid="{00000000-0005-0000-0000-000087000000}"/>
    <cellStyle name="=C:\WINNT\SYSTEM32\COMMAND.COM 4_Opex Input" xfId="164" xr:uid="{00000000-0005-0000-0000-000088000000}"/>
    <cellStyle name="=C:\WINNT\SYSTEM32\COMMAND.COM 5" xfId="165" xr:uid="{00000000-0005-0000-0000-000089000000}"/>
    <cellStyle name="=C:\WINNT\SYSTEM32\COMMAND.COM 6" xfId="166" xr:uid="{00000000-0005-0000-0000-00008A000000}"/>
    <cellStyle name="=C:\WINNT\SYSTEM32\COMMAND.COM 7" xfId="167" xr:uid="{00000000-0005-0000-0000-00008B000000}"/>
    <cellStyle name="=C:\WINNT\SYSTEM32\COMMAND.COM 8" xfId="168" xr:uid="{00000000-0005-0000-0000-00008C000000}"/>
    <cellStyle name="=C:\WINNT\SYSTEM32\COMMAND.COM 9" xfId="169" xr:uid="{00000000-0005-0000-0000-00008D000000}"/>
    <cellStyle name="=C:\WINNT\SYSTEM32\COMMAND.COM_Model_run_060901" xfId="170" xr:uid="{00000000-0005-0000-0000-00008E000000}"/>
    <cellStyle name="=C:\WINNT35\SYSTEM32\COMMAND.COM" xfId="171" xr:uid="{00000000-0005-0000-0000-00008F000000}"/>
    <cellStyle name="20% - Accent1 2" xfId="172" xr:uid="{00000000-0005-0000-0000-000090000000}"/>
    <cellStyle name="20% - Accent1 3" xfId="173" xr:uid="{00000000-0005-0000-0000-000091000000}"/>
    <cellStyle name="20% - Accent2 2" xfId="174" xr:uid="{00000000-0005-0000-0000-000092000000}"/>
    <cellStyle name="20% - Accent2 3" xfId="175" xr:uid="{00000000-0005-0000-0000-000093000000}"/>
    <cellStyle name="20% - Accent3 2" xfId="176" xr:uid="{00000000-0005-0000-0000-000094000000}"/>
    <cellStyle name="20% - Accent3 3" xfId="177" xr:uid="{00000000-0005-0000-0000-000095000000}"/>
    <cellStyle name="20% - Accent4 2" xfId="178" xr:uid="{00000000-0005-0000-0000-000096000000}"/>
    <cellStyle name="20% - Accent4 3" xfId="179" xr:uid="{00000000-0005-0000-0000-000097000000}"/>
    <cellStyle name="20% - Accent5 2" xfId="180" xr:uid="{00000000-0005-0000-0000-000098000000}"/>
    <cellStyle name="20% - Accent5 3" xfId="181" xr:uid="{00000000-0005-0000-0000-000099000000}"/>
    <cellStyle name="20% - Accent6 2" xfId="182" xr:uid="{00000000-0005-0000-0000-00009A000000}"/>
    <cellStyle name="20% - Accent6 3" xfId="183" xr:uid="{00000000-0005-0000-0000-00009B000000}"/>
    <cellStyle name="40% - Accent1 2" xfId="184" xr:uid="{00000000-0005-0000-0000-00009C000000}"/>
    <cellStyle name="40% - Accent1 3" xfId="185" xr:uid="{00000000-0005-0000-0000-00009D000000}"/>
    <cellStyle name="40% - Accent2 2" xfId="186" xr:uid="{00000000-0005-0000-0000-00009E000000}"/>
    <cellStyle name="40% - Accent2 3" xfId="187" xr:uid="{00000000-0005-0000-0000-00009F000000}"/>
    <cellStyle name="40% - Accent3 2" xfId="188" xr:uid="{00000000-0005-0000-0000-0000A0000000}"/>
    <cellStyle name="40% - Accent3 3" xfId="189" xr:uid="{00000000-0005-0000-0000-0000A1000000}"/>
    <cellStyle name="40% - Accent4 2" xfId="190" xr:uid="{00000000-0005-0000-0000-0000A2000000}"/>
    <cellStyle name="40% - Accent4 3" xfId="191" xr:uid="{00000000-0005-0000-0000-0000A3000000}"/>
    <cellStyle name="40% - Accent5 2" xfId="192" xr:uid="{00000000-0005-0000-0000-0000A4000000}"/>
    <cellStyle name="40% - Accent5 3" xfId="193" xr:uid="{00000000-0005-0000-0000-0000A5000000}"/>
    <cellStyle name="40% - Accent6 2" xfId="194" xr:uid="{00000000-0005-0000-0000-0000A6000000}"/>
    <cellStyle name="40% - Accent6 3" xfId="195" xr:uid="{00000000-0005-0000-0000-0000A7000000}"/>
    <cellStyle name="60% - Accent1 2" xfId="196" xr:uid="{00000000-0005-0000-0000-0000A8000000}"/>
    <cellStyle name="60% - Accent1 3" xfId="197" xr:uid="{00000000-0005-0000-0000-0000A9000000}"/>
    <cellStyle name="60% - Accent2 2" xfId="198" xr:uid="{00000000-0005-0000-0000-0000AA000000}"/>
    <cellStyle name="60% - Accent2 3" xfId="199" xr:uid="{00000000-0005-0000-0000-0000AB000000}"/>
    <cellStyle name="60% - Accent3 2" xfId="200" xr:uid="{00000000-0005-0000-0000-0000AC000000}"/>
    <cellStyle name="60% - Accent3 3" xfId="201" xr:uid="{00000000-0005-0000-0000-0000AD000000}"/>
    <cellStyle name="60% - Accent4 2" xfId="202" xr:uid="{00000000-0005-0000-0000-0000AE000000}"/>
    <cellStyle name="60% - Accent4 3" xfId="203" xr:uid="{00000000-0005-0000-0000-0000AF000000}"/>
    <cellStyle name="60% - Accent5 2" xfId="204" xr:uid="{00000000-0005-0000-0000-0000B0000000}"/>
    <cellStyle name="60% - Accent5 3" xfId="205" xr:uid="{00000000-0005-0000-0000-0000B1000000}"/>
    <cellStyle name="60% - Accent6 2" xfId="206" xr:uid="{00000000-0005-0000-0000-0000B2000000}"/>
    <cellStyle name="60% - Accent6 3" xfId="207" xr:uid="{00000000-0005-0000-0000-0000B3000000}"/>
    <cellStyle name="Accent1 - 20%" xfId="208" xr:uid="{00000000-0005-0000-0000-0000B4000000}"/>
    <cellStyle name="Accent1 - 40%" xfId="209" xr:uid="{00000000-0005-0000-0000-0000B5000000}"/>
    <cellStyle name="Accent1 - 60%" xfId="210" xr:uid="{00000000-0005-0000-0000-0000B6000000}"/>
    <cellStyle name="Accent1 2" xfId="211" xr:uid="{00000000-0005-0000-0000-0000B7000000}"/>
    <cellStyle name="Accent1 3" xfId="212" xr:uid="{00000000-0005-0000-0000-0000B8000000}"/>
    <cellStyle name="Accent2 - 20%" xfId="213" xr:uid="{00000000-0005-0000-0000-0000B9000000}"/>
    <cellStyle name="Accent2 - 40%" xfId="214" xr:uid="{00000000-0005-0000-0000-0000BA000000}"/>
    <cellStyle name="Accent2 - 60%" xfId="215" xr:uid="{00000000-0005-0000-0000-0000BB000000}"/>
    <cellStyle name="Accent2 2" xfId="216" xr:uid="{00000000-0005-0000-0000-0000BC000000}"/>
    <cellStyle name="Accent2 3" xfId="217" xr:uid="{00000000-0005-0000-0000-0000BD000000}"/>
    <cellStyle name="Accent3 - 20%" xfId="218" xr:uid="{00000000-0005-0000-0000-0000BE000000}"/>
    <cellStyle name="Accent3 - 40%" xfId="219" xr:uid="{00000000-0005-0000-0000-0000BF000000}"/>
    <cellStyle name="Accent3 - 60%" xfId="220" xr:uid="{00000000-0005-0000-0000-0000C0000000}"/>
    <cellStyle name="Accent3 2" xfId="221" xr:uid="{00000000-0005-0000-0000-0000C1000000}"/>
    <cellStyle name="Accent3 3" xfId="222" xr:uid="{00000000-0005-0000-0000-0000C2000000}"/>
    <cellStyle name="Accent4 - 20%" xfId="223" xr:uid="{00000000-0005-0000-0000-0000C3000000}"/>
    <cellStyle name="Accent4 - 40%" xfId="224" xr:uid="{00000000-0005-0000-0000-0000C4000000}"/>
    <cellStyle name="Accent4 - 60%" xfId="225" xr:uid="{00000000-0005-0000-0000-0000C5000000}"/>
    <cellStyle name="Accent4 2" xfId="226" xr:uid="{00000000-0005-0000-0000-0000C6000000}"/>
    <cellStyle name="Accent4 3" xfId="227" xr:uid="{00000000-0005-0000-0000-0000C7000000}"/>
    <cellStyle name="Accent5 - 20%" xfId="228" xr:uid="{00000000-0005-0000-0000-0000C8000000}"/>
    <cellStyle name="Accent5 - 40%" xfId="229" xr:uid="{00000000-0005-0000-0000-0000C9000000}"/>
    <cellStyle name="Accent5 - 60%" xfId="230" xr:uid="{00000000-0005-0000-0000-0000CA000000}"/>
    <cellStyle name="Accent5 2" xfId="231" xr:uid="{00000000-0005-0000-0000-0000CB000000}"/>
    <cellStyle name="Accent5 3" xfId="232" xr:uid="{00000000-0005-0000-0000-0000CC000000}"/>
    <cellStyle name="Accent6 - 20%" xfId="233" xr:uid="{00000000-0005-0000-0000-0000CD000000}"/>
    <cellStyle name="Accent6 - 40%" xfId="234" xr:uid="{00000000-0005-0000-0000-0000CE000000}"/>
    <cellStyle name="Accent6 - 60%" xfId="235" xr:uid="{00000000-0005-0000-0000-0000CF000000}"/>
    <cellStyle name="Accent6 2" xfId="236" xr:uid="{00000000-0005-0000-0000-0000D0000000}"/>
    <cellStyle name="Accent6 3" xfId="237" xr:uid="{00000000-0005-0000-0000-0000D1000000}"/>
    <cellStyle name="Bad 2" xfId="238" xr:uid="{00000000-0005-0000-0000-0000D2000000}"/>
    <cellStyle name="Bad 3" xfId="239" xr:uid="{00000000-0005-0000-0000-0000D3000000}"/>
    <cellStyle name="Calculation 2" xfId="240" xr:uid="{00000000-0005-0000-0000-0000D4000000}"/>
    <cellStyle name="Calculation 2 10" xfId="1972" xr:uid="{E923560B-453D-40CF-9DC7-116FCB5A0A62}"/>
    <cellStyle name="Calculation 2 2" xfId="1358" xr:uid="{00000000-0005-0000-0000-0000D5000000}"/>
    <cellStyle name="Calculation 2 2 2" xfId="2181" xr:uid="{654773E3-72AE-4AB8-9482-8B12A642420B}"/>
    <cellStyle name="Calculation 2 3" xfId="1356" xr:uid="{00000000-0005-0000-0000-0000D6000000}"/>
    <cellStyle name="Calculation 2 3 2" xfId="2179" xr:uid="{2037FEC8-6342-4612-8D4B-18C0C861D3C2}"/>
    <cellStyle name="Calculation 2 4" xfId="1353" xr:uid="{00000000-0005-0000-0000-0000D7000000}"/>
    <cellStyle name="Calculation 2 4 2" xfId="2176" xr:uid="{21BD6E0C-B603-4A19-B108-5EDDE0AB258F}"/>
    <cellStyle name="Calculation 2 5" xfId="1374" xr:uid="{00000000-0005-0000-0000-0000D8000000}"/>
    <cellStyle name="Calculation 2 5 2" xfId="2197" xr:uid="{F6352FDD-FEE6-4400-83B5-68842B15CFDE}"/>
    <cellStyle name="Calculation 2 6" xfId="1648" xr:uid="{00000000-0005-0000-0000-0000D9000000}"/>
    <cellStyle name="Calculation 2 6 2" xfId="2416" xr:uid="{9A91B577-9852-4511-A9EB-12A7461C440B}"/>
    <cellStyle name="Calculation 2 7" xfId="1582" xr:uid="{00000000-0005-0000-0000-0000DA000000}"/>
    <cellStyle name="Calculation 2 7 2" xfId="2355" xr:uid="{E7087AC8-A1FD-4168-866A-25E95D8ADEED}"/>
    <cellStyle name="Calculation 2 8" xfId="1937" xr:uid="{00000000-0005-0000-0000-0000DB000000}"/>
    <cellStyle name="Calculation 2 8 2" xfId="2703" xr:uid="{A69C1CA5-6A3D-41FE-A8F6-1415400470BE}"/>
    <cellStyle name="Calculation 2 9" xfId="1930" xr:uid="{00000000-0005-0000-0000-0000DC000000}"/>
    <cellStyle name="Calculation 2 9 2" xfId="2696" xr:uid="{9B733614-DD7E-485E-BDDF-C67E8E1CEB2D}"/>
    <cellStyle name="Calculation 3" xfId="241" xr:uid="{00000000-0005-0000-0000-0000DD000000}"/>
    <cellStyle name="Calculation 3 10" xfId="1973" xr:uid="{64424525-CC54-4C7C-A1F8-4015C6511380}"/>
    <cellStyle name="Calculation 3 2" xfId="1359" xr:uid="{00000000-0005-0000-0000-0000DE000000}"/>
    <cellStyle name="Calculation 3 2 2" xfId="2182" xr:uid="{3668923B-8519-43A2-A43C-655B89D91FD1}"/>
    <cellStyle name="Calculation 3 3" xfId="1357" xr:uid="{00000000-0005-0000-0000-0000DF000000}"/>
    <cellStyle name="Calculation 3 3 2" xfId="2180" xr:uid="{1EC0900F-844E-4D7D-8E56-3DEFF5E6AECF}"/>
    <cellStyle name="Calculation 3 4" xfId="1354" xr:uid="{00000000-0005-0000-0000-0000E0000000}"/>
    <cellStyle name="Calculation 3 4 2" xfId="2177" xr:uid="{8EB522CD-9F1B-48EB-90D8-A60E3D11BE09}"/>
    <cellStyle name="Calculation 3 5" xfId="1373" xr:uid="{00000000-0005-0000-0000-0000E1000000}"/>
    <cellStyle name="Calculation 3 5 2" xfId="2196" xr:uid="{7CD16025-18ED-4F63-9AFD-FB440F7F265F}"/>
    <cellStyle name="Calculation 3 6" xfId="1355" xr:uid="{00000000-0005-0000-0000-0000E2000000}"/>
    <cellStyle name="Calculation 3 6 2" xfId="2178" xr:uid="{5E68E340-15DD-40F4-963E-A4B931FBEDC1}"/>
    <cellStyle name="Calculation 3 7" xfId="1372" xr:uid="{00000000-0005-0000-0000-0000E3000000}"/>
    <cellStyle name="Calculation 3 7 2" xfId="2195" xr:uid="{C73A51A8-12F8-4BED-ABA6-5C89FE467259}"/>
    <cellStyle name="Calculation 3 8" xfId="1936" xr:uid="{00000000-0005-0000-0000-0000E4000000}"/>
    <cellStyle name="Calculation 3 8 2" xfId="2702" xr:uid="{38B5138F-A26F-4E7A-B3EF-71296C6B26A8}"/>
    <cellStyle name="Calculation 3 9" xfId="1931" xr:uid="{00000000-0005-0000-0000-0000E5000000}"/>
    <cellStyle name="Calculation 3 9 2" xfId="2697" xr:uid="{BF15CFAB-ED72-434C-A388-02C1FB4B1C89}"/>
    <cellStyle name="Check Cell 2" xfId="242" xr:uid="{00000000-0005-0000-0000-0000E6000000}"/>
    <cellStyle name="Check Cell 3" xfId="243" xr:uid="{00000000-0005-0000-0000-0000E7000000}"/>
    <cellStyle name="column Head Underlined" xfId="244" xr:uid="{00000000-0005-0000-0000-0000E8000000}"/>
    <cellStyle name="Column Heading" xfId="245" xr:uid="{00000000-0005-0000-0000-0000E9000000}"/>
    <cellStyle name="Comma" xfId="11" builtinId="3"/>
    <cellStyle name="Comma [1]" xfId="246" xr:uid="{00000000-0005-0000-0000-0000EB000000}"/>
    <cellStyle name="Comma [1] 2" xfId="247" xr:uid="{00000000-0005-0000-0000-0000EC000000}"/>
    <cellStyle name="Comma [1] 2 2" xfId="248" xr:uid="{00000000-0005-0000-0000-0000ED000000}"/>
    <cellStyle name="Comma [1] 2 3" xfId="249" xr:uid="{00000000-0005-0000-0000-0000EE000000}"/>
    <cellStyle name="Comma [1] 2 4" xfId="250" xr:uid="{00000000-0005-0000-0000-0000EF000000}"/>
    <cellStyle name="Comma [1] 2 5" xfId="251" xr:uid="{00000000-0005-0000-0000-0000F0000000}"/>
    <cellStyle name="Comma [1] 2 6" xfId="252" xr:uid="{00000000-0005-0000-0000-0000F1000000}"/>
    <cellStyle name="Comma [1] 2 7" xfId="253" xr:uid="{00000000-0005-0000-0000-0000F2000000}"/>
    <cellStyle name="Comma [1] 2 8" xfId="254" xr:uid="{00000000-0005-0000-0000-0000F3000000}"/>
    <cellStyle name="Comma 10" xfId="255" xr:uid="{00000000-0005-0000-0000-0000F4000000}"/>
    <cellStyle name="Comma 10 2" xfId="1974" xr:uid="{2E41270E-FD0D-48DA-A20C-C669149AFACB}"/>
    <cellStyle name="Comma 11" xfId="26" xr:uid="{00000000-0005-0000-0000-0000F5000000}"/>
    <cellStyle name="Comma 11 2" xfId="1970" xr:uid="{7D61C64F-32AD-4A17-B94C-7B2E60C4511E}"/>
    <cellStyle name="Comma 12" xfId="256" xr:uid="{00000000-0005-0000-0000-0000F6000000}"/>
    <cellStyle name="Comma 12 2" xfId="1975" xr:uid="{CC018DC7-24B8-4CB7-BD63-95A368F62D8C}"/>
    <cellStyle name="Comma 13" xfId="257" xr:uid="{00000000-0005-0000-0000-0000F7000000}"/>
    <cellStyle name="Comma 13 2" xfId="1976" xr:uid="{06186FD3-0A9A-4660-BCEB-D25E1E85683A}"/>
    <cellStyle name="Comma 14" xfId="1968" xr:uid="{7BCCA787-21F0-401C-8C3B-F73C8D47F59D}"/>
    <cellStyle name="Comma 2" xfId="258" xr:uid="{00000000-0005-0000-0000-0000F8000000}"/>
    <cellStyle name="Comma 2 10" xfId="259" xr:uid="{00000000-0005-0000-0000-0000F9000000}"/>
    <cellStyle name="Comma 2 10 2" xfId="1978" xr:uid="{4BA3555E-EC3C-4C92-94A9-5CB191D68218}"/>
    <cellStyle name="Comma 2 11" xfId="260" xr:uid="{00000000-0005-0000-0000-0000FA000000}"/>
    <cellStyle name="Comma 2 11 2" xfId="1979" xr:uid="{DFA2A76E-CF35-4D20-BA8B-68A66D3CD0A6}"/>
    <cellStyle name="Comma 2 12" xfId="261" xr:uid="{00000000-0005-0000-0000-0000FB000000}"/>
    <cellStyle name="Comma 2 12 2" xfId="1980" xr:uid="{70DEB537-FD08-415E-8EAE-710BA6CFCAE9}"/>
    <cellStyle name="Comma 2 13" xfId="262" xr:uid="{00000000-0005-0000-0000-0000FC000000}"/>
    <cellStyle name="Comma 2 13 2" xfId="1981" xr:uid="{1E4F3DEC-68D7-49BF-B8E0-A4DC1C7BDAB8}"/>
    <cellStyle name="Comma 2 14" xfId="263" xr:uid="{00000000-0005-0000-0000-0000FD000000}"/>
    <cellStyle name="Comma 2 14 2" xfId="1982" xr:uid="{F3F13E92-8F6A-458D-9882-5415DC195D86}"/>
    <cellStyle name="Comma 2 15" xfId="264" xr:uid="{00000000-0005-0000-0000-0000FE000000}"/>
    <cellStyle name="Comma 2 15 2" xfId="1983" xr:uid="{B21F1657-2ABD-47D2-82A9-EB881C208AC4}"/>
    <cellStyle name="Comma 2 16" xfId="265" xr:uid="{00000000-0005-0000-0000-0000FF000000}"/>
    <cellStyle name="Comma 2 16 2" xfId="1984" xr:uid="{E5FB9074-F47F-4BE9-91A6-A98A575EC42C}"/>
    <cellStyle name="Comma 2 17" xfId="266" xr:uid="{00000000-0005-0000-0000-000000010000}"/>
    <cellStyle name="Comma 2 17 2" xfId="1985" xr:uid="{72A18893-F58D-4F09-8576-528A384A039C}"/>
    <cellStyle name="Comma 2 18" xfId="267" xr:uid="{00000000-0005-0000-0000-000001010000}"/>
    <cellStyle name="Comma 2 18 2" xfId="1986" xr:uid="{175BC9E0-B69A-41E9-BD37-C52B6A8AC07B}"/>
    <cellStyle name="Comma 2 19" xfId="268" xr:uid="{00000000-0005-0000-0000-000002010000}"/>
    <cellStyle name="Comma 2 19 2" xfId="1987" xr:uid="{0E726536-5A82-4200-A704-5F2E398E7C63}"/>
    <cellStyle name="Comma 2 2" xfId="269" xr:uid="{00000000-0005-0000-0000-000003010000}"/>
    <cellStyle name="Comma 2 2 10" xfId="270" xr:uid="{00000000-0005-0000-0000-000004010000}"/>
    <cellStyle name="Comma 2 2 10 2" xfId="1989" xr:uid="{C023D224-7240-4A6C-A4EB-41A13463ED61}"/>
    <cellStyle name="Comma 2 2 11" xfId="271" xr:uid="{00000000-0005-0000-0000-000005010000}"/>
    <cellStyle name="Comma 2 2 11 2" xfId="1990" xr:uid="{AD3B6781-B5FB-44BB-B57A-F8C20567EFDD}"/>
    <cellStyle name="Comma 2 2 12" xfId="272" xr:uid="{00000000-0005-0000-0000-000006010000}"/>
    <cellStyle name="Comma 2 2 12 2" xfId="1991" xr:uid="{594AF16A-D680-4F21-9BAE-343C16C32F5E}"/>
    <cellStyle name="Comma 2 2 13" xfId="273" xr:uid="{00000000-0005-0000-0000-000007010000}"/>
    <cellStyle name="Comma 2 2 13 2" xfId="1992" xr:uid="{69BDEE4E-D729-42B9-B5A4-201B398D6663}"/>
    <cellStyle name="Comma 2 2 14" xfId="274" xr:uid="{00000000-0005-0000-0000-000008010000}"/>
    <cellStyle name="Comma 2 2 14 2" xfId="1993" xr:uid="{78F47108-E60B-48CF-9075-7EA7E874BDE3}"/>
    <cellStyle name="Comma 2 2 15" xfId="275" xr:uid="{00000000-0005-0000-0000-000009010000}"/>
    <cellStyle name="Comma 2 2 15 2" xfId="1994" xr:uid="{B98ED2EA-A1AE-4D3A-9427-2265763FC176}"/>
    <cellStyle name="Comma 2 2 16" xfId="276" xr:uid="{00000000-0005-0000-0000-00000A010000}"/>
    <cellStyle name="Comma 2 2 16 2" xfId="1995" xr:uid="{46DB0622-648F-486E-8260-1345A56C7089}"/>
    <cellStyle name="Comma 2 2 17" xfId="277" xr:uid="{00000000-0005-0000-0000-00000B010000}"/>
    <cellStyle name="Comma 2 2 17 2" xfId="1996" xr:uid="{00A573DB-7E3E-4E19-8889-1A22275222E7}"/>
    <cellStyle name="Comma 2 2 18" xfId="278" xr:uid="{00000000-0005-0000-0000-00000C010000}"/>
    <cellStyle name="Comma 2 2 18 2" xfId="1997" xr:uid="{8A914F7D-8501-4E48-9C11-E12A4F6A6A59}"/>
    <cellStyle name="Comma 2 2 19" xfId="279" xr:uid="{00000000-0005-0000-0000-00000D010000}"/>
    <cellStyle name="Comma 2 2 19 2" xfId="1998" xr:uid="{ADC225DE-873C-4CAB-99FE-7A6814ACA7AE}"/>
    <cellStyle name="Comma 2 2 2" xfId="280" xr:uid="{00000000-0005-0000-0000-00000E010000}"/>
    <cellStyle name="Comma 2 2 2 10" xfId="281" xr:uid="{00000000-0005-0000-0000-00000F010000}"/>
    <cellStyle name="Comma 2 2 2 11" xfId="282" xr:uid="{00000000-0005-0000-0000-000010010000}"/>
    <cellStyle name="Comma 2 2 2 12" xfId="283" xr:uid="{00000000-0005-0000-0000-000011010000}"/>
    <cellStyle name="Comma 2 2 2 13" xfId="284" xr:uid="{00000000-0005-0000-0000-000012010000}"/>
    <cellStyle name="Comma 2 2 2 14" xfId="285" xr:uid="{00000000-0005-0000-0000-000013010000}"/>
    <cellStyle name="Comma 2 2 2 15" xfId="286" xr:uid="{00000000-0005-0000-0000-000014010000}"/>
    <cellStyle name="Comma 2 2 2 16" xfId="287" xr:uid="{00000000-0005-0000-0000-000015010000}"/>
    <cellStyle name="Comma 2 2 2 17" xfId="288" xr:uid="{00000000-0005-0000-0000-000016010000}"/>
    <cellStyle name="Comma 2 2 2 18" xfId="289" xr:uid="{00000000-0005-0000-0000-000017010000}"/>
    <cellStyle name="Comma 2 2 2 19" xfId="1999" xr:uid="{C590FFB5-8CB3-4C5F-A4EE-DF93B754DA92}"/>
    <cellStyle name="Comma 2 2 2 2" xfId="290" xr:uid="{00000000-0005-0000-0000-000018010000}"/>
    <cellStyle name="Comma 2 2 2 2 2" xfId="291" xr:uid="{00000000-0005-0000-0000-000019010000}"/>
    <cellStyle name="Comma 2 2 2 2 2 2" xfId="292" xr:uid="{00000000-0005-0000-0000-00001A010000}"/>
    <cellStyle name="Comma 2 2 2 2 2 3" xfId="293" xr:uid="{00000000-0005-0000-0000-00001B010000}"/>
    <cellStyle name="Comma 2 2 2 2 2 4" xfId="294" xr:uid="{00000000-0005-0000-0000-00001C010000}"/>
    <cellStyle name="Comma 2 2 2 2 2 5" xfId="295" xr:uid="{00000000-0005-0000-0000-00001D010000}"/>
    <cellStyle name="Comma 2 2 2 2 2 6" xfId="296" xr:uid="{00000000-0005-0000-0000-00001E010000}"/>
    <cellStyle name="Comma 2 2 2 2 2 7" xfId="297" xr:uid="{00000000-0005-0000-0000-00001F010000}"/>
    <cellStyle name="Comma 2 2 2 2 2 8" xfId="2000" xr:uid="{EA404072-C049-4E00-A29F-8F17F3048134}"/>
    <cellStyle name="Comma 2 2 2 2 3" xfId="298" xr:uid="{00000000-0005-0000-0000-000020010000}"/>
    <cellStyle name="Comma 2 2 2 2 4" xfId="299" xr:uid="{00000000-0005-0000-0000-000021010000}"/>
    <cellStyle name="Comma 2 2 2 2 4 2" xfId="2001" xr:uid="{AD64E309-BA46-4723-9169-5B5CDA76FBAF}"/>
    <cellStyle name="Comma 2 2 2 2 5" xfId="300" xr:uid="{00000000-0005-0000-0000-000022010000}"/>
    <cellStyle name="Comma 2 2 2 2 5 2" xfId="2002" xr:uid="{CA56E4E0-A381-4D36-BE9A-99D7BB82E474}"/>
    <cellStyle name="Comma 2 2 2 2 6" xfId="301" xr:uid="{00000000-0005-0000-0000-000023010000}"/>
    <cellStyle name="Comma 2 2 2 2 6 2" xfId="2003" xr:uid="{B0D22BC4-8EF9-4C87-8226-03316C7B8ED7}"/>
    <cellStyle name="Comma 2 2 2 2 7" xfId="302" xr:uid="{00000000-0005-0000-0000-000024010000}"/>
    <cellStyle name="Comma 2 2 2 2 7 2" xfId="2004" xr:uid="{F279AECE-C57C-4C47-9EA3-0F7C52AA5758}"/>
    <cellStyle name="Comma 2 2 2 2 8" xfId="303" xr:uid="{00000000-0005-0000-0000-000025010000}"/>
    <cellStyle name="Comma 2 2 2 2 8 2" xfId="2005" xr:uid="{07F26F3F-38CF-405A-948D-50E2A50DB5FC}"/>
    <cellStyle name="Comma 2 2 2 3" xfId="304" xr:uid="{00000000-0005-0000-0000-000026010000}"/>
    <cellStyle name="Comma 2 2 2 4" xfId="305" xr:uid="{00000000-0005-0000-0000-000027010000}"/>
    <cellStyle name="Comma 2 2 2 5" xfId="306" xr:uid="{00000000-0005-0000-0000-000028010000}"/>
    <cellStyle name="Comma 2 2 2 5 2" xfId="307" xr:uid="{00000000-0005-0000-0000-000029010000}"/>
    <cellStyle name="Comma 2 2 2 5 2 2" xfId="2006" xr:uid="{FDD1C424-59C5-459C-929A-32F2BE833F33}"/>
    <cellStyle name="Comma 2 2 2 5 3" xfId="308" xr:uid="{00000000-0005-0000-0000-00002A010000}"/>
    <cellStyle name="Comma 2 2 2 5 3 2" xfId="2007" xr:uid="{D7B7EB99-DFD3-49D7-BCAA-932B5A6DDEB2}"/>
    <cellStyle name="Comma 2 2 2 5 4" xfId="309" xr:uid="{00000000-0005-0000-0000-00002B010000}"/>
    <cellStyle name="Comma 2 2 2 5 4 2" xfId="2008" xr:uid="{25EA52BB-FAE1-461F-87ED-7694411413D1}"/>
    <cellStyle name="Comma 2 2 2 5 5" xfId="310" xr:uid="{00000000-0005-0000-0000-00002C010000}"/>
    <cellStyle name="Comma 2 2 2 5 5 2" xfId="2009" xr:uid="{24DA45EE-14E0-4A3A-A8BE-8A36F0757D7F}"/>
    <cellStyle name="Comma 2 2 2 5 6" xfId="311" xr:uid="{00000000-0005-0000-0000-00002D010000}"/>
    <cellStyle name="Comma 2 2 2 5 6 2" xfId="2010" xr:uid="{9901C85D-8E6E-41A2-A289-1076D3189E70}"/>
    <cellStyle name="Comma 2 2 2 5 7" xfId="312" xr:uid="{00000000-0005-0000-0000-00002E010000}"/>
    <cellStyle name="Comma 2 2 2 5 7 2" xfId="2011" xr:uid="{C7805948-05A1-46F8-8C34-5C0D147C725E}"/>
    <cellStyle name="Comma 2 2 2 6" xfId="313" xr:uid="{00000000-0005-0000-0000-00002F010000}"/>
    <cellStyle name="Comma 2 2 2 7" xfId="314" xr:uid="{00000000-0005-0000-0000-000030010000}"/>
    <cellStyle name="Comma 2 2 2 8" xfId="315" xr:uid="{00000000-0005-0000-0000-000031010000}"/>
    <cellStyle name="Comma 2 2 2 9" xfId="316" xr:uid="{00000000-0005-0000-0000-000032010000}"/>
    <cellStyle name="Comma 2 2 20" xfId="1988" xr:uid="{14C78A75-5082-4349-A6CC-9CA7E1C377AA}"/>
    <cellStyle name="Comma 2 2 3" xfId="317" xr:uid="{00000000-0005-0000-0000-000033010000}"/>
    <cellStyle name="Comma 2 2 4" xfId="318" xr:uid="{00000000-0005-0000-0000-000034010000}"/>
    <cellStyle name="Comma 2 2 4 2" xfId="319" xr:uid="{00000000-0005-0000-0000-000035010000}"/>
    <cellStyle name="Comma 2 2 4 2 2" xfId="320" xr:uid="{00000000-0005-0000-0000-000036010000}"/>
    <cellStyle name="Comma 2 2 4 2 2 2" xfId="2014" xr:uid="{F5E32C6D-E11D-437F-A78B-DF3859AD3C62}"/>
    <cellStyle name="Comma 2 2 4 2 3" xfId="321" xr:uid="{00000000-0005-0000-0000-000037010000}"/>
    <cellStyle name="Comma 2 2 4 2 3 2" xfId="2015" xr:uid="{9F25A5E3-B1ED-4B61-A062-30A27C036044}"/>
    <cellStyle name="Comma 2 2 4 2 4" xfId="322" xr:uid="{00000000-0005-0000-0000-000038010000}"/>
    <cellStyle name="Comma 2 2 4 2 4 2" xfId="2016" xr:uid="{3D3AAEE6-CAB1-45A3-A5DF-DB5E1844CB37}"/>
    <cellStyle name="Comma 2 2 4 2 5" xfId="323" xr:uid="{00000000-0005-0000-0000-000039010000}"/>
    <cellStyle name="Comma 2 2 4 2 5 2" xfId="2017" xr:uid="{6DFD11FB-85AF-4464-8BF9-0DD50EB97AA5}"/>
    <cellStyle name="Comma 2 2 4 2 6" xfId="324" xr:uid="{00000000-0005-0000-0000-00003A010000}"/>
    <cellStyle name="Comma 2 2 4 2 6 2" xfId="2018" xr:uid="{183B33CC-F61E-4598-BA8F-BEA6D7A30DFA}"/>
    <cellStyle name="Comma 2 2 4 2 7" xfId="325" xr:uid="{00000000-0005-0000-0000-00003B010000}"/>
    <cellStyle name="Comma 2 2 4 2 7 2" xfId="2019" xr:uid="{9AE0C752-8965-4F9E-8DC5-30610D7F40DA}"/>
    <cellStyle name="Comma 2 2 4 2 8" xfId="2013" xr:uid="{83E2A89E-937A-4853-8986-6562958EDC32}"/>
    <cellStyle name="Comma 2 2 4 3" xfId="326" xr:uid="{00000000-0005-0000-0000-00003C010000}"/>
    <cellStyle name="Comma 2 2 4 3 2" xfId="2020" xr:uid="{7F5B6EAC-10CD-4AA2-A14A-93E0C4D0E856}"/>
    <cellStyle name="Comma 2 2 4 4" xfId="327" xr:uid="{00000000-0005-0000-0000-00003D010000}"/>
    <cellStyle name="Comma 2 2 4 4 2" xfId="2021" xr:uid="{F0F771F6-5C1C-4AD6-9B52-799060E54D4C}"/>
    <cellStyle name="Comma 2 2 4 5" xfId="328" xr:uid="{00000000-0005-0000-0000-00003E010000}"/>
    <cellStyle name="Comma 2 2 4 5 2" xfId="2022" xr:uid="{8E54CF5E-2661-4BF0-BB7A-5E19B5C3FAA4}"/>
    <cellStyle name="Comma 2 2 4 6" xfId="329" xr:uid="{00000000-0005-0000-0000-00003F010000}"/>
    <cellStyle name="Comma 2 2 4 6 2" xfId="2023" xr:uid="{936F0C71-127E-4319-B308-073F63C7C6D8}"/>
    <cellStyle name="Comma 2 2 4 7" xfId="330" xr:uid="{00000000-0005-0000-0000-000040010000}"/>
    <cellStyle name="Comma 2 2 4 7 2" xfId="2024" xr:uid="{457B8EE6-BD41-40E4-9F65-DB71239BCF5D}"/>
    <cellStyle name="Comma 2 2 4 8" xfId="331" xr:uid="{00000000-0005-0000-0000-000041010000}"/>
    <cellStyle name="Comma 2 2 4 8 2" xfId="2025" xr:uid="{864C1DDA-D490-4179-AA74-9BD69A727C3F}"/>
    <cellStyle name="Comma 2 2 4 9" xfId="2012" xr:uid="{A1E55D41-01AA-4D83-A892-3CB1D678ADB2}"/>
    <cellStyle name="Comma 2 2 5" xfId="332" xr:uid="{00000000-0005-0000-0000-000042010000}"/>
    <cellStyle name="Comma 2 2 5 2" xfId="2026" xr:uid="{D139D9DD-3B42-4824-8A29-C1CFDDEDD430}"/>
    <cellStyle name="Comma 2 2 6" xfId="333" xr:uid="{00000000-0005-0000-0000-000043010000}"/>
    <cellStyle name="Comma 2 2 6 2" xfId="334" xr:uid="{00000000-0005-0000-0000-000044010000}"/>
    <cellStyle name="Comma 2 2 6 2 2" xfId="2028" xr:uid="{7C642624-5EF7-4516-B68B-BCBD28B1DDB3}"/>
    <cellStyle name="Comma 2 2 6 3" xfId="335" xr:uid="{00000000-0005-0000-0000-000045010000}"/>
    <cellStyle name="Comma 2 2 6 3 2" xfId="2029" xr:uid="{6234C715-313D-4A75-AEE3-DDCDC3BF4F36}"/>
    <cellStyle name="Comma 2 2 6 4" xfId="336" xr:uid="{00000000-0005-0000-0000-000046010000}"/>
    <cellStyle name="Comma 2 2 6 4 2" xfId="2030" xr:uid="{D84C5D49-00D5-4B68-B878-7C70D1E793DC}"/>
    <cellStyle name="Comma 2 2 6 5" xfId="337" xr:uid="{00000000-0005-0000-0000-000047010000}"/>
    <cellStyle name="Comma 2 2 6 5 2" xfId="2031" xr:uid="{D0154E14-4553-4B01-B377-44F0E0B8239D}"/>
    <cellStyle name="Comma 2 2 6 6" xfId="338" xr:uid="{00000000-0005-0000-0000-000048010000}"/>
    <cellStyle name="Comma 2 2 6 6 2" xfId="2032" xr:uid="{EE4AFDF7-D39E-4DE5-BBE6-9D2497EA0AE8}"/>
    <cellStyle name="Comma 2 2 6 7" xfId="339" xr:uid="{00000000-0005-0000-0000-000049010000}"/>
    <cellStyle name="Comma 2 2 6 7 2" xfId="2033" xr:uid="{DB8C9223-A86B-4014-8E0F-CDFB5D12DB0B}"/>
    <cellStyle name="Comma 2 2 6 8" xfId="2027" xr:uid="{AC7DC620-7F48-4EBD-85C2-85FA91FDB481}"/>
    <cellStyle name="Comma 2 2 7" xfId="340" xr:uid="{00000000-0005-0000-0000-00004A010000}"/>
    <cellStyle name="Comma 2 2 7 2" xfId="2034" xr:uid="{D372CCE3-6083-4E53-A30C-21838C4795DF}"/>
    <cellStyle name="Comma 2 2 8" xfId="341" xr:uid="{00000000-0005-0000-0000-00004B010000}"/>
    <cellStyle name="Comma 2 2 8 2" xfId="2035" xr:uid="{0FFE1437-9D65-4CE4-8AF2-A09F2862428F}"/>
    <cellStyle name="Comma 2 2 9" xfId="342" xr:uid="{00000000-0005-0000-0000-00004C010000}"/>
    <cellStyle name="Comma 2 2 9 2" xfId="2036" xr:uid="{C55BC292-5342-455C-85CD-1FC7C3CFAD7E}"/>
    <cellStyle name="Comma 2 2_Opex Input" xfId="343" xr:uid="{00000000-0005-0000-0000-00004D010000}"/>
    <cellStyle name="Comma 2 20" xfId="344" xr:uid="{00000000-0005-0000-0000-00004E010000}"/>
    <cellStyle name="Comma 2 20 2" xfId="2037" xr:uid="{E7058D38-BA37-436F-A958-5F617ABF4C1E}"/>
    <cellStyle name="Comma 2 21" xfId="1977" xr:uid="{472CFEE2-6507-478B-8310-4F3FAA73378A}"/>
    <cellStyle name="Comma 2 3" xfId="345" xr:uid="{00000000-0005-0000-0000-00004F010000}"/>
    <cellStyle name="Comma 2 3 2" xfId="346" xr:uid="{00000000-0005-0000-0000-000050010000}"/>
    <cellStyle name="Comma 2 3 2 2" xfId="347" xr:uid="{00000000-0005-0000-0000-000051010000}"/>
    <cellStyle name="Comma 2 3 2 2 2" xfId="2040" xr:uid="{6F41B73C-B0ED-4E4C-85E8-ACC20D4FECFD}"/>
    <cellStyle name="Comma 2 3 2 3" xfId="2039" xr:uid="{45352C0B-7924-441A-B289-131673FEB3E2}"/>
    <cellStyle name="Comma 2 3 3" xfId="348" xr:uid="{00000000-0005-0000-0000-000052010000}"/>
    <cellStyle name="Comma 2 3 3 2" xfId="2041" xr:uid="{8DE405DB-0C54-49C3-BCB2-E0A6593CD318}"/>
    <cellStyle name="Comma 2 3 4" xfId="2038" xr:uid="{36714E2A-3FD6-4825-B633-DE839B105BB5}"/>
    <cellStyle name="Comma 2 4" xfId="349" xr:uid="{00000000-0005-0000-0000-000053010000}"/>
    <cellStyle name="Comma 2 4 2" xfId="2042" xr:uid="{C3C4A5B6-3383-4EDA-B82B-60D59492C18B}"/>
    <cellStyle name="Comma 2 5" xfId="350" xr:uid="{00000000-0005-0000-0000-000054010000}"/>
    <cellStyle name="Comma 2 5 2" xfId="2043" xr:uid="{4193EE49-7B53-4F2B-A95F-A8C3649625D0}"/>
    <cellStyle name="Comma 2 6" xfId="351" xr:uid="{00000000-0005-0000-0000-000055010000}"/>
    <cellStyle name="Comma 2 6 2" xfId="2044" xr:uid="{678BEB08-D073-4857-9F95-96D70C341026}"/>
    <cellStyle name="Comma 2 7" xfId="352" xr:uid="{00000000-0005-0000-0000-000056010000}"/>
    <cellStyle name="Comma 2 7 2" xfId="2045" xr:uid="{75FC7851-9DF1-4877-B176-95D8CB0E4799}"/>
    <cellStyle name="Comma 2 8" xfId="353" xr:uid="{00000000-0005-0000-0000-000057010000}"/>
    <cellStyle name="Comma 2 8 2" xfId="2046" xr:uid="{F6476BDB-4292-4563-95D2-B6F5AEB8F466}"/>
    <cellStyle name="Comma 2 9" xfId="354" xr:uid="{00000000-0005-0000-0000-000058010000}"/>
    <cellStyle name="Comma 2 9 2" xfId="2047" xr:uid="{2D0B6C37-FBF7-438C-87ED-73C22FB29CE6}"/>
    <cellStyle name="Comma 3" xfId="355" xr:uid="{00000000-0005-0000-0000-000059010000}"/>
    <cellStyle name="Comma 3 2" xfId="356" xr:uid="{00000000-0005-0000-0000-00005A010000}"/>
    <cellStyle name="Comma 3 2 2" xfId="357" xr:uid="{00000000-0005-0000-0000-00005B010000}"/>
    <cellStyle name="Comma 3 2 2 2" xfId="2050" xr:uid="{062FB8DA-1CFD-4257-A77F-A48EE89962A7}"/>
    <cellStyle name="Comma 3 2 3" xfId="358" xr:uid="{00000000-0005-0000-0000-00005C010000}"/>
    <cellStyle name="Comma 3 2 3 2" xfId="2051" xr:uid="{AABBD7CC-C8F9-47B7-8F98-A95ECC009B61}"/>
    <cellStyle name="Comma 3 2 4" xfId="2049" xr:uid="{5D84CE89-1F90-4D8C-9455-DD9E980746AA}"/>
    <cellStyle name="Comma 3 3" xfId="359" xr:uid="{00000000-0005-0000-0000-00005D010000}"/>
    <cellStyle name="Comma 3 3 2" xfId="2052" xr:uid="{99AC7702-30CF-4D89-85A9-1A833CF897F1}"/>
    <cellStyle name="Comma 3 4" xfId="2048" xr:uid="{EE926FEE-610D-4D66-AA12-69A7A5A38203}"/>
    <cellStyle name="Comma 3_Asset Health Themes (2)" xfId="360" xr:uid="{00000000-0005-0000-0000-00005E010000}"/>
    <cellStyle name="Comma 4" xfId="361" xr:uid="{00000000-0005-0000-0000-00005F010000}"/>
    <cellStyle name="Comma 4 2" xfId="2053" xr:uid="{F6D9FE43-9DF8-4FE7-83CA-29FD6D4D82EB}"/>
    <cellStyle name="Comma 5" xfId="362" xr:uid="{00000000-0005-0000-0000-000060010000}"/>
    <cellStyle name="Comma 5 2" xfId="2054" xr:uid="{31253E87-0B01-4441-A166-8719D7F606AF}"/>
    <cellStyle name="Comma 6" xfId="29" xr:uid="{00000000-0005-0000-0000-000061010000}"/>
    <cellStyle name="Comma 6 2" xfId="1971" xr:uid="{3D7B0821-E3FA-4C7D-80A4-F1665C890DFE}"/>
    <cellStyle name="Comma 7" xfId="363" xr:uid="{00000000-0005-0000-0000-000062010000}"/>
    <cellStyle name="Comma 7 2" xfId="2055" xr:uid="{6C5D09DA-4D4E-4A9E-8B9D-AA0E9A8AEA9B}"/>
    <cellStyle name="Comma 8" xfId="364" xr:uid="{00000000-0005-0000-0000-000063010000}"/>
    <cellStyle name="Comma 8 2" xfId="365" xr:uid="{00000000-0005-0000-0000-000064010000}"/>
    <cellStyle name="Comma 8 2 2" xfId="2057" xr:uid="{EE2FE53A-55FF-4BF2-A6D8-82B4665B29AE}"/>
    <cellStyle name="Comma 8 3" xfId="366" xr:uid="{00000000-0005-0000-0000-000065010000}"/>
    <cellStyle name="Comma 8 3 2" xfId="2058" xr:uid="{AD93E471-BA8D-4FDF-9706-726B53799832}"/>
    <cellStyle name="Comma 8 4" xfId="2056" xr:uid="{79294AA9-33CC-419A-B202-E7E9C75A6E42}"/>
    <cellStyle name="Comma 9" xfId="367" xr:uid="{00000000-0005-0000-0000-000066010000}"/>
    <cellStyle name="Comma 9 2" xfId="2059" xr:uid="{60078CD5-6BF6-4090-90D2-2B8AD3EF3A89}"/>
    <cellStyle name="Comment" xfId="22" xr:uid="{00000000-0005-0000-0000-000067010000}"/>
    <cellStyle name="Date" xfId="368" xr:uid="{00000000-0005-0000-0000-000068010000}"/>
    <cellStyle name="Date 2" xfId="369" xr:uid="{00000000-0005-0000-0000-000069010000}"/>
    <cellStyle name="Date_0910 GSO Capex RRP - Final (Detail) v2 220710" xfId="370" xr:uid="{00000000-0005-0000-0000-00006A010000}"/>
    <cellStyle name="Dezimal [0]_Compiling Utility Macros" xfId="371" xr:uid="{00000000-0005-0000-0000-00006B010000}"/>
    <cellStyle name="Dezimal_Compiling Utility Macros" xfId="372" xr:uid="{00000000-0005-0000-0000-00006C010000}"/>
    <cellStyle name="Emphasis 1" xfId="373" xr:uid="{00000000-0005-0000-0000-00006D010000}"/>
    <cellStyle name="Emphasis 2" xfId="374" xr:uid="{00000000-0005-0000-0000-00006E010000}"/>
    <cellStyle name="Emphasis 3" xfId="375" xr:uid="{00000000-0005-0000-0000-00006F010000}"/>
    <cellStyle name="Euro" xfId="376" xr:uid="{00000000-0005-0000-0000-000070010000}"/>
    <cellStyle name="Explanatory Text 2" xfId="377" xr:uid="{00000000-0005-0000-0000-000071010000}"/>
    <cellStyle name="Explanatory Text 3" xfId="378" xr:uid="{00000000-0005-0000-0000-000072010000}"/>
    <cellStyle name="Good 2" xfId="379" xr:uid="{00000000-0005-0000-0000-000073010000}"/>
    <cellStyle name="Good 3" xfId="380" xr:uid="{00000000-0005-0000-0000-000074010000}"/>
    <cellStyle name="GreyOrWhite" xfId="381" xr:uid="{00000000-0005-0000-0000-000075010000}"/>
    <cellStyle name="GreyOrWhite 2" xfId="382" xr:uid="{00000000-0005-0000-0000-000076010000}"/>
    <cellStyle name="GreyOrWhite 2 2" xfId="383" xr:uid="{00000000-0005-0000-0000-000077010000}"/>
    <cellStyle name="GreyOrWhite 2 3" xfId="384" xr:uid="{00000000-0005-0000-0000-000078010000}"/>
    <cellStyle name="GreyOrWhite 2 4" xfId="385" xr:uid="{00000000-0005-0000-0000-000079010000}"/>
    <cellStyle name="GreyOrWhite 2 5" xfId="386" xr:uid="{00000000-0005-0000-0000-00007A010000}"/>
    <cellStyle name="GreyOrWhite 2 6" xfId="387" xr:uid="{00000000-0005-0000-0000-00007B010000}"/>
    <cellStyle name="GreyOrWhite 2 7" xfId="388" xr:uid="{00000000-0005-0000-0000-00007C010000}"/>
    <cellStyle name="GreyOrWhite 2 8" xfId="389" xr:uid="{00000000-0005-0000-0000-00007D010000}"/>
    <cellStyle name="Heading 1 2" xfId="390" xr:uid="{00000000-0005-0000-0000-00007E010000}"/>
    <cellStyle name="Heading 1 3" xfId="391" xr:uid="{00000000-0005-0000-0000-00007F010000}"/>
    <cellStyle name="Heading 2 2" xfId="392" xr:uid="{00000000-0005-0000-0000-000080010000}"/>
    <cellStyle name="Heading 2 3" xfId="393" xr:uid="{00000000-0005-0000-0000-000081010000}"/>
    <cellStyle name="Heading 3 2" xfId="394" xr:uid="{00000000-0005-0000-0000-000082010000}"/>
    <cellStyle name="Heading 3 3" xfId="395" xr:uid="{00000000-0005-0000-0000-000083010000}"/>
    <cellStyle name="Heading 4 2" xfId="396" xr:uid="{00000000-0005-0000-0000-000084010000}"/>
    <cellStyle name="Heading 4 3" xfId="397" xr:uid="{00000000-0005-0000-0000-000085010000}"/>
    <cellStyle name="Hyperlink" xfId="9" builtinId="8"/>
    <cellStyle name="Hyperlink 2" xfId="36" xr:uid="{00000000-0005-0000-0000-000087010000}"/>
    <cellStyle name="Hyperlink 6" xfId="14" xr:uid="{00000000-0005-0000-0000-000088010000}"/>
    <cellStyle name="Hyperlink 6 3" xfId="1350" xr:uid="{00000000-0005-0000-0000-000089010000}"/>
    <cellStyle name="Input 2" xfId="398" xr:uid="{00000000-0005-0000-0000-00008A010000}"/>
    <cellStyle name="Input 2 10" xfId="2060" xr:uid="{792A036A-5516-44D6-AE57-55475439B6F8}"/>
    <cellStyle name="Input 2 2" xfId="1366" xr:uid="{00000000-0005-0000-0000-00008B010000}"/>
    <cellStyle name="Input 2 2 2" xfId="2189" xr:uid="{3A168A37-934B-4C7D-8BB6-0C7222ACAD73}"/>
    <cellStyle name="Input 2 3" xfId="1364" xr:uid="{00000000-0005-0000-0000-00008C010000}"/>
    <cellStyle name="Input 2 3 2" xfId="2187" xr:uid="{81CC2E53-2075-4B57-9594-ECC53F230FEE}"/>
    <cellStyle name="Input 2 4" xfId="1360" xr:uid="{00000000-0005-0000-0000-00008D010000}"/>
    <cellStyle name="Input 2 4 2" xfId="2183" xr:uid="{1923BB08-812C-4370-AFA0-4E55523EF485}"/>
    <cellStyle name="Input 2 5" xfId="1371" xr:uid="{00000000-0005-0000-0000-00008E010000}"/>
    <cellStyle name="Input 2 5 2" xfId="2194" xr:uid="{E082C190-23D9-4E82-84A3-D47DA0D3AD58}"/>
    <cellStyle name="Input 2 6" xfId="1362" xr:uid="{00000000-0005-0000-0000-00008F010000}"/>
    <cellStyle name="Input 2 6 2" xfId="2185" xr:uid="{6D07D974-456A-4FCC-B04D-5AA0EE824E9D}"/>
    <cellStyle name="Input 2 7" xfId="1369" xr:uid="{00000000-0005-0000-0000-000090010000}"/>
    <cellStyle name="Input 2 7 2" xfId="2192" xr:uid="{520D724A-604B-43FC-BD22-495CBBB1DFF6}"/>
    <cellStyle name="Input 2 8" xfId="1935" xr:uid="{00000000-0005-0000-0000-000091010000}"/>
    <cellStyle name="Input 2 8 2" xfId="2701" xr:uid="{EC83D2BA-AC63-45CF-93C5-AD708C6AB0CF}"/>
    <cellStyle name="Input 2 9" xfId="1932" xr:uid="{00000000-0005-0000-0000-000092010000}"/>
    <cellStyle name="Input 2 9 2" xfId="2698" xr:uid="{AEB6FDC6-AD0B-4BA6-BE99-752C4A539DCB}"/>
    <cellStyle name="Input 3" xfId="399" xr:uid="{00000000-0005-0000-0000-000093010000}"/>
    <cellStyle name="Input 3 10" xfId="2061" xr:uid="{C0370749-3748-4D54-B3B0-CEE736A7A511}"/>
    <cellStyle name="Input 3 2" xfId="1367" xr:uid="{00000000-0005-0000-0000-000094010000}"/>
    <cellStyle name="Input 3 2 2" xfId="2190" xr:uid="{E715D175-7A96-4B2B-9B6A-87C8BDC26634}"/>
    <cellStyle name="Input 3 3" xfId="1365" xr:uid="{00000000-0005-0000-0000-000095010000}"/>
    <cellStyle name="Input 3 3 2" xfId="2188" xr:uid="{8172C11D-82DA-4F3A-B6C5-445C15BBED5B}"/>
    <cellStyle name="Input 3 4" xfId="1361" xr:uid="{00000000-0005-0000-0000-000096010000}"/>
    <cellStyle name="Input 3 4 2" xfId="2184" xr:uid="{275C7EF8-DB35-415A-B00D-7F7B34B6596C}"/>
    <cellStyle name="Input 3 5" xfId="1370" xr:uid="{00000000-0005-0000-0000-000097010000}"/>
    <cellStyle name="Input 3 5 2" xfId="2193" xr:uid="{2067D81D-B2E2-4006-9803-57C1AD310C24}"/>
    <cellStyle name="Input 3 6" xfId="1363" xr:uid="{00000000-0005-0000-0000-000098010000}"/>
    <cellStyle name="Input 3 6 2" xfId="2186" xr:uid="{5F8676F4-3047-4FFD-BC6E-32C87108C9FC}"/>
    <cellStyle name="Input 3 7" xfId="1368" xr:uid="{00000000-0005-0000-0000-000099010000}"/>
    <cellStyle name="Input 3 7 2" xfId="2191" xr:uid="{458E41F4-EFD5-4324-9639-9504D409A8AB}"/>
    <cellStyle name="Input 3 8" xfId="1934" xr:uid="{00000000-0005-0000-0000-00009A010000}"/>
    <cellStyle name="Input 3 8 2" xfId="2700" xr:uid="{201F9BEB-F03C-4412-A486-6801602389CB}"/>
    <cellStyle name="Input 3 9" xfId="1933" xr:uid="{00000000-0005-0000-0000-00009B010000}"/>
    <cellStyle name="Input 3 9 2" xfId="2699" xr:uid="{6A5BC0ED-6257-49E9-93DE-DEE4E841058C}"/>
    <cellStyle name="InputData" xfId="400" xr:uid="{00000000-0005-0000-0000-00009C010000}"/>
    <cellStyle name="Level 1" xfId="19" xr:uid="{00000000-0005-0000-0000-00009D010000}"/>
    <cellStyle name="Level 2" xfId="20" xr:uid="{00000000-0005-0000-0000-00009E010000}"/>
    <cellStyle name="Level 3" xfId="21" xr:uid="{00000000-0005-0000-0000-00009F010000}"/>
    <cellStyle name="Level 4" xfId="18" xr:uid="{00000000-0005-0000-0000-0000A0010000}"/>
    <cellStyle name="Linked Cell 2" xfId="401" xr:uid="{00000000-0005-0000-0000-0000A1010000}"/>
    <cellStyle name="Linked Cell 3" xfId="402" xr:uid="{00000000-0005-0000-0000-0000A2010000}"/>
    <cellStyle name="Main Heading" xfId="403" xr:uid="{00000000-0005-0000-0000-0000A3010000}"/>
    <cellStyle name="Neutral 2" xfId="404" xr:uid="{00000000-0005-0000-0000-0000A4010000}"/>
    <cellStyle name="Neutral 3" xfId="405" xr:uid="{00000000-0005-0000-0000-0000A5010000}"/>
    <cellStyle name="Normal" xfId="0" builtinId="0"/>
    <cellStyle name="Normal 10" xfId="406" xr:uid="{00000000-0005-0000-0000-0000A7010000}"/>
    <cellStyle name="Normal 11" xfId="407" xr:uid="{00000000-0005-0000-0000-0000A8010000}"/>
    <cellStyle name="Normal 11 2" xfId="16" xr:uid="{00000000-0005-0000-0000-0000A9010000}"/>
    <cellStyle name="Normal 11 2 2" xfId="408" xr:uid="{00000000-0005-0000-0000-0000AA010000}"/>
    <cellStyle name="Normal 11 2 25" xfId="1349" xr:uid="{00000000-0005-0000-0000-0000AB010000}"/>
    <cellStyle name="Normal 12" xfId="409" xr:uid="{00000000-0005-0000-0000-0000AC010000}"/>
    <cellStyle name="Normal 12 2" xfId="410" xr:uid="{00000000-0005-0000-0000-0000AD010000}"/>
    <cellStyle name="Normal 13" xfId="411" xr:uid="{00000000-0005-0000-0000-0000AE010000}"/>
    <cellStyle name="Normal 13 2" xfId="30" xr:uid="{00000000-0005-0000-0000-0000AF010000}"/>
    <cellStyle name="Normal 13 2 10" xfId="1321" xr:uid="{00000000-0005-0000-0000-0000B0010000}"/>
    <cellStyle name="Normal 13 2 2 2" xfId="8" xr:uid="{00000000-0005-0000-0000-0000B1010000}"/>
    <cellStyle name="Normal 14" xfId="27" xr:uid="{00000000-0005-0000-0000-0000B2010000}"/>
    <cellStyle name="Normal 14 2 10" xfId="1322" xr:uid="{00000000-0005-0000-0000-0000B3010000}"/>
    <cellStyle name="Normal 14 2_List of table gaps" xfId="3" xr:uid="{00000000-0005-0000-0000-0000B4010000}"/>
    <cellStyle name="Normal 15" xfId="25" xr:uid="{00000000-0005-0000-0000-0000B5010000}"/>
    <cellStyle name="Normal 16" xfId="412" xr:uid="{00000000-0005-0000-0000-0000B6010000}"/>
    <cellStyle name="Normal 17" xfId="413" xr:uid="{00000000-0005-0000-0000-0000B7010000}"/>
    <cellStyle name="Normal 18" xfId="414" xr:uid="{00000000-0005-0000-0000-0000B8010000}"/>
    <cellStyle name="Normal 19" xfId="415" xr:uid="{00000000-0005-0000-0000-0000B9010000}"/>
    <cellStyle name="Normal 2" xfId="416" xr:uid="{00000000-0005-0000-0000-0000BA010000}"/>
    <cellStyle name="Normal 2 10" xfId="417" xr:uid="{00000000-0005-0000-0000-0000BB010000}"/>
    <cellStyle name="Normal 2 11" xfId="418" xr:uid="{00000000-0005-0000-0000-0000BC010000}"/>
    <cellStyle name="Normal 2 12" xfId="419" xr:uid="{00000000-0005-0000-0000-0000BD010000}"/>
    <cellStyle name="Normal 2 13" xfId="420" xr:uid="{00000000-0005-0000-0000-0000BE010000}"/>
    <cellStyle name="Normal 2 14" xfId="421" xr:uid="{00000000-0005-0000-0000-0000BF010000}"/>
    <cellStyle name="Normal 2 15" xfId="422" xr:uid="{00000000-0005-0000-0000-0000C0010000}"/>
    <cellStyle name="Normal 2 16" xfId="423" xr:uid="{00000000-0005-0000-0000-0000C1010000}"/>
    <cellStyle name="Normal 2 17" xfId="424" xr:uid="{00000000-0005-0000-0000-0000C2010000}"/>
    <cellStyle name="Normal 2 18" xfId="425" xr:uid="{00000000-0005-0000-0000-0000C3010000}"/>
    <cellStyle name="Normal 2 19" xfId="426" xr:uid="{00000000-0005-0000-0000-0000C4010000}"/>
    <cellStyle name="Normal 2 2" xfId="427" xr:uid="{00000000-0005-0000-0000-0000C5010000}"/>
    <cellStyle name="Normal 2 2 10" xfId="428" xr:uid="{00000000-0005-0000-0000-0000C6010000}"/>
    <cellStyle name="Normal 2 2 11" xfId="429" xr:uid="{00000000-0005-0000-0000-0000C7010000}"/>
    <cellStyle name="Normal 2 2 11 2" xfId="430" xr:uid="{00000000-0005-0000-0000-0000C8010000}"/>
    <cellStyle name="Normal 2 2 11 2 2" xfId="431" xr:uid="{00000000-0005-0000-0000-0000C9010000}"/>
    <cellStyle name="Normal 2 2 11 2 3" xfId="432" xr:uid="{00000000-0005-0000-0000-0000CA010000}"/>
    <cellStyle name="Normal 2 2 11 2 4" xfId="433" xr:uid="{00000000-0005-0000-0000-0000CB010000}"/>
    <cellStyle name="Normal 2 2 11 2 5" xfId="434" xr:uid="{00000000-0005-0000-0000-0000CC010000}"/>
    <cellStyle name="Normal 2 2 11 2 6" xfId="435" xr:uid="{00000000-0005-0000-0000-0000CD010000}"/>
    <cellStyle name="Normal 2 2 11 2 7" xfId="436" xr:uid="{00000000-0005-0000-0000-0000CE010000}"/>
    <cellStyle name="Normal 2 2 11 3" xfId="437" xr:uid="{00000000-0005-0000-0000-0000CF010000}"/>
    <cellStyle name="Normal 2 2 11 4" xfId="438" xr:uid="{00000000-0005-0000-0000-0000D0010000}"/>
    <cellStyle name="Normal 2 2 11 5" xfId="439" xr:uid="{00000000-0005-0000-0000-0000D1010000}"/>
    <cellStyle name="Normal 2 2 11 6" xfId="440" xr:uid="{00000000-0005-0000-0000-0000D2010000}"/>
    <cellStyle name="Normal 2 2 11 7" xfId="441" xr:uid="{00000000-0005-0000-0000-0000D3010000}"/>
    <cellStyle name="Normal 2 2 11 8" xfId="442" xr:uid="{00000000-0005-0000-0000-0000D4010000}"/>
    <cellStyle name="Normal 2 2 12" xfId="443" xr:uid="{00000000-0005-0000-0000-0000D5010000}"/>
    <cellStyle name="Normal 2 2 13" xfId="444" xr:uid="{00000000-0005-0000-0000-0000D6010000}"/>
    <cellStyle name="Normal 2 2 13 2" xfId="445" xr:uid="{00000000-0005-0000-0000-0000D7010000}"/>
    <cellStyle name="Normal 2 2 13 3" xfId="446" xr:uid="{00000000-0005-0000-0000-0000D8010000}"/>
    <cellStyle name="Normal 2 2 13 4" xfId="447" xr:uid="{00000000-0005-0000-0000-0000D9010000}"/>
    <cellStyle name="Normal 2 2 13 5" xfId="448" xr:uid="{00000000-0005-0000-0000-0000DA010000}"/>
    <cellStyle name="Normal 2 2 13 6" xfId="449" xr:uid="{00000000-0005-0000-0000-0000DB010000}"/>
    <cellStyle name="Normal 2 2 13 7" xfId="450" xr:uid="{00000000-0005-0000-0000-0000DC010000}"/>
    <cellStyle name="Normal 2 2 14" xfId="451" xr:uid="{00000000-0005-0000-0000-0000DD010000}"/>
    <cellStyle name="Normal 2 2 15" xfId="452" xr:uid="{00000000-0005-0000-0000-0000DE010000}"/>
    <cellStyle name="Normal 2 2 16" xfId="453" xr:uid="{00000000-0005-0000-0000-0000DF010000}"/>
    <cellStyle name="Normal 2 2 17" xfId="454" xr:uid="{00000000-0005-0000-0000-0000E0010000}"/>
    <cellStyle name="Normal 2 2 18" xfId="455" xr:uid="{00000000-0005-0000-0000-0000E1010000}"/>
    <cellStyle name="Normal 2 2 19" xfId="456" xr:uid="{00000000-0005-0000-0000-0000E2010000}"/>
    <cellStyle name="Normal 2 2 2" xfId="457" xr:uid="{00000000-0005-0000-0000-0000E3010000}"/>
    <cellStyle name="Normal 2 2 2 10" xfId="458" xr:uid="{00000000-0005-0000-0000-0000E4010000}"/>
    <cellStyle name="Normal 2 2 2 11" xfId="459" xr:uid="{00000000-0005-0000-0000-0000E5010000}"/>
    <cellStyle name="Normal 2 2 2 11 2" xfId="460" xr:uid="{00000000-0005-0000-0000-0000E6010000}"/>
    <cellStyle name="Normal 2 2 2 11 2 2" xfId="461" xr:uid="{00000000-0005-0000-0000-0000E7010000}"/>
    <cellStyle name="Normal 2 2 2 11 2 3" xfId="462" xr:uid="{00000000-0005-0000-0000-0000E8010000}"/>
    <cellStyle name="Normal 2 2 2 11 2 4" xfId="463" xr:uid="{00000000-0005-0000-0000-0000E9010000}"/>
    <cellStyle name="Normal 2 2 2 11 2 5" xfId="464" xr:uid="{00000000-0005-0000-0000-0000EA010000}"/>
    <cellStyle name="Normal 2 2 2 11 2 6" xfId="465" xr:uid="{00000000-0005-0000-0000-0000EB010000}"/>
    <cellStyle name="Normal 2 2 2 11 2 7" xfId="466" xr:uid="{00000000-0005-0000-0000-0000EC010000}"/>
    <cellStyle name="Normal 2 2 2 11 3" xfId="467" xr:uid="{00000000-0005-0000-0000-0000ED010000}"/>
    <cellStyle name="Normal 2 2 2 11 4" xfId="468" xr:uid="{00000000-0005-0000-0000-0000EE010000}"/>
    <cellStyle name="Normal 2 2 2 11 5" xfId="469" xr:uid="{00000000-0005-0000-0000-0000EF010000}"/>
    <cellStyle name="Normal 2 2 2 11 6" xfId="470" xr:uid="{00000000-0005-0000-0000-0000F0010000}"/>
    <cellStyle name="Normal 2 2 2 11 7" xfId="471" xr:uid="{00000000-0005-0000-0000-0000F1010000}"/>
    <cellStyle name="Normal 2 2 2 11 8" xfId="472" xr:uid="{00000000-0005-0000-0000-0000F2010000}"/>
    <cellStyle name="Normal 2 2 2 12" xfId="473" xr:uid="{00000000-0005-0000-0000-0000F3010000}"/>
    <cellStyle name="Normal 2 2 2 13" xfId="474" xr:uid="{00000000-0005-0000-0000-0000F4010000}"/>
    <cellStyle name="Normal 2 2 2 13 2" xfId="475" xr:uid="{00000000-0005-0000-0000-0000F5010000}"/>
    <cellStyle name="Normal 2 2 2 13 3" xfId="476" xr:uid="{00000000-0005-0000-0000-0000F6010000}"/>
    <cellStyle name="Normal 2 2 2 13 4" xfId="477" xr:uid="{00000000-0005-0000-0000-0000F7010000}"/>
    <cellStyle name="Normal 2 2 2 13 5" xfId="478" xr:uid="{00000000-0005-0000-0000-0000F8010000}"/>
    <cellStyle name="Normal 2 2 2 13 6" xfId="479" xr:uid="{00000000-0005-0000-0000-0000F9010000}"/>
    <cellStyle name="Normal 2 2 2 13 7" xfId="480" xr:uid="{00000000-0005-0000-0000-0000FA010000}"/>
    <cellStyle name="Normal 2 2 2 14" xfId="481" xr:uid="{00000000-0005-0000-0000-0000FB010000}"/>
    <cellStyle name="Normal 2 2 2 15" xfId="482" xr:uid="{00000000-0005-0000-0000-0000FC010000}"/>
    <cellStyle name="Normal 2 2 2 16" xfId="483" xr:uid="{00000000-0005-0000-0000-0000FD010000}"/>
    <cellStyle name="Normal 2 2 2 17" xfId="484" xr:uid="{00000000-0005-0000-0000-0000FE010000}"/>
    <cellStyle name="Normal 2 2 2 18" xfId="485" xr:uid="{00000000-0005-0000-0000-0000FF010000}"/>
    <cellStyle name="Normal 2 2 2 19" xfId="486" xr:uid="{00000000-0005-0000-0000-000000020000}"/>
    <cellStyle name="Normal 2 2 2 2" xfId="487" xr:uid="{00000000-0005-0000-0000-000001020000}"/>
    <cellStyle name="Normal 2 2 2 2 10" xfId="488" xr:uid="{00000000-0005-0000-0000-000002020000}"/>
    <cellStyle name="Normal 2 2 2 2 11" xfId="489" xr:uid="{00000000-0005-0000-0000-000003020000}"/>
    <cellStyle name="Normal 2 2 2 2 11 2" xfId="490" xr:uid="{00000000-0005-0000-0000-000004020000}"/>
    <cellStyle name="Normal 2 2 2 2 11 3" xfId="491" xr:uid="{00000000-0005-0000-0000-000005020000}"/>
    <cellStyle name="Normal 2 2 2 2 11 4" xfId="492" xr:uid="{00000000-0005-0000-0000-000006020000}"/>
    <cellStyle name="Normal 2 2 2 2 11 5" xfId="493" xr:uid="{00000000-0005-0000-0000-000007020000}"/>
    <cellStyle name="Normal 2 2 2 2 11 6" xfId="494" xr:uid="{00000000-0005-0000-0000-000008020000}"/>
    <cellStyle name="Normal 2 2 2 2 11 7" xfId="495" xr:uid="{00000000-0005-0000-0000-000009020000}"/>
    <cellStyle name="Normal 2 2 2 2 12" xfId="496" xr:uid="{00000000-0005-0000-0000-00000A020000}"/>
    <cellStyle name="Normal 2 2 2 2 13" xfId="497" xr:uid="{00000000-0005-0000-0000-00000B020000}"/>
    <cellStyle name="Normal 2 2 2 2 14" xfId="498" xr:uid="{00000000-0005-0000-0000-00000C020000}"/>
    <cellStyle name="Normal 2 2 2 2 15" xfId="499" xr:uid="{00000000-0005-0000-0000-00000D020000}"/>
    <cellStyle name="Normal 2 2 2 2 16" xfId="500" xr:uid="{00000000-0005-0000-0000-00000E020000}"/>
    <cellStyle name="Normal 2 2 2 2 17" xfId="501" xr:uid="{00000000-0005-0000-0000-00000F020000}"/>
    <cellStyle name="Normal 2 2 2 2 18" xfId="502" xr:uid="{00000000-0005-0000-0000-000010020000}"/>
    <cellStyle name="Normal 2 2 2 2 19" xfId="503" xr:uid="{00000000-0005-0000-0000-000011020000}"/>
    <cellStyle name="Normal 2 2 2 2 2" xfId="504" xr:uid="{00000000-0005-0000-0000-000012020000}"/>
    <cellStyle name="Normal 2 2 2 2 2 10" xfId="505" xr:uid="{00000000-0005-0000-0000-000013020000}"/>
    <cellStyle name="Normal 2 2 2 2 2 11" xfId="506" xr:uid="{00000000-0005-0000-0000-000014020000}"/>
    <cellStyle name="Normal 2 2 2 2 2 11 2" xfId="507" xr:uid="{00000000-0005-0000-0000-000015020000}"/>
    <cellStyle name="Normal 2 2 2 2 2 11 3" xfId="508" xr:uid="{00000000-0005-0000-0000-000016020000}"/>
    <cellStyle name="Normal 2 2 2 2 2 11 4" xfId="509" xr:uid="{00000000-0005-0000-0000-000017020000}"/>
    <cellStyle name="Normal 2 2 2 2 2 11 5" xfId="510" xr:uid="{00000000-0005-0000-0000-000018020000}"/>
    <cellStyle name="Normal 2 2 2 2 2 11 6" xfId="511" xr:uid="{00000000-0005-0000-0000-000019020000}"/>
    <cellStyle name="Normal 2 2 2 2 2 11 7" xfId="512" xr:uid="{00000000-0005-0000-0000-00001A020000}"/>
    <cellStyle name="Normal 2 2 2 2 2 12" xfId="513" xr:uid="{00000000-0005-0000-0000-00001B020000}"/>
    <cellStyle name="Normal 2 2 2 2 2 13" xfId="514" xr:uid="{00000000-0005-0000-0000-00001C020000}"/>
    <cellStyle name="Normal 2 2 2 2 2 14" xfId="515" xr:uid="{00000000-0005-0000-0000-00001D020000}"/>
    <cellStyle name="Normal 2 2 2 2 2 15" xfId="516" xr:uid="{00000000-0005-0000-0000-00001E020000}"/>
    <cellStyle name="Normal 2 2 2 2 2 16" xfId="517" xr:uid="{00000000-0005-0000-0000-00001F020000}"/>
    <cellStyle name="Normal 2 2 2 2 2 17" xfId="518" xr:uid="{00000000-0005-0000-0000-000020020000}"/>
    <cellStyle name="Normal 2 2 2 2 2 18" xfId="519" xr:uid="{00000000-0005-0000-0000-000021020000}"/>
    <cellStyle name="Normal 2 2 2 2 2 19" xfId="520" xr:uid="{00000000-0005-0000-0000-000022020000}"/>
    <cellStyle name="Normal 2 2 2 2 2 2" xfId="521" xr:uid="{00000000-0005-0000-0000-000023020000}"/>
    <cellStyle name="Normal 2 2 2 2 2 2 10" xfId="522" xr:uid="{00000000-0005-0000-0000-000024020000}"/>
    <cellStyle name="Normal 2 2 2 2 2 2 10 2" xfId="523" xr:uid="{00000000-0005-0000-0000-000025020000}"/>
    <cellStyle name="Normal 2 2 2 2 2 2 10 3" xfId="524" xr:uid="{00000000-0005-0000-0000-000026020000}"/>
    <cellStyle name="Normal 2 2 2 2 2 2 10 4" xfId="525" xr:uid="{00000000-0005-0000-0000-000027020000}"/>
    <cellStyle name="Normal 2 2 2 2 2 2 10 5" xfId="526" xr:uid="{00000000-0005-0000-0000-000028020000}"/>
    <cellStyle name="Normal 2 2 2 2 2 2 10 6" xfId="527" xr:uid="{00000000-0005-0000-0000-000029020000}"/>
    <cellStyle name="Normal 2 2 2 2 2 2 10 7" xfId="528" xr:uid="{00000000-0005-0000-0000-00002A020000}"/>
    <cellStyle name="Normal 2 2 2 2 2 2 11" xfId="529" xr:uid="{00000000-0005-0000-0000-00002B020000}"/>
    <cellStyle name="Normal 2 2 2 2 2 2 12" xfId="530" xr:uid="{00000000-0005-0000-0000-00002C020000}"/>
    <cellStyle name="Normal 2 2 2 2 2 2 13" xfId="531" xr:uid="{00000000-0005-0000-0000-00002D020000}"/>
    <cellStyle name="Normal 2 2 2 2 2 2 14" xfId="532" xr:uid="{00000000-0005-0000-0000-00002E020000}"/>
    <cellStyle name="Normal 2 2 2 2 2 2 15" xfId="533" xr:uid="{00000000-0005-0000-0000-00002F020000}"/>
    <cellStyle name="Normal 2 2 2 2 2 2 16" xfId="534" xr:uid="{00000000-0005-0000-0000-000030020000}"/>
    <cellStyle name="Normal 2 2 2 2 2 2 17" xfId="535" xr:uid="{00000000-0005-0000-0000-000031020000}"/>
    <cellStyle name="Normal 2 2 2 2 2 2 18" xfId="536" xr:uid="{00000000-0005-0000-0000-000032020000}"/>
    <cellStyle name="Normal 2 2 2 2 2 2 19" xfId="537" xr:uid="{00000000-0005-0000-0000-000033020000}"/>
    <cellStyle name="Normal 2 2 2 2 2 2 2" xfId="538" xr:uid="{00000000-0005-0000-0000-000034020000}"/>
    <cellStyle name="Normal 2 2 2 2 2 2 2 10" xfId="539" xr:uid="{00000000-0005-0000-0000-000035020000}"/>
    <cellStyle name="Normal 2 2 2 2 2 2 2 10 2" xfId="540" xr:uid="{00000000-0005-0000-0000-000036020000}"/>
    <cellStyle name="Normal 2 2 2 2 2 2 2 10 3" xfId="541" xr:uid="{00000000-0005-0000-0000-000037020000}"/>
    <cellStyle name="Normal 2 2 2 2 2 2 2 10 4" xfId="542" xr:uid="{00000000-0005-0000-0000-000038020000}"/>
    <cellStyle name="Normal 2 2 2 2 2 2 2 10 5" xfId="543" xr:uid="{00000000-0005-0000-0000-000039020000}"/>
    <cellStyle name="Normal 2 2 2 2 2 2 2 10 6" xfId="544" xr:uid="{00000000-0005-0000-0000-00003A020000}"/>
    <cellStyle name="Normal 2 2 2 2 2 2 2 10 7" xfId="545" xr:uid="{00000000-0005-0000-0000-00003B020000}"/>
    <cellStyle name="Normal 2 2 2 2 2 2 2 11" xfId="546" xr:uid="{00000000-0005-0000-0000-00003C020000}"/>
    <cellStyle name="Normal 2 2 2 2 2 2 2 12" xfId="547" xr:uid="{00000000-0005-0000-0000-00003D020000}"/>
    <cellStyle name="Normal 2 2 2 2 2 2 2 13" xfId="548" xr:uid="{00000000-0005-0000-0000-00003E020000}"/>
    <cellStyle name="Normal 2 2 2 2 2 2 2 14" xfId="549" xr:uid="{00000000-0005-0000-0000-00003F020000}"/>
    <cellStyle name="Normal 2 2 2 2 2 2 2 15" xfId="550" xr:uid="{00000000-0005-0000-0000-000040020000}"/>
    <cellStyle name="Normal 2 2 2 2 2 2 2 16" xfId="551" xr:uid="{00000000-0005-0000-0000-000041020000}"/>
    <cellStyle name="Normal 2 2 2 2 2 2 2 17" xfId="552" xr:uid="{00000000-0005-0000-0000-000042020000}"/>
    <cellStyle name="Normal 2 2 2 2 2 2 2 18" xfId="553" xr:uid="{00000000-0005-0000-0000-000043020000}"/>
    <cellStyle name="Normal 2 2 2 2 2 2 2 19" xfId="554" xr:uid="{00000000-0005-0000-0000-000044020000}"/>
    <cellStyle name="Normal 2 2 2 2 2 2 2 2" xfId="555" xr:uid="{00000000-0005-0000-0000-000045020000}"/>
    <cellStyle name="Normal 2 2 2 2 2 2 2 2 10" xfId="556" xr:uid="{00000000-0005-0000-0000-000046020000}"/>
    <cellStyle name="Normal 2 2 2 2 2 2 2 2 11" xfId="557" xr:uid="{00000000-0005-0000-0000-000047020000}"/>
    <cellStyle name="Normal 2 2 2 2 2 2 2 2 12" xfId="558" xr:uid="{00000000-0005-0000-0000-000048020000}"/>
    <cellStyle name="Normal 2 2 2 2 2 2 2 2 13" xfId="559" xr:uid="{00000000-0005-0000-0000-000049020000}"/>
    <cellStyle name="Normal 2 2 2 2 2 2 2 2 14" xfId="560" xr:uid="{00000000-0005-0000-0000-00004A020000}"/>
    <cellStyle name="Normal 2 2 2 2 2 2 2 2 15" xfId="561" xr:uid="{00000000-0005-0000-0000-00004B020000}"/>
    <cellStyle name="Normal 2 2 2 2 2 2 2 2 16" xfId="562" xr:uid="{00000000-0005-0000-0000-00004C020000}"/>
    <cellStyle name="Normal 2 2 2 2 2 2 2 2 17" xfId="563" xr:uid="{00000000-0005-0000-0000-00004D020000}"/>
    <cellStyle name="Normal 2 2 2 2 2 2 2 2 18" xfId="564" xr:uid="{00000000-0005-0000-0000-00004E020000}"/>
    <cellStyle name="Normal 2 2 2 2 2 2 2 2 19" xfId="565" xr:uid="{00000000-0005-0000-0000-00004F020000}"/>
    <cellStyle name="Normal 2 2 2 2 2 2 2 2 2" xfId="566" xr:uid="{00000000-0005-0000-0000-000050020000}"/>
    <cellStyle name="Normal 2 2 2 2 2 2 2 2 2 10" xfId="567" xr:uid="{00000000-0005-0000-0000-000051020000}"/>
    <cellStyle name="Normal 2 2 2 2 2 2 2 2 2 11" xfId="568" xr:uid="{00000000-0005-0000-0000-000052020000}"/>
    <cellStyle name="Normal 2 2 2 2 2 2 2 2 2 12" xfId="569" xr:uid="{00000000-0005-0000-0000-000053020000}"/>
    <cellStyle name="Normal 2 2 2 2 2 2 2 2 2 13" xfId="570" xr:uid="{00000000-0005-0000-0000-000054020000}"/>
    <cellStyle name="Normal 2 2 2 2 2 2 2 2 2 14" xfId="571" xr:uid="{00000000-0005-0000-0000-000055020000}"/>
    <cellStyle name="Normal 2 2 2 2 2 2 2 2 2 15" xfId="572" xr:uid="{00000000-0005-0000-0000-000056020000}"/>
    <cellStyle name="Normal 2 2 2 2 2 2 2 2 2 16" xfId="573" xr:uid="{00000000-0005-0000-0000-000057020000}"/>
    <cellStyle name="Normal 2 2 2 2 2 2 2 2 2 17" xfId="574" xr:uid="{00000000-0005-0000-0000-000058020000}"/>
    <cellStyle name="Normal 2 2 2 2 2 2 2 2 2 18" xfId="575" xr:uid="{00000000-0005-0000-0000-000059020000}"/>
    <cellStyle name="Normal 2 2 2 2 2 2 2 2 2 19" xfId="576" xr:uid="{00000000-0005-0000-0000-00005A020000}"/>
    <cellStyle name="Normal 2 2 2 2 2 2 2 2 2 2" xfId="577" xr:uid="{00000000-0005-0000-0000-00005B020000}"/>
    <cellStyle name="Normal 2 2 2 2 2 2 2 2 2 2 10" xfId="578" xr:uid="{00000000-0005-0000-0000-00005C020000}"/>
    <cellStyle name="Normal 2 2 2 2 2 2 2 2 2 2 11" xfId="579" xr:uid="{00000000-0005-0000-0000-00005D020000}"/>
    <cellStyle name="Normal 2 2 2 2 2 2 2 2 2 2 12" xfId="580" xr:uid="{00000000-0005-0000-0000-00005E020000}"/>
    <cellStyle name="Normal 2 2 2 2 2 2 2 2 2 2 13" xfId="581" xr:uid="{00000000-0005-0000-0000-00005F020000}"/>
    <cellStyle name="Normal 2 2 2 2 2 2 2 2 2 2 14" xfId="582" xr:uid="{00000000-0005-0000-0000-000060020000}"/>
    <cellStyle name="Normal 2 2 2 2 2 2 2 2 2 2 15" xfId="583" xr:uid="{00000000-0005-0000-0000-000061020000}"/>
    <cellStyle name="Normal 2 2 2 2 2 2 2 2 2 2 16" xfId="584" xr:uid="{00000000-0005-0000-0000-000062020000}"/>
    <cellStyle name="Normal 2 2 2 2 2 2 2 2 2 2 17" xfId="585" xr:uid="{00000000-0005-0000-0000-000063020000}"/>
    <cellStyle name="Normal 2 2 2 2 2 2 2 2 2 2 18" xfId="586" xr:uid="{00000000-0005-0000-0000-000064020000}"/>
    <cellStyle name="Normal 2 2 2 2 2 2 2 2 2 2 2" xfId="587" xr:uid="{00000000-0005-0000-0000-000065020000}"/>
    <cellStyle name="Normal 2 2 2 2 2 2 2 2 2 2 2 2" xfId="588" xr:uid="{00000000-0005-0000-0000-000066020000}"/>
    <cellStyle name="Normal 2 2 2 2 2 2 2 2 2 2 2 2 2" xfId="589" xr:uid="{00000000-0005-0000-0000-000067020000}"/>
    <cellStyle name="Normal 2 2 2 2 2 2 2 2 2 2 2 2 3" xfId="590" xr:uid="{00000000-0005-0000-0000-000068020000}"/>
    <cellStyle name="Normal 2 2 2 2 2 2 2 2 2 2 2 2 4" xfId="591" xr:uid="{00000000-0005-0000-0000-000069020000}"/>
    <cellStyle name="Normal 2 2 2 2 2 2 2 2 2 2 2 2 5" xfId="592" xr:uid="{00000000-0005-0000-0000-00006A020000}"/>
    <cellStyle name="Normal 2 2 2 2 2 2 2 2 2 2 2 2 6" xfId="593" xr:uid="{00000000-0005-0000-0000-00006B020000}"/>
    <cellStyle name="Normal 2 2 2 2 2 2 2 2 2 2 2 2 7" xfId="594" xr:uid="{00000000-0005-0000-0000-00006C020000}"/>
    <cellStyle name="Normal 2 2 2 2 2 2 2 2 2 2 2 3" xfId="595" xr:uid="{00000000-0005-0000-0000-00006D020000}"/>
    <cellStyle name="Normal 2 2 2 2 2 2 2 2 2 2 2 4" xfId="596" xr:uid="{00000000-0005-0000-0000-00006E020000}"/>
    <cellStyle name="Normal 2 2 2 2 2 2 2 2 2 2 2 5" xfId="597" xr:uid="{00000000-0005-0000-0000-00006F020000}"/>
    <cellStyle name="Normal 2 2 2 2 2 2 2 2 2 2 2 6" xfId="598" xr:uid="{00000000-0005-0000-0000-000070020000}"/>
    <cellStyle name="Normal 2 2 2 2 2 2 2 2 2 2 2 7" xfId="599" xr:uid="{00000000-0005-0000-0000-000071020000}"/>
    <cellStyle name="Normal 2 2 2 2 2 2 2 2 2 2 2 8" xfId="600" xr:uid="{00000000-0005-0000-0000-000072020000}"/>
    <cellStyle name="Normal 2 2 2 2 2 2 2 2 2 2 3" xfId="601" xr:uid="{00000000-0005-0000-0000-000073020000}"/>
    <cellStyle name="Normal 2 2 2 2 2 2 2 2 2 2 4" xfId="602" xr:uid="{00000000-0005-0000-0000-000074020000}"/>
    <cellStyle name="Normal 2 2 2 2 2 2 2 2 2 2 5" xfId="603" xr:uid="{00000000-0005-0000-0000-000075020000}"/>
    <cellStyle name="Normal 2 2 2 2 2 2 2 2 2 2 5 2" xfId="604" xr:uid="{00000000-0005-0000-0000-000076020000}"/>
    <cellStyle name="Normal 2 2 2 2 2 2 2 2 2 2 5 3" xfId="605" xr:uid="{00000000-0005-0000-0000-000077020000}"/>
    <cellStyle name="Normal 2 2 2 2 2 2 2 2 2 2 5 4" xfId="606" xr:uid="{00000000-0005-0000-0000-000078020000}"/>
    <cellStyle name="Normal 2 2 2 2 2 2 2 2 2 2 5 5" xfId="607" xr:uid="{00000000-0005-0000-0000-000079020000}"/>
    <cellStyle name="Normal 2 2 2 2 2 2 2 2 2 2 5 6" xfId="608" xr:uid="{00000000-0005-0000-0000-00007A020000}"/>
    <cellStyle name="Normal 2 2 2 2 2 2 2 2 2 2 5 7" xfId="609" xr:uid="{00000000-0005-0000-0000-00007B020000}"/>
    <cellStyle name="Normal 2 2 2 2 2 2 2 2 2 2 6" xfId="610" xr:uid="{00000000-0005-0000-0000-00007C020000}"/>
    <cellStyle name="Normal 2 2 2 2 2 2 2 2 2 2 7" xfId="611" xr:uid="{00000000-0005-0000-0000-00007D020000}"/>
    <cellStyle name="Normal 2 2 2 2 2 2 2 2 2 2 8" xfId="612" xr:uid="{00000000-0005-0000-0000-00007E020000}"/>
    <cellStyle name="Normal 2 2 2 2 2 2 2 2 2 2 9" xfId="613" xr:uid="{00000000-0005-0000-0000-00007F020000}"/>
    <cellStyle name="Normal 2 2 2 2 2 2 2 2 2 3" xfId="614" xr:uid="{00000000-0005-0000-0000-000080020000}"/>
    <cellStyle name="Normal 2 2 2 2 2 2 2 2 2 4" xfId="615" xr:uid="{00000000-0005-0000-0000-000081020000}"/>
    <cellStyle name="Normal 2 2 2 2 2 2 2 2 2 4 2" xfId="616" xr:uid="{00000000-0005-0000-0000-000082020000}"/>
    <cellStyle name="Normal 2 2 2 2 2 2 2 2 2 4 2 2" xfId="617" xr:uid="{00000000-0005-0000-0000-000083020000}"/>
    <cellStyle name="Normal 2 2 2 2 2 2 2 2 2 4 2 3" xfId="618" xr:uid="{00000000-0005-0000-0000-000084020000}"/>
    <cellStyle name="Normal 2 2 2 2 2 2 2 2 2 4 2 4" xfId="619" xr:uid="{00000000-0005-0000-0000-000085020000}"/>
    <cellStyle name="Normal 2 2 2 2 2 2 2 2 2 4 2 5" xfId="620" xr:uid="{00000000-0005-0000-0000-000086020000}"/>
    <cellStyle name="Normal 2 2 2 2 2 2 2 2 2 4 2 6" xfId="621" xr:uid="{00000000-0005-0000-0000-000087020000}"/>
    <cellStyle name="Normal 2 2 2 2 2 2 2 2 2 4 2 7" xfId="622" xr:uid="{00000000-0005-0000-0000-000088020000}"/>
    <cellStyle name="Normal 2 2 2 2 2 2 2 2 2 4 3" xfId="623" xr:uid="{00000000-0005-0000-0000-000089020000}"/>
    <cellStyle name="Normal 2 2 2 2 2 2 2 2 2 4 4" xfId="624" xr:uid="{00000000-0005-0000-0000-00008A020000}"/>
    <cellStyle name="Normal 2 2 2 2 2 2 2 2 2 4 5" xfId="625" xr:uid="{00000000-0005-0000-0000-00008B020000}"/>
    <cellStyle name="Normal 2 2 2 2 2 2 2 2 2 4 6" xfId="626" xr:uid="{00000000-0005-0000-0000-00008C020000}"/>
    <cellStyle name="Normal 2 2 2 2 2 2 2 2 2 4 7" xfId="627" xr:uid="{00000000-0005-0000-0000-00008D020000}"/>
    <cellStyle name="Normal 2 2 2 2 2 2 2 2 2 4 8" xfId="628" xr:uid="{00000000-0005-0000-0000-00008E020000}"/>
    <cellStyle name="Normal 2 2 2 2 2 2 2 2 2 5" xfId="629" xr:uid="{00000000-0005-0000-0000-00008F020000}"/>
    <cellStyle name="Normal 2 2 2 2 2 2 2 2 2 6" xfId="630" xr:uid="{00000000-0005-0000-0000-000090020000}"/>
    <cellStyle name="Normal 2 2 2 2 2 2 2 2 2 6 2" xfId="631" xr:uid="{00000000-0005-0000-0000-000091020000}"/>
    <cellStyle name="Normal 2 2 2 2 2 2 2 2 2 6 3" xfId="632" xr:uid="{00000000-0005-0000-0000-000092020000}"/>
    <cellStyle name="Normal 2 2 2 2 2 2 2 2 2 6 4" xfId="633" xr:uid="{00000000-0005-0000-0000-000093020000}"/>
    <cellStyle name="Normal 2 2 2 2 2 2 2 2 2 6 5" xfId="634" xr:uid="{00000000-0005-0000-0000-000094020000}"/>
    <cellStyle name="Normal 2 2 2 2 2 2 2 2 2 6 6" xfId="635" xr:uid="{00000000-0005-0000-0000-000095020000}"/>
    <cellStyle name="Normal 2 2 2 2 2 2 2 2 2 6 7" xfId="636" xr:uid="{00000000-0005-0000-0000-000096020000}"/>
    <cellStyle name="Normal 2 2 2 2 2 2 2 2 2 7" xfId="637" xr:uid="{00000000-0005-0000-0000-000097020000}"/>
    <cellStyle name="Normal 2 2 2 2 2 2 2 2 2 8" xfId="638" xr:uid="{00000000-0005-0000-0000-000098020000}"/>
    <cellStyle name="Normal 2 2 2 2 2 2 2 2 2 9" xfId="639" xr:uid="{00000000-0005-0000-0000-000099020000}"/>
    <cellStyle name="Normal 2 2 2 2 2 2 2 2 2_Opex Input" xfId="640" xr:uid="{00000000-0005-0000-0000-00009A020000}"/>
    <cellStyle name="Normal 2 2 2 2 2 2 2 2 20" xfId="641" xr:uid="{00000000-0005-0000-0000-00009B020000}"/>
    <cellStyle name="Normal 2 2 2 2 2 2 2 2 3" xfId="642" xr:uid="{00000000-0005-0000-0000-00009C020000}"/>
    <cellStyle name="Normal 2 2 2 2 2 2 2 2 4" xfId="643" xr:uid="{00000000-0005-0000-0000-00009D020000}"/>
    <cellStyle name="Normal 2 2 2 2 2 2 2 2 5" xfId="644" xr:uid="{00000000-0005-0000-0000-00009E020000}"/>
    <cellStyle name="Normal 2 2 2 2 2 2 2 2 5 2" xfId="645" xr:uid="{00000000-0005-0000-0000-00009F020000}"/>
    <cellStyle name="Normal 2 2 2 2 2 2 2 2 5 2 2" xfId="646" xr:uid="{00000000-0005-0000-0000-0000A0020000}"/>
    <cellStyle name="Normal 2 2 2 2 2 2 2 2 5 2 3" xfId="647" xr:uid="{00000000-0005-0000-0000-0000A1020000}"/>
    <cellStyle name="Normal 2 2 2 2 2 2 2 2 5 2 4" xfId="648" xr:uid="{00000000-0005-0000-0000-0000A2020000}"/>
    <cellStyle name="Normal 2 2 2 2 2 2 2 2 5 2 5" xfId="649" xr:uid="{00000000-0005-0000-0000-0000A3020000}"/>
    <cellStyle name="Normal 2 2 2 2 2 2 2 2 5 2 6" xfId="650" xr:uid="{00000000-0005-0000-0000-0000A4020000}"/>
    <cellStyle name="Normal 2 2 2 2 2 2 2 2 5 2 7" xfId="651" xr:uid="{00000000-0005-0000-0000-0000A5020000}"/>
    <cellStyle name="Normal 2 2 2 2 2 2 2 2 5 3" xfId="652" xr:uid="{00000000-0005-0000-0000-0000A6020000}"/>
    <cellStyle name="Normal 2 2 2 2 2 2 2 2 5 4" xfId="653" xr:uid="{00000000-0005-0000-0000-0000A7020000}"/>
    <cellStyle name="Normal 2 2 2 2 2 2 2 2 5 5" xfId="654" xr:uid="{00000000-0005-0000-0000-0000A8020000}"/>
    <cellStyle name="Normal 2 2 2 2 2 2 2 2 5 6" xfId="655" xr:uid="{00000000-0005-0000-0000-0000A9020000}"/>
    <cellStyle name="Normal 2 2 2 2 2 2 2 2 5 7" xfId="656" xr:uid="{00000000-0005-0000-0000-0000AA020000}"/>
    <cellStyle name="Normal 2 2 2 2 2 2 2 2 5 8" xfId="657" xr:uid="{00000000-0005-0000-0000-0000AB020000}"/>
    <cellStyle name="Normal 2 2 2 2 2 2 2 2 6" xfId="658" xr:uid="{00000000-0005-0000-0000-0000AC020000}"/>
    <cellStyle name="Normal 2 2 2 2 2 2 2 2 7" xfId="659" xr:uid="{00000000-0005-0000-0000-0000AD020000}"/>
    <cellStyle name="Normal 2 2 2 2 2 2 2 2 7 2" xfId="660" xr:uid="{00000000-0005-0000-0000-0000AE020000}"/>
    <cellStyle name="Normal 2 2 2 2 2 2 2 2 7 3" xfId="661" xr:uid="{00000000-0005-0000-0000-0000AF020000}"/>
    <cellStyle name="Normal 2 2 2 2 2 2 2 2 7 4" xfId="662" xr:uid="{00000000-0005-0000-0000-0000B0020000}"/>
    <cellStyle name="Normal 2 2 2 2 2 2 2 2 7 5" xfId="663" xr:uid="{00000000-0005-0000-0000-0000B1020000}"/>
    <cellStyle name="Normal 2 2 2 2 2 2 2 2 7 6" xfId="664" xr:uid="{00000000-0005-0000-0000-0000B2020000}"/>
    <cellStyle name="Normal 2 2 2 2 2 2 2 2 7 7" xfId="665" xr:uid="{00000000-0005-0000-0000-0000B3020000}"/>
    <cellStyle name="Normal 2 2 2 2 2 2 2 2 8" xfId="666" xr:uid="{00000000-0005-0000-0000-0000B4020000}"/>
    <cellStyle name="Normal 2 2 2 2 2 2 2 2 9" xfId="667" xr:uid="{00000000-0005-0000-0000-0000B5020000}"/>
    <cellStyle name="Normal 2 2 2 2 2 2 2 2_ELEC SAP FCST UPLOAD" xfId="668" xr:uid="{00000000-0005-0000-0000-0000B6020000}"/>
    <cellStyle name="Normal 2 2 2 2 2 2 2 20" xfId="669" xr:uid="{00000000-0005-0000-0000-0000B7020000}"/>
    <cellStyle name="Normal 2 2 2 2 2 2 2 21" xfId="670" xr:uid="{00000000-0005-0000-0000-0000B8020000}"/>
    <cellStyle name="Normal 2 2 2 2 2 2 2 22" xfId="671" xr:uid="{00000000-0005-0000-0000-0000B9020000}"/>
    <cellStyle name="Normal 2 2 2 2 2 2 2 23" xfId="672" xr:uid="{00000000-0005-0000-0000-0000BA020000}"/>
    <cellStyle name="Normal 2 2 2 2 2 2 2 3" xfId="673" xr:uid="{00000000-0005-0000-0000-0000BB020000}"/>
    <cellStyle name="Normal 2 2 2 2 2 2 2 4" xfId="674" xr:uid="{00000000-0005-0000-0000-0000BC020000}"/>
    <cellStyle name="Normal 2 2 2 2 2 2 2 5" xfId="675" xr:uid="{00000000-0005-0000-0000-0000BD020000}"/>
    <cellStyle name="Normal 2 2 2 2 2 2 2 6" xfId="676" xr:uid="{00000000-0005-0000-0000-0000BE020000}"/>
    <cellStyle name="Normal 2 2 2 2 2 2 2 7" xfId="677" xr:uid="{00000000-0005-0000-0000-0000BF020000}"/>
    <cellStyle name="Normal 2 2 2 2 2 2 2 8" xfId="678" xr:uid="{00000000-0005-0000-0000-0000C0020000}"/>
    <cellStyle name="Normal 2 2 2 2 2 2 2 8 2" xfId="679" xr:uid="{00000000-0005-0000-0000-0000C1020000}"/>
    <cellStyle name="Normal 2 2 2 2 2 2 2 8 2 2" xfId="680" xr:uid="{00000000-0005-0000-0000-0000C2020000}"/>
    <cellStyle name="Normal 2 2 2 2 2 2 2 8 2 3" xfId="681" xr:uid="{00000000-0005-0000-0000-0000C3020000}"/>
    <cellStyle name="Normal 2 2 2 2 2 2 2 8 2 4" xfId="682" xr:uid="{00000000-0005-0000-0000-0000C4020000}"/>
    <cellStyle name="Normal 2 2 2 2 2 2 2 8 2 5" xfId="683" xr:uid="{00000000-0005-0000-0000-0000C5020000}"/>
    <cellStyle name="Normal 2 2 2 2 2 2 2 8 2 6" xfId="684" xr:uid="{00000000-0005-0000-0000-0000C6020000}"/>
    <cellStyle name="Normal 2 2 2 2 2 2 2 8 2 7" xfId="685" xr:uid="{00000000-0005-0000-0000-0000C7020000}"/>
    <cellStyle name="Normal 2 2 2 2 2 2 2 8 3" xfId="686" xr:uid="{00000000-0005-0000-0000-0000C8020000}"/>
    <cellStyle name="Normal 2 2 2 2 2 2 2 8 4" xfId="687" xr:uid="{00000000-0005-0000-0000-0000C9020000}"/>
    <cellStyle name="Normal 2 2 2 2 2 2 2 8 5" xfId="688" xr:uid="{00000000-0005-0000-0000-0000CA020000}"/>
    <cellStyle name="Normal 2 2 2 2 2 2 2 8 6" xfId="689" xr:uid="{00000000-0005-0000-0000-0000CB020000}"/>
    <cellStyle name="Normal 2 2 2 2 2 2 2 8 7" xfId="690" xr:uid="{00000000-0005-0000-0000-0000CC020000}"/>
    <cellStyle name="Normal 2 2 2 2 2 2 2 8 8" xfId="691" xr:uid="{00000000-0005-0000-0000-0000CD020000}"/>
    <cellStyle name="Normal 2 2 2 2 2 2 2 9" xfId="692" xr:uid="{00000000-0005-0000-0000-0000CE020000}"/>
    <cellStyle name="Normal 2 2 2 2 2 2 2_ELEC SAP FCST UPLOAD" xfId="693" xr:uid="{00000000-0005-0000-0000-0000CF020000}"/>
    <cellStyle name="Normal 2 2 2 2 2 2 20" xfId="694" xr:uid="{00000000-0005-0000-0000-0000D0020000}"/>
    <cellStyle name="Normal 2 2 2 2 2 2 21" xfId="695" xr:uid="{00000000-0005-0000-0000-0000D1020000}"/>
    <cellStyle name="Normal 2 2 2 2 2 2 22" xfId="696" xr:uid="{00000000-0005-0000-0000-0000D2020000}"/>
    <cellStyle name="Normal 2 2 2 2 2 2 23" xfId="697" xr:uid="{00000000-0005-0000-0000-0000D3020000}"/>
    <cellStyle name="Normal 2 2 2 2 2 2 3" xfId="698" xr:uid="{00000000-0005-0000-0000-0000D4020000}"/>
    <cellStyle name="Normal 2 2 2 2 2 2 3 2" xfId="699" xr:uid="{00000000-0005-0000-0000-0000D5020000}"/>
    <cellStyle name="Normal 2 2 2 2 2 2 3 3" xfId="700" xr:uid="{00000000-0005-0000-0000-0000D6020000}"/>
    <cellStyle name="Normal 2 2 2 2 2 2 3_ELEC SAP FCST UPLOAD" xfId="701" xr:uid="{00000000-0005-0000-0000-0000D7020000}"/>
    <cellStyle name="Normal 2 2 2 2 2 2 4" xfId="702" xr:uid="{00000000-0005-0000-0000-0000D8020000}"/>
    <cellStyle name="Normal 2 2 2 2 2 2 5" xfId="703" xr:uid="{00000000-0005-0000-0000-0000D9020000}"/>
    <cellStyle name="Normal 2 2 2 2 2 2 6" xfId="704" xr:uid="{00000000-0005-0000-0000-0000DA020000}"/>
    <cellStyle name="Normal 2 2 2 2 2 2 7" xfId="705" xr:uid="{00000000-0005-0000-0000-0000DB020000}"/>
    <cellStyle name="Normal 2 2 2 2 2 2 8" xfId="706" xr:uid="{00000000-0005-0000-0000-0000DC020000}"/>
    <cellStyle name="Normal 2 2 2 2 2 2 8 2" xfId="707" xr:uid="{00000000-0005-0000-0000-0000DD020000}"/>
    <cellStyle name="Normal 2 2 2 2 2 2 8 2 2" xfId="708" xr:uid="{00000000-0005-0000-0000-0000DE020000}"/>
    <cellStyle name="Normal 2 2 2 2 2 2 8 2 3" xfId="709" xr:uid="{00000000-0005-0000-0000-0000DF020000}"/>
    <cellStyle name="Normal 2 2 2 2 2 2 8 2 4" xfId="710" xr:uid="{00000000-0005-0000-0000-0000E0020000}"/>
    <cellStyle name="Normal 2 2 2 2 2 2 8 2 5" xfId="711" xr:uid="{00000000-0005-0000-0000-0000E1020000}"/>
    <cellStyle name="Normal 2 2 2 2 2 2 8 2 6" xfId="712" xr:uid="{00000000-0005-0000-0000-0000E2020000}"/>
    <cellStyle name="Normal 2 2 2 2 2 2 8 2 7" xfId="713" xr:uid="{00000000-0005-0000-0000-0000E3020000}"/>
    <cellStyle name="Normal 2 2 2 2 2 2 8 3" xfId="714" xr:uid="{00000000-0005-0000-0000-0000E4020000}"/>
    <cellStyle name="Normal 2 2 2 2 2 2 8 4" xfId="715" xr:uid="{00000000-0005-0000-0000-0000E5020000}"/>
    <cellStyle name="Normal 2 2 2 2 2 2 8 5" xfId="716" xr:uid="{00000000-0005-0000-0000-0000E6020000}"/>
    <cellStyle name="Normal 2 2 2 2 2 2 8 6" xfId="717" xr:uid="{00000000-0005-0000-0000-0000E7020000}"/>
    <cellStyle name="Normal 2 2 2 2 2 2 8 7" xfId="718" xr:uid="{00000000-0005-0000-0000-0000E8020000}"/>
    <cellStyle name="Normal 2 2 2 2 2 2 8 8" xfId="719" xr:uid="{00000000-0005-0000-0000-0000E9020000}"/>
    <cellStyle name="Normal 2 2 2 2 2 2 9" xfId="720" xr:uid="{00000000-0005-0000-0000-0000EA020000}"/>
    <cellStyle name="Normal 2 2 2 2 2 2_ELEC SAP FCST UPLOAD" xfId="721" xr:uid="{00000000-0005-0000-0000-0000EB020000}"/>
    <cellStyle name="Normal 2 2 2 2 2 20" xfId="722" xr:uid="{00000000-0005-0000-0000-0000EC020000}"/>
    <cellStyle name="Normal 2 2 2 2 2 21" xfId="723" xr:uid="{00000000-0005-0000-0000-0000ED020000}"/>
    <cellStyle name="Normal 2 2 2 2 2 22" xfId="724" xr:uid="{00000000-0005-0000-0000-0000EE020000}"/>
    <cellStyle name="Normal 2 2 2 2 2 23" xfId="725" xr:uid="{00000000-0005-0000-0000-0000EF020000}"/>
    <cellStyle name="Normal 2 2 2 2 2 24" xfId="726" xr:uid="{00000000-0005-0000-0000-0000F0020000}"/>
    <cellStyle name="Normal 2 2 2 2 2 3" xfId="727" xr:uid="{00000000-0005-0000-0000-0000F1020000}"/>
    <cellStyle name="Normal 2 2 2 2 2 3 2" xfId="728" xr:uid="{00000000-0005-0000-0000-0000F2020000}"/>
    <cellStyle name="Normal 2 2 2 2 2 3 3" xfId="729" xr:uid="{00000000-0005-0000-0000-0000F3020000}"/>
    <cellStyle name="Normal 2 2 2 2 2 3_ELEC SAP FCST UPLOAD" xfId="730" xr:uid="{00000000-0005-0000-0000-0000F4020000}"/>
    <cellStyle name="Normal 2 2 2 2 2 4" xfId="731" xr:uid="{00000000-0005-0000-0000-0000F5020000}"/>
    <cellStyle name="Normal 2 2 2 2 2 5" xfId="732" xr:uid="{00000000-0005-0000-0000-0000F6020000}"/>
    <cellStyle name="Normal 2 2 2 2 2 6" xfId="733" xr:uid="{00000000-0005-0000-0000-0000F7020000}"/>
    <cellStyle name="Normal 2 2 2 2 2 7" xfId="734" xr:uid="{00000000-0005-0000-0000-0000F8020000}"/>
    <cellStyle name="Normal 2 2 2 2 2 8" xfId="735" xr:uid="{00000000-0005-0000-0000-0000F9020000}"/>
    <cellStyle name="Normal 2 2 2 2 2 9" xfId="736" xr:uid="{00000000-0005-0000-0000-0000FA020000}"/>
    <cellStyle name="Normal 2 2 2 2 2 9 2" xfId="737" xr:uid="{00000000-0005-0000-0000-0000FB020000}"/>
    <cellStyle name="Normal 2 2 2 2 2 9 2 2" xfId="738" xr:uid="{00000000-0005-0000-0000-0000FC020000}"/>
    <cellStyle name="Normal 2 2 2 2 2 9 2 3" xfId="739" xr:uid="{00000000-0005-0000-0000-0000FD020000}"/>
    <cellStyle name="Normal 2 2 2 2 2 9 2 4" xfId="740" xr:uid="{00000000-0005-0000-0000-0000FE020000}"/>
    <cellStyle name="Normal 2 2 2 2 2 9 2 5" xfId="741" xr:uid="{00000000-0005-0000-0000-0000FF020000}"/>
    <cellStyle name="Normal 2 2 2 2 2 9 2 6" xfId="742" xr:uid="{00000000-0005-0000-0000-000000030000}"/>
    <cellStyle name="Normal 2 2 2 2 2 9 2 7" xfId="743" xr:uid="{00000000-0005-0000-0000-000001030000}"/>
    <cellStyle name="Normal 2 2 2 2 2 9 3" xfId="744" xr:uid="{00000000-0005-0000-0000-000002030000}"/>
    <cellStyle name="Normal 2 2 2 2 2 9 4" xfId="745" xr:uid="{00000000-0005-0000-0000-000003030000}"/>
    <cellStyle name="Normal 2 2 2 2 2 9 5" xfId="746" xr:uid="{00000000-0005-0000-0000-000004030000}"/>
    <cellStyle name="Normal 2 2 2 2 2 9 6" xfId="747" xr:uid="{00000000-0005-0000-0000-000005030000}"/>
    <cellStyle name="Normal 2 2 2 2 2 9 7" xfId="748" xr:uid="{00000000-0005-0000-0000-000006030000}"/>
    <cellStyle name="Normal 2 2 2 2 2 9 8" xfId="749" xr:uid="{00000000-0005-0000-0000-000007030000}"/>
    <cellStyle name="Normal 2 2 2 2 2_ELEC SAP FCST UPLOAD" xfId="750" xr:uid="{00000000-0005-0000-0000-000008030000}"/>
    <cellStyle name="Normal 2 2 2 2 20" xfId="751" xr:uid="{00000000-0005-0000-0000-000009030000}"/>
    <cellStyle name="Normal 2 2 2 2 21" xfId="752" xr:uid="{00000000-0005-0000-0000-00000A030000}"/>
    <cellStyle name="Normal 2 2 2 2 22" xfId="753" xr:uid="{00000000-0005-0000-0000-00000B030000}"/>
    <cellStyle name="Normal 2 2 2 2 23" xfId="754" xr:uid="{00000000-0005-0000-0000-00000C030000}"/>
    <cellStyle name="Normal 2 2 2 2 24" xfId="755" xr:uid="{00000000-0005-0000-0000-00000D030000}"/>
    <cellStyle name="Normal 2 2 2 2 3" xfId="756" xr:uid="{00000000-0005-0000-0000-00000E030000}"/>
    <cellStyle name="Normal 2 2 2 2 3 2" xfId="757" xr:uid="{00000000-0005-0000-0000-00000F030000}"/>
    <cellStyle name="Normal 2 2 2 2 3 2 2" xfId="758" xr:uid="{00000000-0005-0000-0000-000010030000}"/>
    <cellStyle name="Normal 2 2 2 2 3 2 3" xfId="759" xr:uid="{00000000-0005-0000-0000-000011030000}"/>
    <cellStyle name="Normal 2 2 2 2 3 2_ELEC SAP FCST UPLOAD" xfId="760" xr:uid="{00000000-0005-0000-0000-000012030000}"/>
    <cellStyle name="Normal 2 2 2 2 3 3" xfId="761" xr:uid="{00000000-0005-0000-0000-000013030000}"/>
    <cellStyle name="Normal 2 2 2 2 3 4" xfId="762" xr:uid="{00000000-0005-0000-0000-000014030000}"/>
    <cellStyle name="Normal 2 2 2 2 3 5" xfId="763" xr:uid="{00000000-0005-0000-0000-000015030000}"/>
    <cellStyle name="Normal 2 2 2 2 3 6" xfId="764" xr:uid="{00000000-0005-0000-0000-000016030000}"/>
    <cellStyle name="Normal 2 2 2 2 3_ELEC SAP FCST UPLOAD" xfId="765" xr:uid="{00000000-0005-0000-0000-000017030000}"/>
    <cellStyle name="Normal 2 2 2 2 4" xfId="766" xr:uid="{00000000-0005-0000-0000-000018030000}"/>
    <cellStyle name="Normal 2 2 2 2 4 2" xfId="767" xr:uid="{00000000-0005-0000-0000-000019030000}"/>
    <cellStyle name="Normal 2 2 2 2 4 3" xfId="768" xr:uid="{00000000-0005-0000-0000-00001A030000}"/>
    <cellStyle name="Normal 2 2 2 2 4_ELEC SAP FCST UPLOAD" xfId="769" xr:uid="{00000000-0005-0000-0000-00001B030000}"/>
    <cellStyle name="Normal 2 2 2 2 5" xfId="770" xr:uid="{00000000-0005-0000-0000-00001C030000}"/>
    <cellStyle name="Normal 2 2 2 2 6" xfId="771" xr:uid="{00000000-0005-0000-0000-00001D030000}"/>
    <cellStyle name="Normal 2 2 2 2 7" xfId="772" xr:uid="{00000000-0005-0000-0000-00001E030000}"/>
    <cellStyle name="Normal 2 2 2 2 8" xfId="773" xr:uid="{00000000-0005-0000-0000-00001F030000}"/>
    <cellStyle name="Normal 2 2 2 2 9" xfId="774" xr:uid="{00000000-0005-0000-0000-000020030000}"/>
    <cellStyle name="Normal 2 2 2 2 9 2" xfId="775" xr:uid="{00000000-0005-0000-0000-000021030000}"/>
    <cellStyle name="Normal 2 2 2 2 9 2 2" xfId="776" xr:uid="{00000000-0005-0000-0000-000022030000}"/>
    <cellStyle name="Normal 2 2 2 2 9 2 3" xfId="777" xr:uid="{00000000-0005-0000-0000-000023030000}"/>
    <cellStyle name="Normal 2 2 2 2 9 2 4" xfId="778" xr:uid="{00000000-0005-0000-0000-000024030000}"/>
    <cellStyle name="Normal 2 2 2 2 9 2 5" xfId="779" xr:uid="{00000000-0005-0000-0000-000025030000}"/>
    <cellStyle name="Normal 2 2 2 2 9 2 6" xfId="780" xr:uid="{00000000-0005-0000-0000-000026030000}"/>
    <cellStyle name="Normal 2 2 2 2 9 2 7" xfId="781" xr:uid="{00000000-0005-0000-0000-000027030000}"/>
    <cellStyle name="Normal 2 2 2 2 9 3" xfId="782" xr:uid="{00000000-0005-0000-0000-000028030000}"/>
    <cellStyle name="Normal 2 2 2 2 9 4" xfId="783" xr:uid="{00000000-0005-0000-0000-000029030000}"/>
    <cellStyle name="Normal 2 2 2 2 9 5" xfId="784" xr:uid="{00000000-0005-0000-0000-00002A030000}"/>
    <cellStyle name="Normal 2 2 2 2 9 6" xfId="785" xr:uid="{00000000-0005-0000-0000-00002B030000}"/>
    <cellStyle name="Normal 2 2 2 2 9 7" xfId="786" xr:uid="{00000000-0005-0000-0000-00002C030000}"/>
    <cellStyle name="Normal 2 2 2 2 9 8" xfId="787" xr:uid="{00000000-0005-0000-0000-00002D030000}"/>
    <cellStyle name="Normal 2 2 2 2_ELEC SAP FCST UPLOAD" xfId="788" xr:uid="{00000000-0005-0000-0000-00002E030000}"/>
    <cellStyle name="Normal 2 2 2 20" xfId="789" xr:uid="{00000000-0005-0000-0000-00002F030000}"/>
    <cellStyle name="Normal 2 2 2 21" xfId="790" xr:uid="{00000000-0005-0000-0000-000030030000}"/>
    <cellStyle name="Normal 2 2 2 22" xfId="791" xr:uid="{00000000-0005-0000-0000-000031030000}"/>
    <cellStyle name="Normal 2 2 2 23" xfId="792" xr:uid="{00000000-0005-0000-0000-000032030000}"/>
    <cellStyle name="Normal 2 2 2 24" xfId="793" xr:uid="{00000000-0005-0000-0000-000033030000}"/>
    <cellStyle name="Normal 2 2 2 25" xfId="794" xr:uid="{00000000-0005-0000-0000-000034030000}"/>
    <cellStyle name="Normal 2 2 2 26" xfId="795" xr:uid="{00000000-0005-0000-0000-000035030000}"/>
    <cellStyle name="Normal 2 2 2 3" xfId="796" xr:uid="{00000000-0005-0000-0000-000036030000}"/>
    <cellStyle name="Normal 2 2 2 4" xfId="797" xr:uid="{00000000-0005-0000-0000-000037030000}"/>
    <cellStyle name="Normal 2 2 2 4 2" xfId="798" xr:uid="{00000000-0005-0000-0000-000038030000}"/>
    <cellStyle name="Normal 2 2 2 4 2 2" xfId="799" xr:uid="{00000000-0005-0000-0000-000039030000}"/>
    <cellStyle name="Normal 2 2 2 4 2 2 2" xfId="800" xr:uid="{00000000-0005-0000-0000-00003A030000}"/>
    <cellStyle name="Normal 2 2 2 4 2 2 3" xfId="801" xr:uid="{00000000-0005-0000-0000-00003B030000}"/>
    <cellStyle name="Normal 2 2 2 4 2 2_ELEC SAP FCST UPLOAD" xfId="802" xr:uid="{00000000-0005-0000-0000-00003C030000}"/>
    <cellStyle name="Normal 2 2 2 4 2 3" xfId="803" xr:uid="{00000000-0005-0000-0000-00003D030000}"/>
    <cellStyle name="Normal 2 2 2 4 2 4" xfId="804" xr:uid="{00000000-0005-0000-0000-00003E030000}"/>
    <cellStyle name="Normal 2 2 2 4 2 5" xfId="805" xr:uid="{00000000-0005-0000-0000-00003F030000}"/>
    <cellStyle name="Normal 2 2 2 4 2 6" xfId="806" xr:uid="{00000000-0005-0000-0000-000040030000}"/>
    <cellStyle name="Normal 2 2 2 4 2_ELEC SAP FCST UPLOAD" xfId="807" xr:uid="{00000000-0005-0000-0000-000041030000}"/>
    <cellStyle name="Normal 2 2 2 4 3" xfId="808" xr:uid="{00000000-0005-0000-0000-000042030000}"/>
    <cellStyle name="Normal 2 2 2 4 3 2" xfId="809" xr:uid="{00000000-0005-0000-0000-000043030000}"/>
    <cellStyle name="Normal 2 2 2 4 3 3" xfId="810" xr:uid="{00000000-0005-0000-0000-000044030000}"/>
    <cellStyle name="Normal 2 2 2 4 3_ELEC SAP FCST UPLOAD" xfId="811" xr:uid="{00000000-0005-0000-0000-000045030000}"/>
    <cellStyle name="Normal 2 2 2 4 4" xfId="812" xr:uid="{00000000-0005-0000-0000-000046030000}"/>
    <cellStyle name="Normal 2 2 2 4 5" xfId="813" xr:uid="{00000000-0005-0000-0000-000047030000}"/>
    <cellStyle name="Normal 2 2 2 4 6" xfId="814" xr:uid="{00000000-0005-0000-0000-000048030000}"/>
    <cellStyle name="Normal 2 2 2 4_ELEC SAP FCST UPLOAD" xfId="815" xr:uid="{00000000-0005-0000-0000-000049030000}"/>
    <cellStyle name="Normal 2 2 2 5" xfId="816" xr:uid="{00000000-0005-0000-0000-00004A030000}"/>
    <cellStyle name="Normal 2 2 2 5 2" xfId="817" xr:uid="{00000000-0005-0000-0000-00004B030000}"/>
    <cellStyle name="Normal 2 2 2 5 3" xfId="818" xr:uid="{00000000-0005-0000-0000-00004C030000}"/>
    <cellStyle name="Normal 2 2 2 5_ELEC SAP FCST UPLOAD" xfId="819" xr:uid="{00000000-0005-0000-0000-00004D030000}"/>
    <cellStyle name="Normal 2 2 2 6" xfId="820" xr:uid="{00000000-0005-0000-0000-00004E030000}"/>
    <cellStyle name="Normal 2 2 2 7" xfId="821" xr:uid="{00000000-0005-0000-0000-00004F030000}"/>
    <cellStyle name="Normal 2 2 2 8" xfId="822" xr:uid="{00000000-0005-0000-0000-000050030000}"/>
    <cellStyle name="Normal 2 2 2 9" xfId="823" xr:uid="{00000000-0005-0000-0000-000051030000}"/>
    <cellStyle name="Normal 2 2 2_ELEC SAP FCST UPLOAD" xfId="824" xr:uid="{00000000-0005-0000-0000-000052030000}"/>
    <cellStyle name="Normal 2 2 20" xfId="825" xr:uid="{00000000-0005-0000-0000-000053030000}"/>
    <cellStyle name="Normal 2 2 21" xfId="826" xr:uid="{00000000-0005-0000-0000-000054030000}"/>
    <cellStyle name="Normal 2 2 22" xfId="827" xr:uid="{00000000-0005-0000-0000-000055030000}"/>
    <cellStyle name="Normal 2 2 23" xfId="828" xr:uid="{00000000-0005-0000-0000-000056030000}"/>
    <cellStyle name="Normal 2 2 24" xfId="829" xr:uid="{00000000-0005-0000-0000-000057030000}"/>
    <cellStyle name="Normal 2 2 25" xfId="830" xr:uid="{00000000-0005-0000-0000-000058030000}"/>
    <cellStyle name="Normal 2 2 26" xfId="831" xr:uid="{00000000-0005-0000-0000-000059030000}"/>
    <cellStyle name="Normal 2 2 3" xfId="832" xr:uid="{00000000-0005-0000-0000-00005A030000}"/>
    <cellStyle name="Normal 2 2 3 2" xfId="833" xr:uid="{00000000-0005-0000-0000-00005B030000}"/>
    <cellStyle name="Normal 2 2 3 2 2" xfId="834" xr:uid="{00000000-0005-0000-0000-00005C030000}"/>
    <cellStyle name="Normal 2 2 3 2 2 2" xfId="835" xr:uid="{00000000-0005-0000-0000-00005D030000}"/>
    <cellStyle name="Normal 2 2 3 2 2 2 2" xfId="836" xr:uid="{00000000-0005-0000-0000-00005E030000}"/>
    <cellStyle name="Normal 2 2 3 2 2 2 2 2" xfId="837" xr:uid="{00000000-0005-0000-0000-00005F030000}"/>
    <cellStyle name="Normal 2 2 3 2 2 2 2 3" xfId="838" xr:uid="{00000000-0005-0000-0000-000060030000}"/>
    <cellStyle name="Normal 2 2 3 2 2 2 2_ELEC SAP FCST UPLOAD" xfId="839" xr:uid="{00000000-0005-0000-0000-000061030000}"/>
    <cellStyle name="Normal 2 2 3 2 2 2 3" xfId="840" xr:uid="{00000000-0005-0000-0000-000062030000}"/>
    <cellStyle name="Normal 2 2 3 2 2 2 4" xfId="841" xr:uid="{00000000-0005-0000-0000-000063030000}"/>
    <cellStyle name="Normal 2 2 3 2 2 2 5" xfId="842" xr:uid="{00000000-0005-0000-0000-000064030000}"/>
    <cellStyle name="Normal 2 2 3 2 2 2 6" xfId="843" xr:uid="{00000000-0005-0000-0000-000065030000}"/>
    <cellStyle name="Normal 2 2 3 2 2 2_ELEC SAP FCST UPLOAD" xfId="844" xr:uid="{00000000-0005-0000-0000-000066030000}"/>
    <cellStyle name="Normal 2 2 3 2 2 3" xfId="845" xr:uid="{00000000-0005-0000-0000-000067030000}"/>
    <cellStyle name="Normal 2 2 3 2 2 3 2" xfId="846" xr:uid="{00000000-0005-0000-0000-000068030000}"/>
    <cellStyle name="Normal 2 2 3 2 2 3 3" xfId="847" xr:uid="{00000000-0005-0000-0000-000069030000}"/>
    <cellStyle name="Normal 2 2 3 2 2 3_ELEC SAP FCST UPLOAD" xfId="848" xr:uid="{00000000-0005-0000-0000-00006A030000}"/>
    <cellStyle name="Normal 2 2 3 2 2 4" xfId="849" xr:uid="{00000000-0005-0000-0000-00006B030000}"/>
    <cellStyle name="Normal 2 2 3 2 2 5" xfId="850" xr:uid="{00000000-0005-0000-0000-00006C030000}"/>
    <cellStyle name="Normal 2 2 3 2 2 6" xfId="851" xr:uid="{00000000-0005-0000-0000-00006D030000}"/>
    <cellStyle name="Normal 2 2 3 2 2_ELEC SAP FCST UPLOAD" xfId="852" xr:uid="{00000000-0005-0000-0000-00006E030000}"/>
    <cellStyle name="Normal 2 2 3 2 3" xfId="853" xr:uid="{00000000-0005-0000-0000-00006F030000}"/>
    <cellStyle name="Normal 2 2 3 2 3 2" xfId="854" xr:uid="{00000000-0005-0000-0000-000070030000}"/>
    <cellStyle name="Normal 2 2 3 2 3 3" xfId="855" xr:uid="{00000000-0005-0000-0000-000071030000}"/>
    <cellStyle name="Normal 2 2 3 2 3_ELEC SAP FCST UPLOAD" xfId="856" xr:uid="{00000000-0005-0000-0000-000072030000}"/>
    <cellStyle name="Normal 2 2 3 2 4" xfId="857" xr:uid="{00000000-0005-0000-0000-000073030000}"/>
    <cellStyle name="Normal 2 2 3 2 5" xfId="858" xr:uid="{00000000-0005-0000-0000-000074030000}"/>
    <cellStyle name="Normal 2 2 3 2 6" xfId="859" xr:uid="{00000000-0005-0000-0000-000075030000}"/>
    <cellStyle name="Normal 2 2 3 2 7" xfId="860" xr:uid="{00000000-0005-0000-0000-000076030000}"/>
    <cellStyle name="Normal 2 2 3 2_ELEC SAP FCST UPLOAD" xfId="861" xr:uid="{00000000-0005-0000-0000-000077030000}"/>
    <cellStyle name="Normal 2 2 3 3" xfId="862" xr:uid="{00000000-0005-0000-0000-000078030000}"/>
    <cellStyle name="Normal 2 2 3 3 2" xfId="863" xr:uid="{00000000-0005-0000-0000-000079030000}"/>
    <cellStyle name="Normal 2 2 3 3 2 2" xfId="864" xr:uid="{00000000-0005-0000-0000-00007A030000}"/>
    <cellStyle name="Normal 2 2 3 3 2 3" xfId="865" xr:uid="{00000000-0005-0000-0000-00007B030000}"/>
    <cellStyle name="Normal 2 2 3 3 2_ELEC SAP FCST UPLOAD" xfId="866" xr:uid="{00000000-0005-0000-0000-00007C030000}"/>
    <cellStyle name="Normal 2 2 3 3 3" xfId="867" xr:uid="{00000000-0005-0000-0000-00007D030000}"/>
    <cellStyle name="Normal 2 2 3 3 4" xfId="868" xr:uid="{00000000-0005-0000-0000-00007E030000}"/>
    <cellStyle name="Normal 2 2 3 3 5" xfId="869" xr:uid="{00000000-0005-0000-0000-00007F030000}"/>
    <cellStyle name="Normal 2 2 3 3 6" xfId="870" xr:uid="{00000000-0005-0000-0000-000080030000}"/>
    <cellStyle name="Normal 2 2 3 3_ELEC SAP FCST UPLOAD" xfId="871" xr:uid="{00000000-0005-0000-0000-000081030000}"/>
    <cellStyle name="Normal 2 2 3 4" xfId="872" xr:uid="{00000000-0005-0000-0000-000082030000}"/>
    <cellStyle name="Normal 2 2 3 4 2" xfId="873" xr:uid="{00000000-0005-0000-0000-000083030000}"/>
    <cellStyle name="Normal 2 2 3 4 3" xfId="874" xr:uid="{00000000-0005-0000-0000-000084030000}"/>
    <cellStyle name="Normal 2 2 3 4_ELEC SAP FCST UPLOAD" xfId="875" xr:uid="{00000000-0005-0000-0000-000085030000}"/>
    <cellStyle name="Normal 2 2 3 5" xfId="876" xr:uid="{00000000-0005-0000-0000-000086030000}"/>
    <cellStyle name="Normal 2 2 3 6" xfId="877" xr:uid="{00000000-0005-0000-0000-000087030000}"/>
    <cellStyle name="Normal 2 2 3 7" xfId="878" xr:uid="{00000000-0005-0000-0000-000088030000}"/>
    <cellStyle name="Normal 2 2 3_ELEC SAP FCST UPLOAD" xfId="879" xr:uid="{00000000-0005-0000-0000-000089030000}"/>
    <cellStyle name="Normal 2 2 4" xfId="880" xr:uid="{00000000-0005-0000-0000-00008A030000}"/>
    <cellStyle name="Normal 2 2 4 2" xfId="881" xr:uid="{00000000-0005-0000-0000-00008B030000}"/>
    <cellStyle name="Normal 2 2 4 2 2" xfId="882" xr:uid="{00000000-0005-0000-0000-00008C030000}"/>
    <cellStyle name="Normal 2 2 4 2 2 2" xfId="883" xr:uid="{00000000-0005-0000-0000-00008D030000}"/>
    <cellStyle name="Normal 2 2 4 2 2 3" xfId="884" xr:uid="{00000000-0005-0000-0000-00008E030000}"/>
    <cellStyle name="Normal 2 2 4 2 2_ELEC SAP FCST UPLOAD" xfId="885" xr:uid="{00000000-0005-0000-0000-00008F030000}"/>
    <cellStyle name="Normal 2 2 4 2 3" xfId="886" xr:uid="{00000000-0005-0000-0000-000090030000}"/>
    <cellStyle name="Normal 2 2 4 2 4" xfId="887" xr:uid="{00000000-0005-0000-0000-000091030000}"/>
    <cellStyle name="Normal 2 2 4 2 5" xfId="888" xr:uid="{00000000-0005-0000-0000-000092030000}"/>
    <cellStyle name="Normal 2 2 4 2 6" xfId="889" xr:uid="{00000000-0005-0000-0000-000093030000}"/>
    <cellStyle name="Normal 2 2 4 2_ELEC SAP FCST UPLOAD" xfId="890" xr:uid="{00000000-0005-0000-0000-000094030000}"/>
    <cellStyle name="Normal 2 2 4 3" xfId="891" xr:uid="{00000000-0005-0000-0000-000095030000}"/>
    <cellStyle name="Normal 2 2 4 3 2" xfId="892" xr:uid="{00000000-0005-0000-0000-000096030000}"/>
    <cellStyle name="Normal 2 2 4 3 3" xfId="893" xr:uid="{00000000-0005-0000-0000-000097030000}"/>
    <cellStyle name="Normal 2 2 4 3_ELEC SAP FCST UPLOAD" xfId="894" xr:uid="{00000000-0005-0000-0000-000098030000}"/>
    <cellStyle name="Normal 2 2 4 4" xfId="895" xr:uid="{00000000-0005-0000-0000-000099030000}"/>
    <cellStyle name="Normal 2 2 4 5" xfId="896" xr:uid="{00000000-0005-0000-0000-00009A030000}"/>
    <cellStyle name="Normal 2 2 4 6" xfId="897" xr:uid="{00000000-0005-0000-0000-00009B030000}"/>
    <cellStyle name="Normal 2 2 4_ELEC SAP FCST UPLOAD" xfId="898" xr:uid="{00000000-0005-0000-0000-00009C030000}"/>
    <cellStyle name="Normal 2 2 5" xfId="899" xr:uid="{00000000-0005-0000-0000-00009D030000}"/>
    <cellStyle name="Normal 2 2 5 2" xfId="900" xr:uid="{00000000-0005-0000-0000-00009E030000}"/>
    <cellStyle name="Normal 2 2 5 3" xfId="901" xr:uid="{00000000-0005-0000-0000-00009F030000}"/>
    <cellStyle name="Normal 2 2 5_ELEC SAP FCST UPLOAD" xfId="902" xr:uid="{00000000-0005-0000-0000-0000A0030000}"/>
    <cellStyle name="Normal 2 2 6" xfId="903" xr:uid="{00000000-0005-0000-0000-0000A1030000}"/>
    <cellStyle name="Normal 2 2 7" xfId="904" xr:uid="{00000000-0005-0000-0000-0000A2030000}"/>
    <cellStyle name="Normal 2 2 8" xfId="905" xr:uid="{00000000-0005-0000-0000-0000A3030000}"/>
    <cellStyle name="Normal 2 2 9" xfId="906" xr:uid="{00000000-0005-0000-0000-0000A4030000}"/>
    <cellStyle name="Normal 2 2_ELEC SAP FCST UPLOAD" xfId="907" xr:uid="{00000000-0005-0000-0000-0000A5030000}"/>
    <cellStyle name="Normal 2 20" xfId="908" xr:uid="{00000000-0005-0000-0000-0000A6030000}"/>
    <cellStyle name="Normal 2 21" xfId="909" xr:uid="{00000000-0005-0000-0000-0000A7030000}"/>
    <cellStyle name="Normal 2 22" xfId="910" xr:uid="{00000000-0005-0000-0000-0000A8030000}"/>
    <cellStyle name="Normal 2 23" xfId="911" xr:uid="{00000000-0005-0000-0000-0000A9030000}"/>
    <cellStyle name="Normal 2 24" xfId="912" xr:uid="{00000000-0005-0000-0000-0000AA030000}"/>
    <cellStyle name="Normal 2 25" xfId="913" xr:uid="{00000000-0005-0000-0000-0000AB030000}"/>
    <cellStyle name="Normal 2 26" xfId="914" xr:uid="{00000000-0005-0000-0000-0000AC030000}"/>
    <cellStyle name="Normal 2 27" xfId="38" xr:uid="{00000000-0005-0000-0000-0000AD030000}"/>
    <cellStyle name="Normal 2 3" xfId="915" xr:uid="{00000000-0005-0000-0000-0000AE030000}"/>
    <cellStyle name="Normal 2 3 2" xfId="916" xr:uid="{00000000-0005-0000-0000-0000AF030000}"/>
    <cellStyle name="Normal 2 3 2 2" xfId="917" xr:uid="{00000000-0005-0000-0000-0000B0030000}"/>
    <cellStyle name="Normal 2 3 2 2 2" xfId="918" xr:uid="{00000000-0005-0000-0000-0000B1030000}"/>
    <cellStyle name="Normal 2 3 2 2 2 2" xfId="919" xr:uid="{00000000-0005-0000-0000-0000B2030000}"/>
    <cellStyle name="Normal 2 3 2 2 2 2 2" xfId="920" xr:uid="{00000000-0005-0000-0000-0000B3030000}"/>
    <cellStyle name="Normal 2 3 2 2 2 2 3" xfId="921" xr:uid="{00000000-0005-0000-0000-0000B4030000}"/>
    <cellStyle name="Normal 2 3 2 2 2 2_ELEC SAP FCST UPLOAD" xfId="922" xr:uid="{00000000-0005-0000-0000-0000B5030000}"/>
    <cellStyle name="Normal 2 3 2 2 2 3" xfId="923" xr:uid="{00000000-0005-0000-0000-0000B6030000}"/>
    <cellStyle name="Normal 2 3 2 2 2 4" xfId="924" xr:uid="{00000000-0005-0000-0000-0000B7030000}"/>
    <cellStyle name="Normal 2 3 2 2 2 5" xfId="925" xr:uid="{00000000-0005-0000-0000-0000B8030000}"/>
    <cellStyle name="Normal 2 3 2 2 2 6" xfId="926" xr:uid="{00000000-0005-0000-0000-0000B9030000}"/>
    <cellStyle name="Normal 2 3 2 2 2_ELEC SAP FCST UPLOAD" xfId="927" xr:uid="{00000000-0005-0000-0000-0000BA030000}"/>
    <cellStyle name="Normal 2 3 2 2 3" xfId="928" xr:uid="{00000000-0005-0000-0000-0000BB030000}"/>
    <cellStyle name="Normal 2 3 2 2 3 2" xfId="929" xr:uid="{00000000-0005-0000-0000-0000BC030000}"/>
    <cellStyle name="Normal 2 3 2 2 3 3" xfId="930" xr:uid="{00000000-0005-0000-0000-0000BD030000}"/>
    <cellStyle name="Normal 2 3 2 2 3_ELEC SAP FCST UPLOAD" xfId="931" xr:uid="{00000000-0005-0000-0000-0000BE030000}"/>
    <cellStyle name="Normal 2 3 2 2 4" xfId="932" xr:uid="{00000000-0005-0000-0000-0000BF030000}"/>
    <cellStyle name="Normal 2 3 2 2 5" xfId="933" xr:uid="{00000000-0005-0000-0000-0000C0030000}"/>
    <cellStyle name="Normal 2 3 2 2 6" xfId="934" xr:uid="{00000000-0005-0000-0000-0000C1030000}"/>
    <cellStyle name="Normal 2 3 2 2_ELEC SAP FCST UPLOAD" xfId="935" xr:uid="{00000000-0005-0000-0000-0000C2030000}"/>
    <cellStyle name="Normal 2 3 2 3" xfId="936" xr:uid="{00000000-0005-0000-0000-0000C3030000}"/>
    <cellStyle name="Normal 2 3 2 3 2" xfId="937" xr:uid="{00000000-0005-0000-0000-0000C4030000}"/>
    <cellStyle name="Normal 2 3 2 3 3" xfId="938" xr:uid="{00000000-0005-0000-0000-0000C5030000}"/>
    <cellStyle name="Normal 2 3 2 3_ELEC SAP FCST UPLOAD" xfId="939" xr:uid="{00000000-0005-0000-0000-0000C6030000}"/>
    <cellStyle name="Normal 2 3 2 4" xfId="940" xr:uid="{00000000-0005-0000-0000-0000C7030000}"/>
    <cellStyle name="Normal 2 3 2 5" xfId="941" xr:uid="{00000000-0005-0000-0000-0000C8030000}"/>
    <cellStyle name="Normal 2 3 2 6" xfId="942" xr:uid="{00000000-0005-0000-0000-0000C9030000}"/>
    <cellStyle name="Normal 2 3 2 7" xfId="943" xr:uid="{00000000-0005-0000-0000-0000CA030000}"/>
    <cellStyle name="Normal 2 3 2_ELEC SAP FCST UPLOAD" xfId="944" xr:uid="{00000000-0005-0000-0000-0000CB030000}"/>
    <cellStyle name="Normal 2 3 3" xfId="945" xr:uid="{00000000-0005-0000-0000-0000CC030000}"/>
    <cellStyle name="Normal 2 3 3 2" xfId="946" xr:uid="{00000000-0005-0000-0000-0000CD030000}"/>
    <cellStyle name="Normal 2 3 3 2 2" xfId="947" xr:uid="{00000000-0005-0000-0000-0000CE030000}"/>
    <cellStyle name="Normal 2 3 3 2 3" xfId="948" xr:uid="{00000000-0005-0000-0000-0000CF030000}"/>
    <cellStyle name="Normal 2 3 3 2_ELEC SAP FCST UPLOAD" xfId="949" xr:uid="{00000000-0005-0000-0000-0000D0030000}"/>
    <cellStyle name="Normal 2 3 3 3" xfId="950" xr:uid="{00000000-0005-0000-0000-0000D1030000}"/>
    <cellStyle name="Normal 2 3 3 4" xfId="951" xr:uid="{00000000-0005-0000-0000-0000D2030000}"/>
    <cellStyle name="Normal 2 3 3 5" xfId="952" xr:uid="{00000000-0005-0000-0000-0000D3030000}"/>
    <cellStyle name="Normal 2 3 3 6" xfId="953" xr:uid="{00000000-0005-0000-0000-0000D4030000}"/>
    <cellStyle name="Normal 2 3 3_ELEC SAP FCST UPLOAD" xfId="954" xr:uid="{00000000-0005-0000-0000-0000D5030000}"/>
    <cellStyle name="Normal 2 3 4" xfId="955" xr:uid="{00000000-0005-0000-0000-0000D6030000}"/>
    <cellStyle name="Normal 2 3 4 2" xfId="956" xr:uid="{00000000-0005-0000-0000-0000D7030000}"/>
    <cellStyle name="Normal 2 3 4 3" xfId="957" xr:uid="{00000000-0005-0000-0000-0000D8030000}"/>
    <cellStyle name="Normal 2 3 4_ELEC SAP FCST UPLOAD" xfId="958" xr:uid="{00000000-0005-0000-0000-0000D9030000}"/>
    <cellStyle name="Normal 2 3 5" xfId="959" xr:uid="{00000000-0005-0000-0000-0000DA030000}"/>
    <cellStyle name="Normal 2 3 6" xfId="960" xr:uid="{00000000-0005-0000-0000-0000DB030000}"/>
    <cellStyle name="Normal 2 3 7" xfId="961" xr:uid="{00000000-0005-0000-0000-0000DC030000}"/>
    <cellStyle name="Normal 2 3_ELEC SAP FCST UPLOAD" xfId="962" xr:uid="{00000000-0005-0000-0000-0000DD030000}"/>
    <cellStyle name="Normal 2 4" xfId="963" xr:uid="{00000000-0005-0000-0000-0000DE030000}"/>
    <cellStyle name="Normal 2 5" xfId="2" xr:uid="{00000000-0005-0000-0000-0000DF030000}"/>
    <cellStyle name="Normal 2 5 2" xfId="965" xr:uid="{00000000-0005-0000-0000-0000E0030000}"/>
    <cellStyle name="Normal 2 5 2 2" xfId="966" xr:uid="{00000000-0005-0000-0000-0000E1030000}"/>
    <cellStyle name="Normal 2 5 2 2 2" xfId="967" xr:uid="{00000000-0005-0000-0000-0000E2030000}"/>
    <cellStyle name="Normal 2 5 2 2 3" xfId="968" xr:uid="{00000000-0005-0000-0000-0000E3030000}"/>
    <cellStyle name="Normal 2 5 2 2_ELEC SAP FCST UPLOAD" xfId="969" xr:uid="{00000000-0005-0000-0000-0000E4030000}"/>
    <cellStyle name="Normal 2 5 2 3" xfId="970" xr:uid="{00000000-0005-0000-0000-0000E5030000}"/>
    <cellStyle name="Normal 2 5 2 4" xfId="971" xr:uid="{00000000-0005-0000-0000-0000E6030000}"/>
    <cellStyle name="Normal 2 5 2 5" xfId="972" xr:uid="{00000000-0005-0000-0000-0000E7030000}"/>
    <cellStyle name="Normal 2 5 2 6" xfId="973" xr:uid="{00000000-0005-0000-0000-0000E8030000}"/>
    <cellStyle name="Normal 2 5 2_ELEC SAP FCST UPLOAD" xfId="974" xr:uid="{00000000-0005-0000-0000-0000E9030000}"/>
    <cellStyle name="Normal 2 5 3" xfId="975" xr:uid="{00000000-0005-0000-0000-0000EA030000}"/>
    <cellStyle name="Normal 2 5 3 2" xfId="976" xr:uid="{00000000-0005-0000-0000-0000EB030000}"/>
    <cellStyle name="Normal 2 5 3 3" xfId="977" xr:uid="{00000000-0005-0000-0000-0000EC030000}"/>
    <cellStyle name="Normal 2 5 3_ELEC SAP FCST UPLOAD" xfId="978" xr:uid="{00000000-0005-0000-0000-0000ED030000}"/>
    <cellStyle name="Normal 2 5 4" xfId="979" xr:uid="{00000000-0005-0000-0000-0000EE030000}"/>
    <cellStyle name="Normal 2 5 5" xfId="980" xr:uid="{00000000-0005-0000-0000-0000EF030000}"/>
    <cellStyle name="Normal 2 5 6" xfId="981" xr:uid="{00000000-0005-0000-0000-0000F0030000}"/>
    <cellStyle name="Normal 2 5 7" xfId="964" xr:uid="{00000000-0005-0000-0000-0000F1030000}"/>
    <cellStyle name="Normal 2 5_ELEC SAP FCST UPLOAD" xfId="982" xr:uid="{00000000-0005-0000-0000-0000F2030000}"/>
    <cellStyle name="Normal 2 6" xfId="983" xr:uid="{00000000-0005-0000-0000-0000F3030000}"/>
    <cellStyle name="Normal 2 7" xfId="984" xr:uid="{00000000-0005-0000-0000-0000F4030000}"/>
    <cellStyle name="Normal 2 8" xfId="985" xr:uid="{00000000-0005-0000-0000-0000F5030000}"/>
    <cellStyle name="Normal 2 9" xfId="986" xr:uid="{00000000-0005-0000-0000-0000F6030000}"/>
    <cellStyle name="Normal 20" xfId="987" xr:uid="{00000000-0005-0000-0000-0000F7030000}"/>
    <cellStyle name="Normal 21" xfId="988" xr:uid="{00000000-0005-0000-0000-0000F8030000}"/>
    <cellStyle name="Normal 22" xfId="989" xr:uid="{00000000-0005-0000-0000-0000F9030000}"/>
    <cellStyle name="Normal 23" xfId="37" xr:uid="{00000000-0005-0000-0000-0000FA030000}"/>
    <cellStyle name="Normal 3" xfId="39" xr:uid="{00000000-0005-0000-0000-0000FB030000}"/>
    <cellStyle name="Normal 3 10" xfId="990" xr:uid="{00000000-0005-0000-0000-0000FC030000}"/>
    <cellStyle name="Normal 3 10 2" xfId="991" xr:uid="{00000000-0005-0000-0000-0000FD030000}"/>
    <cellStyle name="Normal 3 10 3" xfId="992" xr:uid="{00000000-0005-0000-0000-0000FE030000}"/>
    <cellStyle name="Normal 3 10 4" xfId="993" xr:uid="{00000000-0005-0000-0000-0000FF030000}"/>
    <cellStyle name="Normal 3 10 5" xfId="994" xr:uid="{00000000-0005-0000-0000-000000040000}"/>
    <cellStyle name="Normal 3 10 6" xfId="995" xr:uid="{00000000-0005-0000-0000-000001040000}"/>
    <cellStyle name="Normal 3 10 7" xfId="996" xr:uid="{00000000-0005-0000-0000-000002040000}"/>
    <cellStyle name="Normal 3 11" xfId="997" xr:uid="{00000000-0005-0000-0000-000003040000}"/>
    <cellStyle name="Normal 3 12" xfId="998" xr:uid="{00000000-0005-0000-0000-000004040000}"/>
    <cellStyle name="Normal 3 13" xfId="999" xr:uid="{00000000-0005-0000-0000-000005040000}"/>
    <cellStyle name="Normal 3 14" xfId="1000" xr:uid="{00000000-0005-0000-0000-000006040000}"/>
    <cellStyle name="Normal 3 15" xfId="1001" xr:uid="{00000000-0005-0000-0000-000007040000}"/>
    <cellStyle name="Normal 3 16" xfId="1002" xr:uid="{00000000-0005-0000-0000-000008040000}"/>
    <cellStyle name="Normal 3 17" xfId="1003" xr:uid="{00000000-0005-0000-0000-000009040000}"/>
    <cellStyle name="Normal 3 18" xfId="1004" xr:uid="{00000000-0005-0000-0000-00000A040000}"/>
    <cellStyle name="Normal 3 19" xfId="1005" xr:uid="{00000000-0005-0000-0000-00000B040000}"/>
    <cellStyle name="Normal 3 2" xfId="1006" xr:uid="{00000000-0005-0000-0000-00000C040000}"/>
    <cellStyle name="Normal 3 2 10" xfId="1007" xr:uid="{00000000-0005-0000-0000-00000D040000}"/>
    <cellStyle name="Normal 3 2 11" xfId="1008" xr:uid="{00000000-0005-0000-0000-00000E040000}"/>
    <cellStyle name="Normal 3 2 12" xfId="1009" xr:uid="{00000000-0005-0000-0000-00000F040000}"/>
    <cellStyle name="Normal 3 2 13" xfId="1010" xr:uid="{00000000-0005-0000-0000-000010040000}"/>
    <cellStyle name="Normal 3 2 14" xfId="1011" xr:uid="{00000000-0005-0000-0000-000011040000}"/>
    <cellStyle name="Normal 3 2 15" xfId="1012" xr:uid="{00000000-0005-0000-0000-000012040000}"/>
    <cellStyle name="Normal 3 2 16" xfId="1013" xr:uid="{00000000-0005-0000-0000-000013040000}"/>
    <cellStyle name="Normal 3 2 2" xfId="1014" xr:uid="{00000000-0005-0000-0000-000014040000}"/>
    <cellStyle name="Normal 3 2 2 2" xfId="1015" xr:uid="{00000000-0005-0000-0000-000015040000}"/>
    <cellStyle name="Normal 3 2 2 3" xfId="1016" xr:uid="{00000000-0005-0000-0000-000016040000}"/>
    <cellStyle name="Normal 3 2 2 4" xfId="1017" xr:uid="{00000000-0005-0000-0000-000017040000}"/>
    <cellStyle name="Normal 3 2 2 5" xfId="1018" xr:uid="{00000000-0005-0000-0000-000018040000}"/>
    <cellStyle name="Normal 3 2 2 6" xfId="1019" xr:uid="{00000000-0005-0000-0000-000019040000}"/>
    <cellStyle name="Normal 3 2 2 7" xfId="1020" xr:uid="{00000000-0005-0000-0000-00001A040000}"/>
    <cellStyle name="Normal 3 2 3" xfId="1021" xr:uid="{00000000-0005-0000-0000-00001B040000}"/>
    <cellStyle name="Normal 3 2 4" xfId="1022" xr:uid="{00000000-0005-0000-0000-00001C040000}"/>
    <cellStyle name="Normal 3 2 5" xfId="1023" xr:uid="{00000000-0005-0000-0000-00001D040000}"/>
    <cellStyle name="Normal 3 2 6" xfId="1024" xr:uid="{00000000-0005-0000-0000-00001E040000}"/>
    <cellStyle name="Normal 3 2 7" xfId="1025" xr:uid="{00000000-0005-0000-0000-00001F040000}"/>
    <cellStyle name="Normal 3 2 8" xfId="1026" xr:uid="{00000000-0005-0000-0000-000020040000}"/>
    <cellStyle name="Normal 3 2 9" xfId="1027" xr:uid="{00000000-0005-0000-0000-000021040000}"/>
    <cellStyle name="Normal 3 20" xfId="1028" xr:uid="{00000000-0005-0000-0000-000022040000}"/>
    <cellStyle name="Normal 3 3" xfId="1029" xr:uid="{00000000-0005-0000-0000-000023040000}"/>
    <cellStyle name="Normal 3 3 2" xfId="1030" xr:uid="{00000000-0005-0000-0000-000024040000}"/>
    <cellStyle name="Normal 3 3 2 5 10" xfId="6" xr:uid="{00000000-0005-0000-0000-000025040000}"/>
    <cellStyle name="Normal 3 3_GTO Non Operational Capex Roll-over submission (FINAL with property)" xfId="1031" xr:uid="{00000000-0005-0000-0000-000026040000}"/>
    <cellStyle name="Normal 3 4" xfId="1032" xr:uid="{00000000-0005-0000-0000-000027040000}"/>
    <cellStyle name="Normal 3 5" xfId="1033" xr:uid="{00000000-0005-0000-0000-000028040000}"/>
    <cellStyle name="Normal 3 6" xfId="1034" xr:uid="{00000000-0005-0000-0000-000029040000}"/>
    <cellStyle name="Normal 3 7" xfId="1035" xr:uid="{00000000-0005-0000-0000-00002A040000}"/>
    <cellStyle name="Normal 3 8" xfId="1036" xr:uid="{00000000-0005-0000-0000-00002B040000}"/>
    <cellStyle name="Normal 3 9" xfId="1037" xr:uid="{00000000-0005-0000-0000-00002C040000}"/>
    <cellStyle name="Normal 3_ELEC SAP FCST UPLOAD" xfId="1038" xr:uid="{00000000-0005-0000-0000-00002D040000}"/>
    <cellStyle name="Normal 4" xfId="1039" xr:uid="{00000000-0005-0000-0000-00002E040000}"/>
    <cellStyle name="Normal 4 2" xfId="1040" xr:uid="{00000000-0005-0000-0000-00002F040000}"/>
    <cellStyle name="Normal 4 2 2" xfId="1041" xr:uid="{00000000-0005-0000-0000-000030040000}"/>
    <cellStyle name="Normal 4 2 2 2" xfId="1042" xr:uid="{00000000-0005-0000-0000-000031040000}"/>
    <cellStyle name="Normal 4 2 2 2 2" xfId="1043" xr:uid="{00000000-0005-0000-0000-000032040000}"/>
    <cellStyle name="Normal 4 2 2 2 2 2" xfId="1044" xr:uid="{00000000-0005-0000-0000-000033040000}"/>
    <cellStyle name="Normal 4 2 2 2 2 3" xfId="1045" xr:uid="{00000000-0005-0000-0000-000034040000}"/>
    <cellStyle name="Normal 4 2 2 2 2_ELEC SAP FCST UPLOAD" xfId="1046" xr:uid="{00000000-0005-0000-0000-000035040000}"/>
    <cellStyle name="Normal 4 2 2 2 3" xfId="1047" xr:uid="{00000000-0005-0000-0000-000036040000}"/>
    <cellStyle name="Normal 4 2 2 2 4" xfId="1048" xr:uid="{00000000-0005-0000-0000-000037040000}"/>
    <cellStyle name="Normal 4 2 2 2 5" xfId="1049" xr:uid="{00000000-0005-0000-0000-000038040000}"/>
    <cellStyle name="Normal 4 2 2 2 6" xfId="1050" xr:uid="{00000000-0005-0000-0000-000039040000}"/>
    <cellStyle name="Normal 4 2 2 2_ELEC SAP FCST UPLOAD" xfId="1051" xr:uid="{00000000-0005-0000-0000-00003A040000}"/>
    <cellStyle name="Normal 4 2 2 3" xfId="1052" xr:uid="{00000000-0005-0000-0000-00003B040000}"/>
    <cellStyle name="Normal 4 2 2 3 2" xfId="1053" xr:uid="{00000000-0005-0000-0000-00003C040000}"/>
    <cellStyle name="Normal 4 2 2 3 3" xfId="1054" xr:uid="{00000000-0005-0000-0000-00003D040000}"/>
    <cellStyle name="Normal 4 2 2 3_ELEC SAP FCST UPLOAD" xfId="1055" xr:uid="{00000000-0005-0000-0000-00003E040000}"/>
    <cellStyle name="Normal 4 2 2 4" xfId="1056" xr:uid="{00000000-0005-0000-0000-00003F040000}"/>
    <cellStyle name="Normal 4 2 2 5" xfId="1057" xr:uid="{00000000-0005-0000-0000-000040040000}"/>
    <cellStyle name="Normal 4 2 2 6" xfId="1058" xr:uid="{00000000-0005-0000-0000-000041040000}"/>
    <cellStyle name="Normal 4 2 2_ELEC SAP FCST UPLOAD" xfId="1059" xr:uid="{00000000-0005-0000-0000-000042040000}"/>
    <cellStyle name="Normal 4 2 3" xfId="1060" xr:uid="{00000000-0005-0000-0000-000043040000}"/>
    <cellStyle name="Normal 4 2 3 2" xfId="1061" xr:uid="{00000000-0005-0000-0000-000044040000}"/>
    <cellStyle name="Normal 4 2 3 3" xfId="1062" xr:uid="{00000000-0005-0000-0000-000045040000}"/>
    <cellStyle name="Normal 4 2 3_ELEC SAP FCST UPLOAD" xfId="1063" xr:uid="{00000000-0005-0000-0000-000046040000}"/>
    <cellStyle name="Normal 4 2 4" xfId="1064" xr:uid="{00000000-0005-0000-0000-000047040000}"/>
    <cellStyle name="Normal 4 2 5" xfId="1065" xr:uid="{00000000-0005-0000-0000-000048040000}"/>
    <cellStyle name="Normal 4 2 6" xfId="1066" xr:uid="{00000000-0005-0000-0000-000049040000}"/>
    <cellStyle name="Normal 4 2 7" xfId="1067" xr:uid="{00000000-0005-0000-0000-00004A040000}"/>
    <cellStyle name="Normal 4 2_ELEC SAP FCST UPLOAD" xfId="1068" xr:uid="{00000000-0005-0000-0000-00004B040000}"/>
    <cellStyle name="Normal 4 3" xfId="1069" xr:uid="{00000000-0005-0000-0000-00004C040000}"/>
    <cellStyle name="Normal 4 3 2" xfId="1070" xr:uid="{00000000-0005-0000-0000-00004D040000}"/>
    <cellStyle name="Normal 4 3 2 2" xfId="1071" xr:uid="{00000000-0005-0000-0000-00004E040000}"/>
    <cellStyle name="Normal 4 3 2 3" xfId="1072" xr:uid="{00000000-0005-0000-0000-00004F040000}"/>
    <cellStyle name="Normal 4 3 2_ELEC SAP FCST UPLOAD" xfId="1073" xr:uid="{00000000-0005-0000-0000-000050040000}"/>
    <cellStyle name="Normal 4 3 3" xfId="1074" xr:uid="{00000000-0005-0000-0000-000051040000}"/>
    <cellStyle name="Normal 4 3 4" xfId="1075" xr:uid="{00000000-0005-0000-0000-000052040000}"/>
    <cellStyle name="Normal 4 3 5" xfId="1076" xr:uid="{00000000-0005-0000-0000-000053040000}"/>
    <cellStyle name="Normal 4 3 6" xfId="1077" xr:uid="{00000000-0005-0000-0000-000054040000}"/>
    <cellStyle name="Normal 4 3_ELEC SAP FCST UPLOAD" xfId="1078" xr:uid="{00000000-0005-0000-0000-000055040000}"/>
    <cellStyle name="Normal 4 4" xfId="1079" xr:uid="{00000000-0005-0000-0000-000056040000}"/>
    <cellStyle name="Normal 4 5" xfId="1080" xr:uid="{00000000-0005-0000-0000-000057040000}"/>
    <cellStyle name="Normal 4 6" xfId="1081" xr:uid="{00000000-0005-0000-0000-000058040000}"/>
    <cellStyle name="Normal 4_ELEC SAP FCST UPLOAD" xfId="1082" xr:uid="{00000000-0005-0000-0000-000059040000}"/>
    <cellStyle name="Normal 5" xfId="12" xr:uid="{00000000-0005-0000-0000-00005A040000}"/>
    <cellStyle name="Normal 5 2" xfId="1084" xr:uid="{00000000-0005-0000-0000-00005B040000}"/>
    <cellStyle name="Normal 5 2 2" xfId="1085" xr:uid="{00000000-0005-0000-0000-00005C040000}"/>
    <cellStyle name="Normal 5 2 2 2" xfId="1086" xr:uid="{00000000-0005-0000-0000-00005D040000}"/>
    <cellStyle name="Normal 5 2 2 3" xfId="1087" xr:uid="{00000000-0005-0000-0000-00005E040000}"/>
    <cellStyle name="Normal 5 2 2_ELEC SAP FCST UPLOAD" xfId="1088" xr:uid="{00000000-0005-0000-0000-00005F040000}"/>
    <cellStyle name="Normal 5 2 3" xfId="1089" xr:uid="{00000000-0005-0000-0000-000060040000}"/>
    <cellStyle name="Normal 5 2 4" xfId="1090" xr:uid="{00000000-0005-0000-0000-000061040000}"/>
    <cellStyle name="Normal 5 2 5" xfId="1091" xr:uid="{00000000-0005-0000-0000-000062040000}"/>
    <cellStyle name="Normal 5 2 6" xfId="1092" xr:uid="{00000000-0005-0000-0000-000063040000}"/>
    <cellStyle name="Normal 5 2_ELEC SAP FCST UPLOAD" xfId="1093" xr:uid="{00000000-0005-0000-0000-000064040000}"/>
    <cellStyle name="Normal 5 3" xfId="1094" xr:uid="{00000000-0005-0000-0000-000065040000}"/>
    <cellStyle name="Normal 5 4" xfId="1095" xr:uid="{00000000-0005-0000-0000-000066040000}"/>
    <cellStyle name="Normal 5 5" xfId="1096" xr:uid="{00000000-0005-0000-0000-000067040000}"/>
    <cellStyle name="Normal 5 6" xfId="1083" xr:uid="{00000000-0005-0000-0000-000068040000}"/>
    <cellStyle name="Normal 5_ELEC SAP FCST UPLOAD" xfId="1097" xr:uid="{00000000-0005-0000-0000-000069040000}"/>
    <cellStyle name="Normal 54 2 14" xfId="15" xr:uid="{00000000-0005-0000-0000-00006A040000}"/>
    <cellStyle name="Normal 54 25" xfId="13" xr:uid="{00000000-0005-0000-0000-00006B040000}"/>
    <cellStyle name="Normal 58" xfId="17" xr:uid="{00000000-0005-0000-0000-00006C040000}"/>
    <cellStyle name="Normal 6" xfId="1098" xr:uid="{00000000-0005-0000-0000-00006D040000}"/>
    <cellStyle name="Normal 7" xfId="1099" xr:uid="{00000000-0005-0000-0000-00006E040000}"/>
    <cellStyle name="Normal 8" xfId="1100" xr:uid="{00000000-0005-0000-0000-00006F040000}"/>
    <cellStyle name="Normal 9" xfId="1101" xr:uid="{00000000-0005-0000-0000-000070040000}"/>
    <cellStyle name="Normal 9 2" xfId="1102" xr:uid="{00000000-0005-0000-0000-000071040000}"/>
    <cellStyle name="Normal 9_GTO Non Operational Capex Roll-over submission (FINAL with property)" xfId="1103" xr:uid="{00000000-0005-0000-0000-000072040000}"/>
    <cellStyle name="Normal 92" xfId="1836" xr:uid="{00000000-0005-0000-0000-000073040000}"/>
    <cellStyle name="Normal U" xfId="1104" xr:uid="{00000000-0005-0000-0000-000074040000}"/>
    <cellStyle name="Normal_Financial tables_NG 2" xfId="1" xr:uid="{00000000-0005-0000-0000-000075040000}"/>
    <cellStyle name="Note 2" xfId="1105" xr:uid="{00000000-0005-0000-0000-000076040000}"/>
    <cellStyle name="Note 2 10" xfId="2062" xr:uid="{84D5DC4E-CC00-4EA2-B3C1-E928CF9E1279}"/>
    <cellStyle name="Note 2 2" xfId="1469" xr:uid="{00000000-0005-0000-0000-000077040000}"/>
    <cellStyle name="Note 2 2 2" xfId="2276" xr:uid="{81D6C208-F42C-4AC2-952C-CCB5A7CFF377}"/>
    <cellStyle name="Note 2 3" xfId="1422" xr:uid="{00000000-0005-0000-0000-000078040000}"/>
    <cellStyle name="Note 2 3 2" xfId="2245" xr:uid="{5BCC4E73-CF8E-4DB5-8834-06B7BD16C66B}"/>
    <cellStyle name="Note 2 4" xfId="1382" xr:uid="{00000000-0005-0000-0000-000079040000}"/>
    <cellStyle name="Note 2 4 2" xfId="2205" xr:uid="{C2DCBA1F-330D-42C8-9870-B4B65AF0CF8E}"/>
    <cellStyle name="Note 2 5" xfId="1338" xr:uid="{00000000-0005-0000-0000-00007A040000}"/>
    <cellStyle name="Note 2 5 2" xfId="2165" xr:uid="{CF4BB15B-CB13-4D21-BE9E-8423223CA963}"/>
    <cellStyle name="Note 2 6" xfId="1375" xr:uid="{00000000-0005-0000-0000-00007B040000}"/>
    <cellStyle name="Note 2 6 2" xfId="2198" xr:uid="{3BFD4B66-5D97-4486-AEF2-0BB3AAB84470}"/>
    <cellStyle name="Note 2 7" xfId="1348" xr:uid="{00000000-0005-0000-0000-00007C040000}"/>
    <cellStyle name="Note 2 7 2" xfId="2175" xr:uid="{09C5A2EB-1344-4EC3-92E6-0BD2F5AE7C23}"/>
    <cellStyle name="Note 2 8" xfId="1929" xr:uid="{00000000-0005-0000-0000-00007D040000}"/>
    <cellStyle name="Note 2 8 2" xfId="2695" xr:uid="{AF9FCBF0-37D0-4420-A3FD-A0C5A659325B}"/>
    <cellStyle name="Note 2 9" xfId="1938" xr:uid="{00000000-0005-0000-0000-00007E040000}"/>
    <cellStyle name="Note 2 9 2" xfId="2704" xr:uid="{34701F7A-D90C-4A99-9C1E-549902B4D382}"/>
    <cellStyle name="Note 3" xfId="1106" xr:uid="{00000000-0005-0000-0000-00007F040000}"/>
    <cellStyle name="Note 3 10" xfId="1423" xr:uid="{00000000-0005-0000-0000-000080040000}"/>
    <cellStyle name="Note 3 10 2" xfId="2246" xr:uid="{7E0D648C-F80A-45EF-9945-D79A7E10146D}"/>
    <cellStyle name="Note 3 11" xfId="1383" xr:uid="{00000000-0005-0000-0000-000081040000}"/>
    <cellStyle name="Note 3 11 2" xfId="2206" xr:uid="{BDD3A430-7F8C-4C04-8C85-02524B552034}"/>
    <cellStyle name="Note 3 12" xfId="1337" xr:uid="{00000000-0005-0000-0000-000082040000}"/>
    <cellStyle name="Note 3 12 2" xfId="2164" xr:uid="{472C7EFB-7103-4740-AAE5-53C90773FAE0}"/>
    <cellStyle name="Note 3 13" xfId="1376" xr:uid="{00000000-0005-0000-0000-000083040000}"/>
    <cellStyle name="Note 3 13 2" xfId="2199" xr:uid="{BD077FA1-2320-4E99-BF10-E78D17F0F073}"/>
    <cellStyle name="Note 3 14" xfId="1347" xr:uid="{00000000-0005-0000-0000-000084040000}"/>
    <cellStyle name="Note 3 14 2" xfId="2174" xr:uid="{426CFC67-13A5-47F6-86C4-CF8F1C2BA995}"/>
    <cellStyle name="Note 3 15" xfId="1928" xr:uid="{00000000-0005-0000-0000-000085040000}"/>
    <cellStyle name="Note 3 15 2" xfId="2694" xr:uid="{3C98431F-A3F1-4CDC-A74A-D329F9C631CA}"/>
    <cellStyle name="Note 3 16" xfId="1939" xr:uid="{00000000-0005-0000-0000-000086040000}"/>
    <cellStyle name="Note 3 16 2" xfId="2705" xr:uid="{571A11BD-7D40-40DB-ADCC-3E0ECD0702BA}"/>
    <cellStyle name="Note 3 17" xfId="2063" xr:uid="{69FD6996-3795-48C2-B1F9-C7DDCBD90EFF}"/>
    <cellStyle name="Note 3 2" xfId="1107" xr:uid="{00000000-0005-0000-0000-000087040000}"/>
    <cellStyle name="Note 3 2 10" xfId="2064" xr:uid="{753F8122-BAB9-4E4E-836F-AA1BBF169273}"/>
    <cellStyle name="Note 3 2 2" xfId="1471" xr:uid="{00000000-0005-0000-0000-000088040000}"/>
    <cellStyle name="Note 3 2 2 2" xfId="2278" xr:uid="{2061F44C-D006-4E73-A253-CCF87EA4ADF8}"/>
    <cellStyle name="Note 3 2 3" xfId="1424" xr:uid="{00000000-0005-0000-0000-000089040000}"/>
    <cellStyle name="Note 3 2 3 2" xfId="2247" xr:uid="{9DD1F886-D393-4C25-BF4C-92C68FD80A9D}"/>
    <cellStyle name="Note 3 2 4" xfId="1384" xr:uid="{00000000-0005-0000-0000-00008A040000}"/>
    <cellStyle name="Note 3 2 4 2" xfId="2207" xr:uid="{B1CDBA25-5FA5-4ED1-B90A-4B554955D9FD}"/>
    <cellStyle name="Note 3 2 5" xfId="1336" xr:uid="{00000000-0005-0000-0000-00008B040000}"/>
    <cellStyle name="Note 3 2 5 2" xfId="2163" xr:uid="{27524F87-2F42-4592-85AE-943C77597BBC}"/>
    <cellStyle name="Note 3 2 6" xfId="1377" xr:uid="{00000000-0005-0000-0000-00008C040000}"/>
    <cellStyle name="Note 3 2 6 2" xfId="2200" xr:uid="{C9572B10-6F72-4FC0-A836-9423A9B38697}"/>
    <cellStyle name="Note 3 2 7" xfId="1346" xr:uid="{00000000-0005-0000-0000-00008D040000}"/>
    <cellStyle name="Note 3 2 7 2" xfId="2173" xr:uid="{5AC1D319-AF54-40D9-B4FA-573BD562E8E4}"/>
    <cellStyle name="Note 3 2 8" xfId="1927" xr:uid="{00000000-0005-0000-0000-00008E040000}"/>
    <cellStyle name="Note 3 2 8 2" xfId="2693" xr:uid="{1EDD550E-EBC3-409D-A2A5-E106541B03AF}"/>
    <cellStyle name="Note 3 2 9" xfId="1940" xr:uid="{00000000-0005-0000-0000-00008F040000}"/>
    <cellStyle name="Note 3 2 9 2" xfId="2706" xr:uid="{CD08DA69-4890-472B-AF1D-580E46D33C92}"/>
    <cellStyle name="Note 3 3" xfId="1108" xr:uid="{00000000-0005-0000-0000-000090040000}"/>
    <cellStyle name="Note 3 3 10" xfId="2065" xr:uid="{202134DE-BF0A-42B2-97EB-B43DFED3F6E5}"/>
    <cellStyle name="Note 3 3 2" xfId="1472" xr:uid="{00000000-0005-0000-0000-000091040000}"/>
    <cellStyle name="Note 3 3 2 2" xfId="2279" xr:uid="{894B5467-2019-4DE3-A101-2034CF621B52}"/>
    <cellStyle name="Note 3 3 3" xfId="1425" xr:uid="{00000000-0005-0000-0000-000092040000}"/>
    <cellStyle name="Note 3 3 3 2" xfId="2248" xr:uid="{C0FA932B-4A2D-4F8C-9DA9-943E865C5D83}"/>
    <cellStyle name="Note 3 3 4" xfId="1385" xr:uid="{00000000-0005-0000-0000-000093040000}"/>
    <cellStyle name="Note 3 3 4 2" xfId="2208" xr:uid="{2DCD1A67-7E21-4E94-A347-F944A86BFD24}"/>
    <cellStyle name="Note 3 3 5" xfId="1335" xr:uid="{00000000-0005-0000-0000-000094040000}"/>
    <cellStyle name="Note 3 3 5 2" xfId="2162" xr:uid="{48FCB696-8991-40FB-9F06-4AD305D576D3}"/>
    <cellStyle name="Note 3 3 6" xfId="23" xr:uid="{00000000-0005-0000-0000-000095040000}"/>
    <cellStyle name="Note 3 3 6 2" xfId="1969" xr:uid="{C083054E-8E45-4DE3-B223-A5058D1D4525}"/>
    <cellStyle name="Note 3 3 7" xfId="1345" xr:uid="{00000000-0005-0000-0000-000096040000}"/>
    <cellStyle name="Note 3 3 7 2" xfId="2172" xr:uid="{2EBD7F30-5C69-495C-AF8B-A804BE7EFBB2}"/>
    <cellStyle name="Note 3 3 8" xfId="1926" xr:uid="{00000000-0005-0000-0000-000097040000}"/>
    <cellStyle name="Note 3 3 8 2" xfId="2692" xr:uid="{673F534F-4B66-47C5-AA4C-FF5BE486F5C6}"/>
    <cellStyle name="Note 3 3 9" xfId="1941" xr:uid="{00000000-0005-0000-0000-000098040000}"/>
    <cellStyle name="Note 3 3 9 2" xfId="2707" xr:uid="{4880636A-FA0E-4679-9482-5377EFE04536}"/>
    <cellStyle name="Note 3 4" xfId="1109" xr:uid="{00000000-0005-0000-0000-000099040000}"/>
    <cellStyle name="Note 3 4 10" xfId="2066" xr:uid="{034B5A5B-2080-4AAB-B734-F70D5C08EEA4}"/>
    <cellStyle name="Note 3 4 2" xfId="1473" xr:uid="{00000000-0005-0000-0000-00009A040000}"/>
    <cellStyle name="Note 3 4 2 2" xfId="2280" xr:uid="{B9FA75B0-A957-4532-B581-0DDF149A617F}"/>
    <cellStyle name="Note 3 4 3" xfId="1426" xr:uid="{00000000-0005-0000-0000-00009B040000}"/>
    <cellStyle name="Note 3 4 3 2" xfId="2249" xr:uid="{C282108D-C405-4ECB-87D7-7E7D2199CA72}"/>
    <cellStyle name="Note 3 4 4" xfId="1386" xr:uid="{00000000-0005-0000-0000-00009C040000}"/>
    <cellStyle name="Note 3 4 4 2" xfId="2209" xr:uid="{C824CE11-2144-4CFA-8F26-53B63E58CE75}"/>
    <cellStyle name="Note 3 4 5" xfId="1334" xr:uid="{00000000-0005-0000-0000-00009D040000}"/>
    <cellStyle name="Note 3 4 5 2" xfId="2161" xr:uid="{56326366-FE90-4246-B125-D31E31AD4C89}"/>
    <cellStyle name="Note 3 4 6" xfId="1605" xr:uid="{00000000-0005-0000-0000-00009E040000}"/>
    <cellStyle name="Note 3 4 6 2" xfId="2376" xr:uid="{0AC7D14F-3A11-428F-AE59-D15AD745AC15}"/>
    <cellStyle name="Note 3 4 7" xfId="1344" xr:uid="{00000000-0005-0000-0000-00009F040000}"/>
    <cellStyle name="Note 3 4 7 2" xfId="2171" xr:uid="{CE3BC40E-0EB5-44F0-822D-EBCB3BEC059F}"/>
    <cellStyle name="Note 3 4 8" xfId="1925" xr:uid="{00000000-0005-0000-0000-0000A0040000}"/>
    <cellStyle name="Note 3 4 8 2" xfId="2691" xr:uid="{D4660EAC-9F95-4B84-9B42-4050B4440A27}"/>
    <cellStyle name="Note 3 4 9" xfId="1942" xr:uid="{00000000-0005-0000-0000-0000A1040000}"/>
    <cellStyle name="Note 3 4 9 2" xfId="2708" xr:uid="{E67248DB-6D37-4A4B-987E-E0C239C70FC9}"/>
    <cellStyle name="Note 3 5" xfId="1110" xr:uid="{00000000-0005-0000-0000-0000A2040000}"/>
    <cellStyle name="Note 3 5 10" xfId="2067" xr:uid="{0A54F6A5-84BE-41E2-8C72-CB50A302562F}"/>
    <cellStyle name="Note 3 5 2" xfId="1474" xr:uid="{00000000-0005-0000-0000-0000A3040000}"/>
    <cellStyle name="Note 3 5 2 2" xfId="2281" xr:uid="{7DB88D87-218F-4813-B683-C354B5763382}"/>
    <cellStyle name="Note 3 5 3" xfId="1427" xr:uid="{00000000-0005-0000-0000-0000A4040000}"/>
    <cellStyle name="Note 3 5 3 2" xfId="2250" xr:uid="{14D04106-1B0A-4AC1-86D5-AD31D5718EE7}"/>
    <cellStyle name="Note 3 5 4" xfId="1387" xr:uid="{00000000-0005-0000-0000-0000A5040000}"/>
    <cellStyle name="Note 3 5 4 2" xfId="2210" xr:uid="{AC6A634D-9107-4D7F-8258-B7B3ACD0CD14}"/>
    <cellStyle name="Note 3 5 5" xfId="1333" xr:uid="{00000000-0005-0000-0000-0000A6040000}"/>
    <cellStyle name="Note 3 5 5 2" xfId="2160" xr:uid="{DB5EE1DD-446F-4EAF-94EA-36A226566292}"/>
    <cellStyle name="Note 3 5 6" xfId="1611" xr:uid="{00000000-0005-0000-0000-0000A7040000}"/>
    <cellStyle name="Note 3 5 6 2" xfId="2380" xr:uid="{457D366F-EDEF-47B6-9A53-3D7192DB1668}"/>
    <cellStyle name="Note 3 5 7" xfId="1343" xr:uid="{00000000-0005-0000-0000-0000A8040000}"/>
    <cellStyle name="Note 3 5 7 2" xfId="2170" xr:uid="{3D2D18DF-77F4-42B1-8160-600DB1481EB6}"/>
    <cellStyle name="Note 3 5 8" xfId="1924" xr:uid="{00000000-0005-0000-0000-0000A9040000}"/>
    <cellStyle name="Note 3 5 8 2" xfId="2690" xr:uid="{C60CB36B-A68C-4379-B74D-D2CF298B940C}"/>
    <cellStyle name="Note 3 5 9" xfId="1943" xr:uid="{00000000-0005-0000-0000-0000AA040000}"/>
    <cellStyle name="Note 3 5 9 2" xfId="2709" xr:uid="{ECD4BEDA-3259-49BF-B929-91739DB87875}"/>
    <cellStyle name="Note 3 6" xfId="1111" xr:uid="{00000000-0005-0000-0000-0000AB040000}"/>
    <cellStyle name="Note 3 6 10" xfId="2068" xr:uid="{6FD5D654-BAF4-4DD4-BB74-8CE6D7EC11DE}"/>
    <cellStyle name="Note 3 6 2" xfId="1475" xr:uid="{00000000-0005-0000-0000-0000AC040000}"/>
    <cellStyle name="Note 3 6 2 2" xfId="2282" xr:uid="{327D0B4A-48C1-4887-B66A-3F51A9A03B91}"/>
    <cellStyle name="Note 3 6 3" xfId="1428" xr:uid="{00000000-0005-0000-0000-0000AD040000}"/>
    <cellStyle name="Note 3 6 3 2" xfId="2251" xr:uid="{7D58FDB6-9A5B-4687-9469-BA2D3335F0E8}"/>
    <cellStyle name="Note 3 6 4" xfId="1388" xr:uid="{00000000-0005-0000-0000-0000AE040000}"/>
    <cellStyle name="Note 3 6 4 2" xfId="2211" xr:uid="{E7710B02-27B4-40E9-AF64-EB45F0AB28F9}"/>
    <cellStyle name="Note 3 6 5" xfId="1332" xr:uid="{00000000-0005-0000-0000-0000AF040000}"/>
    <cellStyle name="Note 3 6 5 2" xfId="2159" xr:uid="{B36B3990-5267-4224-AF4A-49EEF6B3F49A}"/>
    <cellStyle name="Note 3 6 6" xfId="1610" xr:uid="{00000000-0005-0000-0000-0000B0040000}"/>
    <cellStyle name="Note 3 6 6 2" xfId="2379" xr:uid="{D7C14EB8-A9CD-48B0-BCB7-05D98B5F131E}"/>
    <cellStyle name="Note 3 6 7" xfId="1647" xr:uid="{00000000-0005-0000-0000-0000B1040000}"/>
    <cellStyle name="Note 3 6 7 2" xfId="2415" xr:uid="{4DF87710-A614-40DC-A2AB-B4EEDA3FE56B}"/>
    <cellStyle name="Note 3 6 8" xfId="1923" xr:uid="{00000000-0005-0000-0000-0000B2040000}"/>
    <cellStyle name="Note 3 6 8 2" xfId="2689" xr:uid="{9DD3A087-9199-4ADB-A8C1-527613145E50}"/>
    <cellStyle name="Note 3 6 9" xfId="1944" xr:uid="{00000000-0005-0000-0000-0000B3040000}"/>
    <cellStyle name="Note 3 6 9 2" xfId="2710" xr:uid="{45E2E595-2D31-4105-8085-A74014477C91}"/>
    <cellStyle name="Note 3 7" xfId="1112" xr:uid="{00000000-0005-0000-0000-0000B4040000}"/>
    <cellStyle name="Note 3 7 10" xfId="2069" xr:uid="{CFFE9202-BC95-445D-B761-CF76F07F3688}"/>
    <cellStyle name="Note 3 7 2" xfId="1476" xr:uid="{00000000-0005-0000-0000-0000B5040000}"/>
    <cellStyle name="Note 3 7 2 2" xfId="2283" xr:uid="{26777E1D-2E5C-43AE-B32B-DB0316CB603B}"/>
    <cellStyle name="Note 3 7 3" xfId="1429" xr:uid="{00000000-0005-0000-0000-0000B6040000}"/>
    <cellStyle name="Note 3 7 3 2" xfId="2252" xr:uid="{40C224AC-FB47-4488-BBAB-400683BAEC9C}"/>
    <cellStyle name="Note 3 7 4" xfId="1389" xr:uid="{00000000-0005-0000-0000-0000B7040000}"/>
    <cellStyle name="Note 3 7 4 2" xfId="2212" xr:uid="{D373C338-7814-41B3-9B9A-92ADA8965E56}"/>
    <cellStyle name="Note 3 7 5" xfId="1331" xr:uid="{00000000-0005-0000-0000-0000B8040000}"/>
    <cellStyle name="Note 3 7 5 2" xfId="2158" xr:uid="{92F1906A-32C3-441D-845C-4565CD23831A}"/>
    <cellStyle name="Note 3 7 6" xfId="1378" xr:uid="{00000000-0005-0000-0000-0000B9040000}"/>
    <cellStyle name="Note 3 7 6 2" xfId="2201" xr:uid="{ACABF553-77D6-4015-9C08-F139B5B3BA7B}"/>
    <cellStyle name="Note 3 7 7" xfId="1342" xr:uid="{00000000-0005-0000-0000-0000BA040000}"/>
    <cellStyle name="Note 3 7 7 2" xfId="2169" xr:uid="{AC06C72B-1079-4EA3-8B5A-46147E0B06B2}"/>
    <cellStyle name="Note 3 7 8" xfId="1922" xr:uid="{00000000-0005-0000-0000-0000BB040000}"/>
    <cellStyle name="Note 3 7 8 2" xfId="2688" xr:uid="{7FF5B055-6BBB-449A-9202-2D7C3596F969}"/>
    <cellStyle name="Note 3 7 9" xfId="1945" xr:uid="{00000000-0005-0000-0000-0000BC040000}"/>
    <cellStyle name="Note 3 7 9 2" xfId="2711" xr:uid="{965B3291-DB7A-4348-9892-FC2E74F54935}"/>
    <cellStyle name="Note 3 8" xfId="1113" xr:uid="{00000000-0005-0000-0000-0000BD040000}"/>
    <cellStyle name="Note 3 8 10" xfId="2070" xr:uid="{AD3DAEDD-1125-4901-AEB0-1771C52A373B}"/>
    <cellStyle name="Note 3 8 2" xfId="1477" xr:uid="{00000000-0005-0000-0000-0000BE040000}"/>
    <cellStyle name="Note 3 8 2 2" xfId="2284" xr:uid="{E1B80EDF-4325-4833-A605-67A277CFC6E1}"/>
    <cellStyle name="Note 3 8 3" xfId="1430" xr:uid="{00000000-0005-0000-0000-0000BF040000}"/>
    <cellStyle name="Note 3 8 3 2" xfId="2253" xr:uid="{26149A4D-432B-4024-8A7C-C1A1F2F58CBA}"/>
    <cellStyle name="Note 3 8 4" xfId="1390" xr:uid="{00000000-0005-0000-0000-0000C0040000}"/>
    <cellStyle name="Note 3 8 4 2" xfId="2213" xr:uid="{68CB84A6-D858-4AB9-8F03-B4E0E11605A8}"/>
    <cellStyle name="Note 3 8 5" xfId="1330" xr:uid="{00000000-0005-0000-0000-0000C1040000}"/>
    <cellStyle name="Note 3 8 5 2" xfId="2157" xr:uid="{F71A2EF5-D4B2-43C8-8851-207BE8008861}"/>
    <cellStyle name="Note 3 8 6" xfId="1379" xr:uid="{00000000-0005-0000-0000-0000C2040000}"/>
    <cellStyle name="Note 3 8 6 2" xfId="2202" xr:uid="{39BEB227-B44C-4EFE-AE74-4B0C1B6BAFD9}"/>
    <cellStyle name="Note 3 8 7" xfId="1341" xr:uid="{00000000-0005-0000-0000-0000C3040000}"/>
    <cellStyle name="Note 3 8 7 2" xfId="2168" xr:uid="{B8898467-C2CB-4B6A-8B79-2B9491D688F4}"/>
    <cellStyle name="Note 3 8 8" xfId="1921" xr:uid="{00000000-0005-0000-0000-0000C4040000}"/>
    <cellStyle name="Note 3 8 8 2" xfId="2687" xr:uid="{F34470F4-E871-4659-B360-82DAE073A569}"/>
    <cellStyle name="Note 3 8 9" xfId="1946" xr:uid="{00000000-0005-0000-0000-0000C5040000}"/>
    <cellStyle name="Note 3 8 9 2" xfId="2712" xr:uid="{5E735AD0-3652-4901-83FC-5D33EF5CD984}"/>
    <cellStyle name="Note 3 9" xfId="1470" xr:uid="{00000000-0005-0000-0000-0000C6040000}"/>
    <cellStyle name="Note 3 9 2" xfId="2277" xr:uid="{E7346095-D651-4E67-BFFD-22E3A7DAED73}"/>
    <cellStyle name="Output 2" xfId="1114" xr:uid="{00000000-0005-0000-0000-0000C7040000}"/>
    <cellStyle name="Output 2 2" xfId="1391" xr:uid="{00000000-0005-0000-0000-0000C8040000}"/>
    <cellStyle name="Output 2 2 2" xfId="2214" xr:uid="{A1CA9399-54AF-4C2D-81BF-361BDCB10A2F}"/>
    <cellStyle name="Output 2 3" xfId="1329" xr:uid="{00000000-0005-0000-0000-0000C9040000}"/>
    <cellStyle name="Output 2 3 2" xfId="2156" xr:uid="{552ADC7D-33E5-4B6B-9A44-46272323896D}"/>
    <cellStyle name="Output 2 4" xfId="1380" xr:uid="{00000000-0005-0000-0000-0000CA040000}"/>
    <cellStyle name="Output 2 4 2" xfId="2203" xr:uid="{2F62D5DD-B5F3-4492-B904-F1BA0FEC4FB7}"/>
    <cellStyle name="Output 2 5" xfId="1340" xr:uid="{00000000-0005-0000-0000-0000CB040000}"/>
    <cellStyle name="Output 2 5 2" xfId="2167" xr:uid="{A0C0EDA3-3C2D-469B-849F-33C6D35664B5}"/>
    <cellStyle name="Output 2 6" xfId="1920" xr:uid="{00000000-0005-0000-0000-0000CC040000}"/>
    <cellStyle name="Output 2 6 2" xfId="2686" xr:uid="{948B37FB-8764-4369-871E-1461C28C378D}"/>
    <cellStyle name="Output 2 7" xfId="2071" xr:uid="{D89F3864-8E0C-462A-B404-F28A0B8F6ACA}"/>
    <cellStyle name="Output 3" xfId="1115" xr:uid="{00000000-0005-0000-0000-0000CD040000}"/>
    <cellStyle name="Output 3 2" xfId="1392" xr:uid="{00000000-0005-0000-0000-0000CE040000}"/>
    <cellStyle name="Output 3 2 2" xfId="2215" xr:uid="{36F6A80F-F0E0-4263-A191-36EFD505E90B}"/>
    <cellStyle name="Output 3 3" xfId="1328" xr:uid="{00000000-0005-0000-0000-0000CF040000}"/>
    <cellStyle name="Output 3 3 2" xfId="2155" xr:uid="{DB66ABB7-C604-4FAC-87B4-301982E45270}"/>
    <cellStyle name="Output 3 4" xfId="1381" xr:uid="{00000000-0005-0000-0000-0000D0040000}"/>
    <cellStyle name="Output 3 4 2" xfId="2204" xr:uid="{44F2412D-59E8-497B-BCE0-E107B248B1CB}"/>
    <cellStyle name="Output 3 5" xfId="1339" xr:uid="{00000000-0005-0000-0000-0000D1040000}"/>
    <cellStyle name="Output 3 5 2" xfId="2166" xr:uid="{B6C3C55E-0658-4B34-9A16-684B37806077}"/>
    <cellStyle name="Output 3 6" xfId="1919" xr:uid="{00000000-0005-0000-0000-0000D2040000}"/>
    <cellStyle name="Output 3 6 2" xfId="2685" xr:uid="{EF2BAB72-583A-4654-BB6C-E22E15847AFB}"/>
    <cellStyle name="Output 3 7" xfId="2072" xr:uid="{B1175B26-4F5A-42BF-8147-207A2A66AE2B}"/>
    <cellStyle name="Percent" xfId="10" builtinId="5"/>
    <cellStyle name="Percent 10" xfId="1116" xr:uid="{00000000-0005-0000-0000-0000D4040000}"/>
    <cellStyle name="Percent 11" xfId="1117" xr:uid="{00000000-0005-0000-0000-0000D5040000}"/>
    <cellStyle name="Percent 12" xfId="1118" xr:uid="{00000000-0005-0000-0000-0000D6040000}"/>
    <cellStyle name="Percent 13" xfId="1119" xr:uid="{00000000-0005-0000-0000-0000D7040000}"/>
    <cellStyle name="Percent 14" xfId="1120" xr:uid="{00000000-0005-0000-0000-0000D8040000}"/>
    <cellStyle name="Percent 15" xfId="24" xr:uid="{00000000-0005-0000-0000-0000D9040000}"/>
    <cellStyle name="Percent 2" xfId="40" xr:uid="{00000000-0005-0000-0000-0000DA040000}"/>
    <cellStyle name="Percent 2 2" xfId="1121" xr:uid="{00000000-0005-0000-0000-0000DB040000}"/>
    <cellStyle name="Percent 2 2 2" xfId="1122" xr:uid="{00000000-0005-0000-0000-0000DC040000}"/>
    <cellStyle name="Percent 2 2 3" xfId="1123" xr:uid="{00000000-0005-0000-0000-0000DD040000}"/>
    <cellStyle name="Percent 2 3" xfId="1124" xr:uid="{00000000-0005-0000-0000-0000DE040000}"/>
    <cellStyle name="Percent 2 3 2" xfId="1125" xr:uid="{00000000-0005-0000-0000-0000DF040000}"/>
    <cellStyle name="Percent 2 4" xfId="1126" xr:uid="{00000000-0005-0000-0000-0000E0040000}"/>
    <cellStyle name="Percent 2 5" xfId="1320" xr:uid="{00000000-0005-0000-0000-0000E1040000}"/>
    <cellStyle name="Percent 3" xfId="1127" xr:uid="{00000000-0005-0000-0000-0000E2040000}"/>
    <cellStyle name="Percent 4" xfId="1128" xr:uid="{00000000-0005-0000-0000-0000E3040000}"/>
    <cellStyle name="Percent 4 2" xfId="1129" xr:uid="{00000000-0005-0000-0000-0000E4040000}"/>
    <cellStyle name="Percent 4 2 2" xfId="1130" xr:uid="{00000000-0005-0000-0000-0000E5040000}"/>
    <cellStyle name="Percent 4 3" xfId="1131" xr:uid="{00000000-0005-0000-0000-0000E6040000}"/>
    <cellStyle name="Percent 5" xfId="1132" xr:uid="{00000000-0005-0000-0000-0000E7040000}"/>
    <cellStyle name="Percent 6" xfId="1133" xr:uid="{00000000-0005-0000-0000-0000E8040000}"/>
    <cellStyle name="Percent 6 2" xfId="1134" xr:uid="{00000000-0005-0000-0000-0000E9040000}"/>
    <cellStyle name="Percent 7" xfId="1135" xr:uid="{00000000-0005-0000-0000-0000EA040000}"/>
    <cellStyle name="Percent 8" xfId="1136" xr:uid="{00000000-0005-0000-0000-0000EB040000}"/>
    <cellStyle name="Percent 8 2" xfId="1137" xr:uid="{00000000-0005-0000-0000-0000EC040000}"/>
    <cellStyle name="Percent 9" xfId="28" xr:uid="{00000000-0005-0000-0000-0000ED040000}"/>
    <cellStyle name="Percent 9 2" xfId="1138" xr:uid="{00000000-0005-0000-0000-0000EE040000}"/>
    <cellStyle name="Pre-inputted cells" xfId="1139" xr:uid="{00000000-0005-0000-0000-0000EF040000}"/>
    <cellStyle name="Pre-inputted cells 2" xfId="1140" xr:uid="{00000000-0005-0000-0000-0000F0040000}"/>
    <cellStyle name="Pre-inputted cells 2 2" xfId="1141" xr:uid="{00000000-0005-0000-0000-0000F1040000}"/>
    <cellStyle name="Pre-inputted cells 2 2 2" xfId="1454" xr:uid="{00000000-0005-0000-0000-0000F2040000}"/>
    <cellStyle name="Pre-inputted cells 2 3" xfId="1453" xr:uid="{00000000-0005-0000-0000-0000F3040000}"/>
    <cellStyle name="Pre-inputted cells 3" xfId="1142" xr:uid="{00000000-0005-0000-0000-0000F4040000}"/>
    <cellStyle name="Pre-inputted cells 3 2" xfId="1143" xr:uid="{00000000-0005-0000-0000-0000F5040000}"/>
    <cellStyle name="Pre-inputted cells 3 2 2" xfId="1456" xr:uid="{00000000-0005-0000-0000-0000F6040000}"/>
    <cellStyle name="Pre-inputted cells 3 3" xfId="1455" xr:uid="{00000000-0005-0000-0000-0000F7040000}"/>
    <cellStyle name="Pre-inputted cells 4" xfId="1144" xr:uid="{00000000-0005-0000-0000-0000F8040000}"/>
    <cellStyle name="Pre-inputted cells 4 2" xfId="1145" xr:uid="{00000000-0005-0000-0000-0000F9040000}"/>
    <cellStyle name="Pre-inputted cells 4 2 2" xfId="1458" xr:uid="{00000000-0005-0000-0000-0000FA040000}"/>
    <cellStyle name="Pre-inputted cells 4 3" xfId="1457" xr:uid="{00000000-0005-0000-0000-0000FB040000}"/>
    <cellStyle name="Pre-inputted cells 5" xfId="1146" xr:uid="{00000000-0005-0000-0000-0000FC040000}"/>
    <cellStyle name="Pre-inputted cells 5 2" xfId="1147" xr:uid="{00000000-0005-0000-0000-0000FD040000}"/>
    <cellStyle name="Pre-inputted cells 5 2 2" xfId="1460" xr:uid="{00000000-0005-0000-0000-0000FE040000}"/>
    <cellStyle name="Pre-inputted cells 5 3" xfId="1459" xr:uid="{00000000-0005-0000-0000-0000FF040000}"/>
    <cellStyle name="Pre-inputted cells 6" xfId="34" xr:uid="{00000000-0005-0000-0000-000000050000}"/>
    <cellStyle name="Pre-inputted cells 6 2" xfId="1612" xr:uid="{00000000-0005-0000-0000-000001050000}"/>
    <cellStyle name="Pre-inputted cells 7" xfId="1148" xr:uid="{00000000-0005-0000-0000-000002050000}"/>
    <cellStyle name="Pre-inputted cells 7 2" xfId="1461" xr:uid="{00000000-0005-0000-0000-000003050000}"/>
    <cellStyle name="Pre-inputted cells 8" xfId="1452" xr:uid="{00000000-0005-0000-0000-000004050000}"/>
    <cellStyle name="RangeName" xfId="1149" xr:uid="{00000000-0005-0000-0000-000005050000}"/>
    <cellStyle name="RIGs" xfId="1150" xr:uid="{00000000-0005-0000-0000-000006050000}"/>
    <cellStyle name="RIGs 2" xfId="1151" xr:uid="{00000000-0005-0000-0000-000007050000}"/>
    <cellStyle name="RIGs input cells" xfId="1152" xr:uid="{00000000-0005-0000-0000-000008050000}"/>
    <cellStyle name="RIGs input cells 2" xfId="1153" xr:uid="{00000000-0005-0000-0000-000009050000}"/>
    <cellStyle name="RIGs input cells 2 2" xfId="1154" xr:uid="{00000000-0005-0000-0000-00000A050000}"/>
    <cellStyle name="RIGs input cells 2 2 2" xfId="1155" xr:uid="{00000000-0005-0000-0000-00000B050000}"/>
    <cellStyle name="RIGs input cells 2 2 2 2" xfId="1467" xr:uid="{00000000-0005-0000-0000-00000C050000}"/>
    <cellStyle name="RIGs input cells 2 2 3" xfId="1466" xr:uid="{00000000-0005-0000-0000-00000D050000}"/>
    <cellStyle name="RIGs input cells 2 3" xfId="1156" xr:uid="{00000000-0005-0000-0000-00000E050000}"/>
    <cellStyle name="RIGs input cells 2 3 2" xfId="1468" xr:uid="{00000000-0005-0000-0000-00000F050000}"/>
    <cellStyle name="RIGs input cells 2 4" xfId="1465" xr:uid="{00000000-0005-0000-0000-000010050000}"/>
    <cellStyle name="RIGs input cells 3" xfId="1157" xr:uid="{00000000-0005-0000-0000-000011050000}"/>
    <cellStyle name="RIGs input cells 3 2" xfId="1158" xr:uid="{00000000-0005-0000-0000-000012050000}"/>
    <cellStyle name="RIGs input cells 3 2 2" xfId="1159" xr:uid="{00000000-0005-0000-0000-000013050000}"/>
    <cellStyle name="RIGs input cells 3 2 2 2" xfId="1323" xr:uid="{00000000-0005-0000-0000-000014050000}"/>
    <cellStyle name="RIGs input cells 3 2 3" xfId="1479" xr:uid="{00000000-0005-0000-0000-000015050000}"/>
    <cellStyle name="RIGs input cells 3 3" xfId="1160" xr:uid="{00000000-0005-0000-0000-000016050000}"/>
    <cellStyle name="RIGs input cells 3 3 2" xfId="1480" xr:uid="{00000000-0005-0000-0000-000017050000}"/>
    <cellStyle name="RIGs input cells 3 4" xfId="1478" xr:uid="{00000000-0005-0000-0000-000018050000}"/>
    <cellStyle name="RIGs input cells 4" xfId="1161" xr:uid="{00000000-0005-0000-0000-000019050000}"/>
    <cellStyle name="RIGs input cells 4 2" xfId="1162" xr:uid="{00000000-0005-0000-0000-00001A050000}"/>
    <cellStyle name="RIGs input cells 4 2 2" xfId="1482" xr:uid="{00000000-0005-0000-0000-00001B050000}"/>
    <cellStyle name="RIGs input cells 4 3" xfId="1481" xr:uid="{00000000-0005-0000-0000-00001C050000}"/>
    <cellStyle name="RIGs input cells 5" xfId="1163" xr:uid="{00000000-0005-0000-0000-00001D050000}"/>
    <cellStyle name="RIGs input cells 5 2" xfId="1164" xr:uid="{00000000-0005-0000-0000-00001E050000}"/>
    <cellStyle name="RIGs input cells 5 2 2" xfId="1484" xr:uid="{00000000-0005-0000-0000-00001F050000}"/>
    <cellStyle name="RIGs input cells 5 3" xfId="1483" xr:uid="{00000000-0005-0000-0000-000020050000}"/>
    <cellStyle name="RIGs input cells 6" xfId="1165" xr:uid="{00000000-0005-0000-0000-000021050000}"/>
    <cellStyle name="RIGs input cells 6 2" xfId="1166" xr:uid="{00000000-0005-0000-0000-000022050000}"/>
    <cellStyle name="RIGs input cells 6 2 2" xfId="1485" xr:uid="{00000000-0005-0000-0000-000023050000}"/>
    <cellStyle name="RIGs input cells 6 3" xfId="1326" xr:uid="{00000000-0005-0000-0000-000024050000}"/>
    <cellStyle name="RIGs input cells 7" xfId="1167" xr:uid="{00000000-0005-0000-0000-000025050000}"/>
    <cellStyle name="RIGs input cells 7 2" xfId="1486" xr:uid="{00000000-0005-0000-0000-000026050000}"/>
    <cellStyle name="RIGs input cells 8" xfId="1464" xr:uid="{00000000-0005-0000-0000-000027050000}"/>
    <cellStyle name="RIGs input totals" xfId="1168" xr:uid="{00000000-0005-0000-0000-000028050000}"/>
    <cellStyle name="RIGs input totals 2" xfId="1169" xr:uid="{00000000-0005-0000-0000-000029050000}"/>
    <cellStyle name="RIGs input totals 2 2" xfId="1170" xr:uid="{00000000-0005-0000-0000-00002A050000}"/>
    <cellStyle name="RIGs input totals 2 2 2" xfId="1171" xr:uid="{00000000-0005-0000-0000-00002B050000}"/>
    <cellStyle name="RIGs input totals 2 2 2 2" xfId="1490" xr:uid="{00000000-0005-0000-0000-00002C050000}"/>
    <cellStyle name="RIGs input totals 2 2 3" xfId="1489" xr:uid="{00000000-0005-0000-0000-00002D050000}"/>
    <cellStyle name="RIGs input totals 2 3" xfId="1172" xr:uid="{00000000-0005-0000-0000-00002E050000}"/>
    <cellStyle name="RIGs input totals 2 3 2" xfId="1173" xr:uid="{00000000-0005-0000-0000-00002F050000}"/>
    <cellStyle name="RIGs input totals 2 3 2 2" xfId="1491" xr:uid="{00000000-0005-0000-0000-000030050000}"/>
    <cellStyle name="RIGs input totals 2 3 3" xfId="1608" xr:uid="{00000000-0005-0000-0000-000031050000}"/>
    <cellStyle name="RIGs input totals 2 4" xfId="1174" xr:uid="{00000000-0005-0000-0000-000032050000}"/>
    <cellStyle name="RIGs input totals 2 4 2" xfId="1492" xr:uid="{00000000-0005-0000-0000-000033050000}"/>
    <cellStyle name="RIGs input totals 2 5" xfId="1175" xr:uid="{00000000-0005-0000-0000-000034050000}"/>
    <cellStyle name="RIGs input totals 2 5 2" xfId="1493" xr:uid="{00000000-0005-0000-0000-000035050000}"/>
    <cellStyle name="RIGs input totals 2 6" xfId="1488" xr:uid="{00000000-0005-0000-0000-000036050000}"/>
    <cellStyle name="RIGs input totals 3" xfId="1176" xr:uid="{00000000-0005-0000-0000-000037050000}"/>
    <cellStyle name="RIGs input totals 3 2" xfId="1177" xr:uid="{00000000-0005-0000-0000-000038050000}"/>
    <cellStyle name="RIGs input totals 3 2 2" xfId="1495" xr:uid="{00000000-0005-0000-0000-000039050000}"/>
    <cellStyle name="RIGs input totals 3 3" xfId="1494" xr:uid="{00000000-0005-0000-0000-00003A050000}"/>
    <cellStyle name="RIGs input totals 4" xfId="1178" xr:uid="{00000000-0005-0000-0000-00003B050000}"/>
    <cellStyle name="RIGs input totals 4 2" xfId="1179" xr:uid="{00000000-0005-0000-0000-00003C050000}"/>
    <cellStyle name="RIGs input totals 4 2 2" xfId="1497" xr:uid="{00000000-0005-0000-0000-00003D050000}"/>
    <cellStyle name="RIGs input totals 4 3" xfId="1496" xr:uid="{00000000-0005-0000-0000-00003E050000}"/>
    <cellStyle name="RIGs input totals 5" xfId="1180" xr:uid="{00000000-0005-0000-0000-00003F050000}"/>
    <cellStyle name="RIGs input totals 5 2" xfId="1181" xr:uid="{00000000-0005-0000-0000-000040050000}"/>
    <cellStyle name="RIGs input totals 5 2 2" xfId="1499" xr:uid="{00000000-0005-0000-0000-000041050000}"/>
    <cellStyle name="RIGs input totals 5 3" xfId="1498" xr:uid="{00000000-0005-0000-0000-000042050000}"/>
    <cellStyle name="RIGs input totals 6" xfId="1182" xr:uid="{00000000-0005-0000-0000-000043050000}"/>
    <cellStyle name="RIGs input totals 6 2" xfId="1500" xr:uid="{00000000-0005-0000-0000-000044050000}"/>
    <cellStyle name="RIGs input totals 7" xfId="1183" xr:uid="{00000000-0005-0000-0000-000045050000}"/>
    <cellStyle name="RIGs input totals 7 2" xfId="1501" xr:uid="{00000000-0005-0000-0000-000046050000}"/>
    <cellStyle name="RIGs input totals 8" xfId="1487" xr:uid="{00000000-0005-0000-0000-000047050000}"/>
    <cellStyle name="RIGs linked cells" xfId="1184" xr:uid="{00000000-0005-0000-0000-000048050000}"/>
    <cellStyle name="RIGs linked cells 2" xfId="1185" xr:uid="{00000000-0005-0000-0000-000049050000}"/>
    <cellStyle name="RIGs linked cells 2 2" xfId="1186" xr:uid="{00000000-0005-0000-0000-00004A050000}"/>
    <cellStyle name="RIGs linked cells 2 2 2" xfId="1503" xr:uid="{00000000-0005-0000-0000-00004B050000}"/>
    <cellStyle name="RIGs linked cells 2 3" xfId="1502" xr:uid="{00000000-0005-0000-0000-00004C050000}"/>
    <cellStyle name="RIGs linked cells 3" xfId="1187" xr:uid="{00000000-0005-0000-0000-00004D050000}"/>
    <cellStyle name="RIGs linked cells 3 2" xfId="1188" xr:uid="{00000000-0005-0000-0000-00004E050000}"/>
    <cellStyle name="RIGs linked cells 3 2 2" xfId="1505" xr:uid="{00000000-0005-0000-0000-00004F050000}"/>
    <cellStyle name="RIGs linked cells 3 3" xfId="1189" xr:uid="{00000000-0005-0000-0000-000050050000}"/>
    <cellStyle name="RIGs linked cells 3 3 2" xfId="1506" xr:uid="{00000000-0005-0000-0000-000051050000}"/>
    <cellStyle name="RIGs linked cells 3 4" xfId="1504" xr:uid="{00000000-0005-0000-0000-000052050000}"/>
    <cellStyle name="RIGs linked cells 4" xfId="1190" xr:uid="{00000000-0005-0000-0000-000053050000}"/>
    <cellStyle name="RIGs linked cells 4 2" xfId="1191" xr:uid="{00000000-0005-0000-0000-000054050000}"/>
    <cellStyle name="RIGs linked cells 4 2 2" xfId="1508" xr:uid="{00000000-0005-0000-0000-000055050000}"/>
    <cellStyle name="RIGs linked cells 4 3" xfId="1507" xr:uid="{00000000-0005-0000-0000-000056050000}"/>
    <cellStyle name="RIGs linked cells 5" xfId="1192" xr:uid="{00000000-0005-0000-0000-000057050000}"/>
    <cellStyle name="RIGs linked cells 5 2" xfId="1509" xr:uid="{00000000-0005-0000-0000-000058050000}"/>
    <cellStyle name="RIGs linked cells 6" xfId="1324" xr:uid="{00000000-0005-0000-0000-000059050000}"/>
    <cellStyle name="SAPBEXaggData" xfId="1193" xr:uid="{00000000-0005-0000-0000-00005A050000}"/>
    <cellStyle name="SAPBEXaggData 10" xfId="2073" xr:uid="{B65DAF1E-942B-4EDE-B185-87AE131F17E9}"/>
    <cellStyle name="SAPBEXaggData 2" xfId="1550" xr:uid="{00000000-0005-0000-0000-00005B050000}"/>
    <cellStyle name="SAPBEXaggData 2 2" xfId="2324" xr:uid="{19207FC2-A71E-44A1-8D00-DCCF0223D4D9}"/>
    <cellStyle name="SAPBEXaggData 3" xfId="1510" xr:uid="{00000000-0005-0000-0000-00005C050000}"/>
    <cellStyle name="SAPBEXaggData 3 2" xfId="2285" xr:uid="{000DB950-4B09-4757-A6F1-C658A2809E34}"/>
    <cellStyle name="SAPBEXaggData 4" xfId="1404" xr:uid="{00000000-0005-0000-0000-00005D050000}"/>
    <cellStyle name="SAPBEXaggData 4 2" xfId="2227" xr:uid="{84ED05EF-9B10-46BF-AEAE-11A5A977132E}"/>
    <cellStyle name="SAPBEXaggData 5" xfId="1625" xr:uid="{00000000-0005-0000-0000-00005E050000}"/>
    <cellStyle name="SAPBEXaggData 5 2" xfId="2393" xr:uid="{ECF33255-5B25-43E4-B472-CEA935E58EAB}"/>
    <cellStyle name="SAPBEXaggData 6" xfId="1393" xr:uid="{00000000-0005-0000-0000-00005F050000}"/>
    <cellStyle name="SAPBEXaggData 6 2" xfId="2216" xr:uid="{D11CB594-7721-496C-9BB6-BD42642C8B4F}"/>
    <cellStyle name="SAPBEXaggData 7" xfId="1614" xr:uid="{00000000-0005-0000-0000-000060050000}"/>
    <cellStyle name="SAPBEXaggData 7 2" xfId="2382" xr:uid="{BCDB5A5E-8F44-4991-B4B1-93C29B49B398}"/>
    <cellStyle name="SAPBEXaggData 8" xfId="1918" xr:uid="{00000000-0005-0000-0000-000061050000}"/>
    <cellStyle name="SAPBEXaggData 8 2" xfId="2684" xr:uid="{946B1EC7-D9C6-4A0D-8AAD-75EBD51FF22D}"/>
    <cellStyle name="SAPBEXaggData 9" xfId="1947" xr:uid="{00000000-0005-0000-0000-000062050000}"/>
    <cellStyle name="SAPBEXaggData 9 2" xfId="2713" xr:uid="{D2E6A8E5-65E2-49D2-B6C7-A7C5F7830ADA}"/>
    <cellStyle name="SAPBEXaggDataEmph" xfId="1194" xr:uid="{00000000-0005-0000-0000-000063050000}"/>
    <cellStyle name="SAPBEXaggDataEmph 10" xfId="2074" xr:uid="{6CCD8143-C0E3-4A3F-BC94-4F59EFB1C300}"/>
    <cellStyle name="SAPBEXaggDataEmph 2" xfId="1551" xr:uid="{00000000-0005-0000-0000-000064050000}"/>
    <cellStyle name="SAPBEXaggDataEmph 2 2" xfId="2325" xr:uid="{48969E9C-F367-4924-A1A8-4A61DA1CC61F}"/>
    <cellStyle name="SAPBEXaggDataEmph 3" xfId="1511" xr:uid="{00000000-0005-0000-0000-000065050000}"/>
    <cellStyle name="SAPBEXaggDataEmph 3 2" xfId="2286" xr:uid="{66D70EFB-5120-416D-8A3F-199774AB3828}"/>
    <cellStyle name="SAPBEXaggDataEmph 4" xfId="1405" xr:uid="{00000000-0005-0000-0000-000066050000}"/>
    <cellStyle name="SAPBEXaggDataEmph 4 2" xfId="2228" xr:uid="{A223F9B4-2ED8-408B-90B8-D7875DE1EF73}"/>
    <cellStyle name="SAPBEXaggDataEmph 5" xfId="1626" xr:uid="{00000000-0005-0000-0000-000067050000}"/>
    <cellStyle name="SAPBEXaggDataEmph 5 2" xfId="2394" xr:uid="{2970A31F-DFBB-48EB-B625-DE3EA7833826}"/>
    <cellStyle name="SAPBEXaggDataEmph 6" xfId="1394" xr:uid="{00000000-0005-0000-0000-000068050000}"/>
    <cellStyle name="SAPBEXaggDataEmph 6 2" xfId="2217" xr:uid="{82745483-38A0-42D4-9D2C-A37CF4DFBA8F}"/>
    <cellStyle name="SAPBEXaggDataEmph 7" xfId="1615" xr:uid="{00000000-0005-0000-0000-000069050000}"/>
    <cellStyle name="SAPBEXaggDataEmph 7 2" xfId="2383" xr:uid="{F01ABED4-5BEA-4DF5-9F92-090B0296A282}"/>
    <cellStyle name="SAPBEXaggDataEmph 8" xfId="1917" xr:uid="{00000000-0005-0000-0000-00006A050000}"/>
    <cellStyle name="SAPBEXaggDataEmph 8 2" xfId="2683" xr:uid="{71C0B52C-F891-4E7E-9D8B-F61F2FED952F}"/>
    <cellStyle name="SAPBEXaggDataEmph 9" xfId="1948" xr:uid="{00000000-0005-0000-0000-00006B050000}"/>
    <cellStyle name="SAPBEXaggDataEmph 9 2" xfId="2714" xr:uid="{F6C46288-3920-49AD-A269-7EFED6B9827B}"/>
    <cellStyle name="SAPBEXaggItem" xfId="1195" xr:uid="{00000000-0005-0000-0000-00006C050000}"/>
    <cellStyle name="SAPBEXaggItem 10" xfId="2075" xr:uid="{4600145A-C17B-4B54-94E8-C543C48DD38B}"/>
    <cellStyle name="SAPBEXaggItem 2" xfId="1552" xr:uid="{00000000-0005-0000-0000-00006D050000}"/>
    <cellStyle name="SAPBEXaggItem 2 2" xfId="2326" xr:uid="{14B623D1-3B8C-43CD-83F0-98D0552A54A4}"/>
    <cellStyle name="SAPBEXaggItem 3" xfId="1325" xr:uid="{00000000-0005-0000-0000-00006E050000}"/>
    <cellStyle name="SAPBEXaggItem 3 2" xfId="2154" xr:uid="{8E54F9C3-7B81-4CC1-9C6D-59E7B864FA24}"/>
    <cellStyle name="SAPBEXaggItem 4" xfId="1406" xr:uid="{00000000-0005-0000-0000-00006F050000}"/>
    <cellStyle name="SAPBEXaggItem 4 2" xfId="2229" xr:uid="{217C3440-49EC-4057-BB42-882073F78BB1}"/>
    <cellStyle name="SAPBEXaggItem 5" xfId="1627" xr:uid="{00000000-0005-0000-0000-000070050000}"/>
    <cellStyle name="SAPBEXaggItem 5 2" xfId="2395" xr:uid="{70D92AB9-FDA4-4E5D-B022-71CA6EE40BC4}"/>
    <cellStyle name="SAPBEXaggItem 6" xfId="1395" xr:uid="{00000000-0005-0000-0000-000071050000}"/>
    <cellStyle name="SAPBEXaggItem 6 2" xfId="2218" xr:uid="{B471C0F0-2DB4-4155-9DCD-DC2AF0F8A1FF}"/>
    <cellStyle name="SAPBEXaggItem 7" xfId="1616" xr:uid="{00000000-0005-0000-0000-000072050000}"/>
    <cellStyle name="SAPBEXaggItem 7 2" xfId="2384" xr:uid="{F62A63B3-DC7D-4167-A06C-67819A85E943}"/>
    <cellStyle name="SAPBEXaggItem 8" xfId="1916" xr:uid="{00000000-0005-0000-0000-000073050000}"/>
    <cellStyle name="SAPBEXaggItem 8 2" xfId="2682" xr:uid="{6ABAD439-9191-4F61-B90B-EF269B6F0DE9}"/>
    <cellStyle name="SAPBEXaggItem 9" xfId="1949" xr:uid="{00000000-0005-0000-0000-000074050000}"/>
    <cellStyle name="SAPBEXaggItem 9 2" xfId="2715" xr:uid="{850DA202-04B6-4F17-B9B8-1F64B52EDA77}"/>
    <cellStyle name="SAPBEXaggItemX" xfId="1196" xr:uid="{00000000-0005-0000-0000-000075050000}"/>
    <cellStyle name="SAPBEXaggItemX 2" xfId="1407" xr:uid="{00000000-0005-0000-0000-000076050000}"/>
    <cellStyle name="SAPBEXaggItemX 2 2" xfId="2230" xr:uid="{D35670CA-513E-4DC3-918A-E1244348EA78}"/>
    <cellStyle name="SAPBEXaggItemX 3" xfId="1628" xr:uid="{00000000-0005-0000-0000-000077050000}"/>
    <cellStyle name="SAPBEXaggItemX 3 2" xfId="2396" xr:uid="{81A268F0-530B-4386-A3AE-4911AA4F2C44}"/>
    <cellStyle name="SAPBEXaggItemX 4" xfId="1396" xr:uid="{00000000-0005-0000-0000-000078050000}"/>
    <cellStyle name="SAPBEXaggItemX 4 2" xfId="2219" xr:uid="{BD3D9228-3385-4B22-B137-C81031AFD9EB}"/>
    <cellStyle name="SAPBEXaggItemX 5" xfId="1617" xr:uid="{00000000-0005-0000-0000-000079050000}"/>
    <cellStyle name="SAPBEXaggItemX 5 2" xfId="2385" xr:uid="{328315A2-7BE6-4FD5-99FC-A2040837E279}"/>
    <cellStyle name="SAPBEXaggItemX 6" xfId="1915" xr:uid="{00000000-0005-0000-0000-00007A050000}"/>
    <cellStyle name="SAPBEXaggItemX 6 2" xfId="2681" xr:uid="{2E9B2FFC-ADDC-462F-ACE3-CBC2B9E8285E}"/>
    <cellStyle name="SAPBEXaggItemX 7" xfId="2076" xr:uid="{C8297AA2-44B1-4482-A19E-1DFC9B48D047}"/>
    <cellStyle name="SAPBEXchaText" xfId="1197" xr:uid="{00000000-0005-0000-0000-00007B050000}"/>
    <cellStyle name="SAPBEXchaText 10" xfId="2077" xr:uid="{55BFDAC6-579F-479C-9338-52B8B2129DAE}"/>
    <cellStyle name="SAPBEXchaText 2" xfId="1553" xr:uid="{00000000-0005-0000-0000-00007C050000}"/>
    <cellStyle name="SAPBEXchaText 2 2" xfId="2327" xr:uid="{169763B2-ED9F-463C-9733-6997266016F1}"/>
    <cellStyle name="SAPBEXchaText 3" xfId="1513" xr:uid="{00000000-0005-0000-0000-00007D050000}"/>
    <cellStyle name="SAPBEXchaText 3 2" xfId="2288" xr:uid="{6A55CF41-D8CC-4CF5-98B9-AB314472DB65}"/>
    <cellStyle name="SAPBEXchaText 4" xfId="1408" xr:uid="{00000000-0005-0000-0000-00007E050000}"/>
    <cellStyle name="SAPBEXchaText 4 2" xfId="2231" xr:uid="{EC2BCDF8-7358-448D-8037-6D7D2A24E3CD}"/>
    <cellStyle name="SAPBEXchaText 5" xfId="1629" xr:uid="{00000000-0005-0000-0000-00007F050000}"/>
    <cellStyle name="SAPBEXchaText 5 2" xfId="2397" xr:uid="{E0308085-8277-460A-97A3-32C45B05F606}"/>
    <cellStyle name="SAPBEXchaText 6" xfId="1397" xr:uid="{00000000-0005-0000-0000-000080050000}"/>
    <cellStyle name="SAPBEXchaText 6 2" xfId="2220" xr:uid="{1BBCAC76-569E-44EE-AD82-0218B60406E0}"/>
    <cellStyle name="SAPBEXchaText 7" xfId="1618" xr:uid="{00000000-0005-0000-0000-000081050000}"/>
    <cellStyle name="SAPBEXchaText 7 2" xfId="2386" xr:uid="{3E258908-0890-4B72-9D22-ED2461A8C5D5}"/>
    <cellStyle name="SAPBEXchaText 8" xfId="1914" xr:uid="{00000000-0005-0000-0000-000082050000}"/>
    <cellStyle name="SAPBEXchaText 8 2" xfId="2680" xr:uid="{51052D8D-BFFA-4674-8EB5-342AB92D394B}"/>
    <cellStyle name="SAPBEXchaText 9" xfId="1950" xr:uid="{00000000-0005-0000-0000-000083050000}"/>
    <cellStyle name="SAPBEXchaText 9 2" xfId="2716" xr:uid="{DB6A42FE-9875-43AC-9CE9-82AB9009CC86}"/>
    <cellStyle name="SAPBEXexcBad7" xfId="1198" xr:uid="{00000000-0005-0000-0000-000084050000}"/>
    <cellStyle name="SAPBEXexcBad7 10" xfId="2078" xr:uid="{F5383228-A3DC-4B68-8E6D-D3C11A58E042}"/>
    <cellStyle name="SAPBEXexcBad7 2" xfId="1554" xr:uid="{00000000-0005-0000-0000-000085050000}"/>
    <cellStyle name="SAPBEXexcBad7 2 2" xfId="2328" xr:uid="{CCA5863D-C810-4DAA-93B6-1CC396A09B9F}"/>
    <cellStyle name="SAPBEXexcBad7 3" xfId="1514" xr:uid="{00000000-0005-0000-0000-000086050000}"/>
    <cellStyle name="SAPBEXexcBad7 3 2" xfId="2289" xr:uid="{9FB10A8C-401D-402D-80C5-D6DBC7A041B8}"/>
    <cellStyle name="SAPBEXexcBad7 4" xfId="1409" xr:uid="{00000000-0005-0000-0000-000087050000}"/>
    <cellStyle name="SAPBEXexcBad7 4 2" xfId="2232" xr:uid="{D8D0536A-0D1E-41A4-8AE9-1543E8A1630C}"/>
    <cellStyle name="SAPBEXexcBad7 5" xfId="1630" xr:uid="{00000000-0005-0000-0000-000088050000}"/>
    <cellStyle name="SAPBEXexcBad7 5 2" xfId="2398" xr:uid="{9294CF2E-5C21-4409-9AB9-2459415EA136}"/>
    <cellStyle name="SAPBEXexcBad7 6" xfId="1398" xr:uid="{00000000-0005-0000-0000-000089050000}"/>
    <cellStyle name="SAPBEXexcBad7 6 2" xfId="2221" xr:uid="{89AA7BC3-1AF3-4FAF-98DF-59A1D7B5CEB0}"/>
    <cellStyle name="SAPBEXexcBad7 7" xfId="1619" xr:uid="{00000000-0005-0000-0000-00008A050000}"/>
    <cellStyle name="SAPBEXexcBad7 7 2" xfId="2387" xr:uid="{0624DC46-1101-4371-AEA0-BED316A320F3}"/>
    <cellStyle name="SAPBEXexcBad7 8" xfId="1913" xr:uid="{00000000-0005-0000-0000-00008B050000}"/>
    <cellStyle name="SAPBEXexcBad7 8 2" xfId="2679" xr:uid="{8B690B3E-6BFE-4E68-97B2-3BA839A2306B}"/>
    <cellStyle name="SAPBEXexcBad7 9" xfId="1951" xr:uid="{00000000-0005-0000-0000-00008C050000}"/>
    <cellStyle name="SAPBEXexcBad7 9 2" xfId="2717" xr:uid="{B48B64C6-553C-4E45-8D4A-DB78AFD38892}"/>
    <cellStyle name="SAPBEXexcBad8" xfId="1199" xr:uid="{00000000-0005-0000-0000-00008D050000}"/>
    <cellStyle name="SAPBEXexcBad8 10" xfId="2079" xr:uid="{C83F1BDD-7974-4260-99E6-BA17E587F66A}"/>
    <cellStyle name="SAPBEXexcBad8 2" xfId="1555" xr:uid="{00000000-0005-0000-0000-00008E050000}"/>
    <cellStyle name="SAPBEXexcBad8 2 2" xfId="2329" xr:uid="{D612EF69-86E7-42B1-A197-C4A4DC74AEC3}"/>
    <cellStyle name="SAPBEXexcBad8 3" xfId="1515" xr:uid="{00000000-0005-0000-0000-00008F050000}"/>
    <cellStyle name="SAPBEXexcBad8 3 2" xfId="2290" xr:uid="{8175EB74-361C-4A2D-9403-35C278684EC7}"/>
    <cellStyle name="SAPBEXexcBad8 4" xfId="1410" xr:uid="{00000000-0005-0000-0000-000090050000}"/>
    <cellStyle name="SAPBEXexcBad8 4 2" xfId="2233" xr:uid="{4C3E1404-D39B-42C0-85D1-10DAD82E630D}"/>
    <cellStyle name="SAPBEXexcBad8 5" xfId="1631" xr:uid="{00000000-0005-0000-0000-000091050000}"/>
    <cellStyle name="SAPBEXexcBad8 5 2" xfId="2399" xr:uid="{32849B2F-1BC6-421C-B229-A690D6B77276}"/>
    <cellStyle name="SAPBEXexcBad8 6" xfId="1399" xr:uid="{00000000-0005-0000-0000-000092050000}"/>
    <cellStyle name="SAPBEXexcBad8 6 2" xfId="2222" xr:uid="{4F1CA99F-C97D-4B56-A554-4421670A4FC0}"/>
    <cellStyle name="SAPBEXexcBad8 7" xfId="1620" xr:uid="{00000000-0005-0000-0000-000093050000}"/>
    <cellStyle name="SAPBEXexcBad8 7 2" xfId="2388" xr:uid="{9561B599-06D8-4BFA-B5D3-9BB9DBF79DC4}"/>
    <cellStyle name="SAPBEXexcBad8 8" xfId="1912" xr:uid="{00000000-0005-0000-0000-000094050000}"/>
    <cellStyle name="SAPBEXexcBad8 8 2" xfId="2678" xr:uid="{8553BA64-BD1C-4FC2-9C05-C2CB711249C5}"/>
    <cellStyle name="SAPBEXexcBad8 9" xfId="1952" xr:uid="{00000000-0005-0000-0000-000095050000}"/>
    <cellStyle name="SAPBEXexcBad8 9 2" xfId="2718" xr:uid="{550296EC-9736-476A-B5FD-D0B9AE884B8E}"/>
    <cellStyle name="SAPBEXexcBad9" xfId="1200" xr:uid="{00000000-0005-0000-0000-000096050000}"/>
    <cellStyle name="SAPBEXexcBad9 2" xfId="1411" xr:uid="{00000000-0005-0000-0000-000097050000}"/>
    <cellStyle name="SAPBEXexcBad9 2 2" xfId="2234" xr:uid="{7EFD7E5B-D843-4ED0-9402-39E96D2D8ECA}"/>
    <cellStyle name="SAPBEXexcBad9 3" xfId="1632" xr:uid="{00000000-0005-0000-0000-000098050000}"/>
    <cellStyle name="SAPBEXexcBad9 3 2" xfId="2400" xr:uid="{1FAC65AC-B6C5-45BD-8B78-770D1161FE5C}"/>
    <cellStyle name="SAPBEXexcBad9 4" xfId="1400" xr:uid="{00000000-0005-0000-0000-000099050000}"/>
    <cellStyle name="SAPBEXexcBad9 4 2" xfId="2223" xr:uid="{31D6DDA1-7301-42BD-9F55-0780EDF36F54}"/>
    <cellStyle name="SAPBEXexcBad9 5" xfId="1911" xr:uid="{00000000-0005-0000-0000-00009A050000}"/>
    <cellStyle name="SAPBEXexcBad9 5 2" xfId="2677" xr:uid="{79EFAC32-06E3-46A7-94F2-3AFBCE32D6BF}"/>
    <cellStyle name="SAPBEXexcBad9 6" xfId="2080" xr:uid="{01EF1EB8-1B41-4A4D-A904-796B5274D94C}"/>
    <cellStyle name="SAPBEXexcCritical4" xfId="1201" xr:uid="{00000000-0005-0000-0000-00009B050000}"/>
    <cellStyle name="SAPBEXexcCritical4 10" xfId="2081" xr:uid="{9CDC14C6-A67B-425B-A1E2-D082DE3FE644}"/>
    <cellStyle name="SAPBEXexcCritical4 2" xfId="1557" xr:uid="{00000000-0005-0000-0000-00009C050000}"/>
    <cellStyle name="SAPBEXexcCritical4 2 2" xfId="2331" xr:uid="{9A833A3B-EEC4-4D55-9622-29BBCCF7D8FF}"/>
    <cellStyle name="SAPBEXexcCritical4 3" xfId="1517" xr:uid="{00000000-0005-0000-0000-00009D050000}"/>
    <cellStyle name="SAPBEXexcCritical4 3 2" xfId="2292" xr:uid="{781FF4F5-A358-43F2-BE12-B685DB57C080}"/>
    <cellStyle name="SAPBEXexcCritical4 4" xfId="1412" xr:uid="{00000000-0005-0000-0000-00009E050000}"/>
    <cellStyle name="SAPBEXexcCritical4 4 2" xfId="2235" xr:uid="{494FEB4C-84E2-4A35-A941-6E0581117B37}"/>
    <cellStyle name="SAPBEXexcCritical4 5" xfId="1633" xr:uid="{00000000-0005-0000-0000-00009F050000}"/>
    <cellStyle name="SAPBEXexcCritical4 5 2" xfId="2401" xr:uid="{CB587CC4-80E0-45B4-9232-D47AD23E0CD0}"/>
    <cellStyle name="SAPBEXexcCritical4 6" xfId="1401" xr:uid="{00000000-0005-0000-0000-0000A0050000}"/>
    <cellStyle name="SAPBEXexcCritical4 6 2" xfId="2224" xr:uid="{8D4FB88F-B56E-4F43-824E-DD93C4E8BF50}"/>
    <cellStyle name="SAPBEXexcCritical4 7" xfId="1621" xr:uid="{00000000-0005-0000-0000-0000A1050000}"/>
    <cellStyle name="SAPBEXexcCritical4 7 2" xfId="2389" xr:uid="{C9B29016-86F7-401C-B0E1-6B2C788EE68E}"/>
    <cellStyle name="SAPBEXexcCritical4 8" xfId="1910" xr:uid="{00000000-0005-0000-0000-0000A2050000}"/>
    <cellStyle name="SAPBEXexcCritical4 8 2" xfId="2676" xr:uid="{D5CB6723-FBF6-4389-83F8-D2F0C61110E3}"/>
    <cellStyle name="SAPBEXexcCritical4 9" xfId="1953" xr:uid="{00000000-0005-0000-0000-0000A3050000}"/>
    <cellStyle name="SAPBEXexcCritical4 9 2" xfId="2719" xr:uid="{F5DF30D9-97F7-4B30-AAD3-8321F233C27A}"/>
    <cellStyle name="SAPBEXexcCritical5" xfId="1202" xr:uid="{00000000-0005-0000-0000-0000A4050000}"/>
    <cellStyle name="SAPBEXexcCritical5 10" xfId="2082" xr:uid="{F294EA9E-793D-4D81-9075-16058BEBCF15}"/>
    <cellStyle name="SAPBEXexcCritical5 2" xfId="1558" xr:uid="{00000000-0005-0000-0000-0000A5050000}"/>
    <cellStyle name="SAPBEXexcCritical5 2 2" xfId="2332" xr:uid="{299EE76E-D20A-4979-B670-A3650DBF7205}"/>
    <cellStyle name="SAPBEXexcCritical5 3" xfId="1518" xr:uid="{00000000-0005-0000-0000-0000A6050000}"/>
    <cellStyle name="SAPBEXexcCritical5 3 2" xfId="2293" xr:uid="{8CA40ACD-82AD-4770-A380-4924BFB5C68E}"/>
    <cellStyle name="SAPBEXexcCritical5 4" xfId="1593" xr:uid="{00000000-0005-0000-0000-0000A7050000}"/>
    <cellStyle name="SAPBEXexcCritical5 4 2" xfId="2364" xr:uid="{C508AA12-9987-4EAD-95D0-BCB47B10374B}"/>
    <cellStyle name="SAPBEXexcCritical5 5" xfId="1634" xr:uid="{00000000-0005-0000-0000-0000A8050000}"/>
    <cellStyle name="SAPBEXexcCritical5 5 2" xfId="2402" xr:uid="{4D2A99EE-3DA3-4AAF-A3FE-CD7E6912BACF}"/>
    <cellStyle name="SAPBEXexcCritical5 6" xfId="1402" xr:uid="{00000000-0005-0000-0000-0000A9050000}"/>
    <cellStyle name="SAPBEXexcCritical5 6 2" xfId="2225" xr:uid="{ED5C252E-7E73-491A-BC4A-C33910D6578F}"/>
    <cellStyle name="SAPBEXexcCritical5 7" xfId="1622" xr:uid="{00000000-0005-0000-0000-0000AA050000}"/>
    <cellStyle name="SAPBEXexcCritical5 7 2" xfId="2390" xr:uid="{0234073F-60A0-47D1-B259-C773B29C25D8}"/>
    <cellStyle name="SAPBEXexcCritical5 8" xfId="1909" xr:uid="{00000000-0005-0000-0000-0000AB050000}"/>
    <cellStyle name="SAPBEXexcCritical5 8 2" xfId="2675" xr:uid="{7D51631D-00E6-47CD-8328-F8A52D6D483A}"/>
    <cellStyle name="SAPBEXexcCritical5 9" xfId="1954" xr:uid="{00000000-0005-0000-0000-0000AC050000}"/>
    <cellStyle name="SAPBEXexcCritical5 9 2" xfId="2720" xr:uid="{2377591D-66F0-41D8-9AE7-F2AC0BD4BB26}"/>
    <cellStyle name="SAPBEXexcCritical6" xfId="1203" xr:uid="{00000000-0005-0000-0000-0000AD050000}"/>
    <cellStyle name="SAPBEXexcCritical6 10" xfId="2083" xr:uid="{F252861D-BDD3-4229-AB72-C7FA7207488C}"/>
    <cellStyle name="SAPBEXexcCritical6 2" xfId="1559" xr:uid="{00000000-0005-0000-0000-0000AE050000}"/>
    <cellStyle name="SAPBEXexcCritical6 2 2" xfId="2333" xr:uid="{2B3404F8-0A6D-4136-BE8A-AA36545B316C}"/>
    <cellStyle name="SAPBEXexcCritical6 3" xfId="1603" xr:uid="{00000000-0005-0000-0000-0000AF050000}"/>
    <cellStyle name="SAPBEXexcCritical6 3 2" xfId="2374" xr:uid="{A11DD759-0371-404A-AC0B-4602352C0B1F}"/>
    <cellStyle name="SAPBEXexcCritical6 4" xfId="1413" xr:uid="{00000000-0005-0000-0000-0000B0050000}"/>
    <cellStyle name="SAPBEXexcCritical6 4 2" xfId="2236" xr:uid="{8CEAD446-A965-4ECC-9862-C7D52DB38E66}"/>
    <cellStyle name="SAPBEXexcCritical6 5" xfId="1635" xr:uid="{00000000-0005-0000-0000-0000B1050000}"/>
    <cellStyle name="SAPBEXexcCritical6 5 2" xfId="2403" xr:uid="{A0B663EB-2173-429D-9818-2BFEC040E071}"/>
    <cellStyle name="SAPBEXexcCritical6 6" xfId="1403" xr:uid="{00000000-0005-0000-0000-0000B2050000}"/>
    <cellStyle name="SAPBEXexcCritical6 6 2" xfId="2226" xr:uid="{9D943087-5D56-4074-80ED-E2CD00CAD92E}"/>
    <cellStyle name="SAPBEXexcCritical6 7" xfId="1623" xr:uid="{00000000-0005-0000-0000-0000B3050000}"/>
    <cellStyle name="SAPBEXexcCritical6 7 2" xfId="2391" xr:uid="{682D59BE-BA97-453F-A9DF-09111D801AA0}"/>
    <cellStyle name="SAPBEXexcCritical6 8" xfId="1908" xr:uid="{00000000-0005-0000-0000-0000B4050000}"/>
    <cellStyle name="SAPBEXexcCritical6 8 2" xfId="2674" xr:uid="{E5C1AC68-74E8-4C59-93EF-3046E2629D7C}"/>
    <cellStyle name="SAPBEXexcCritical6 9" xfId="1955" xr:uid="{00000000-0005-0000-0000-0000B5050000}"/>
    <cellStyle name="SAPBEXexcCritical6 9 2" xfId="2721" xr:uid="{B2064AFD-2914-4A12-B78C-9F9283B29FB6}"/>
    <cellStyle name="SAPBEXexcGood1" xfId="1204" xr:uid="{00000000-0005-0000-0000-0000B6050000}"/>
    <cellStyle name="SAPBEXexcGood1 10" xfId="2084" xr:uid="{ECDD606B-3EFF-4B56-B912-9AEE8B597D6B}"/>
    <cellStyle name="SAPBEXexcGood1 2" xfId="1560" xr:uid="{00000000-0005-0000-0000-0000B7050000}"/>
    <cellStyle name="SAPBEXexcGood1 2 2" xfId="2334" xr:uid="{7269D073-F370-4A9A-996F-D547BF1ED1A9}"/>
    <cellStyle name="SAPBEXexcGood1 3" xfId="1519" xr:uid="{00000000-0005-0000-0000-0000B8050000}"/>
    <cellStyle name="SAPBEXexcGood1 3 2" xfId="2294" xr:uid="{6C961899-E39A-4019-B1A7-195696B65B5A}"/>
    <cellStyle name="SAPBEXexcGood1 4" xfId="1414" xr:uid="{00000000-0005-0000-0000-0000B9050000}"/>
    <cellStyle name="SAPBEXexcGood1 4 2" xfId="2237" xr:uid="{F11E9FE8-D03F-4993-B5F0-A2332B1548AD}"/>
    <cellStyle name="SAPBEXexcGood1 5" xfId="1636" xr:uid="{00000000-0005-0000-0000-0000BA050000}"/>
    <cellStyle name="SAPBEXexcGood1 5 2" xfId="2404" xr:uid="{63661591-AECD-4DBA-AB52-289DDB452706}"/>
    <cellStyle name="SAPBEXexcGood1 6" xfId="1607" xr:uid="{00000000-0005-0000-0000-0000BB050000}"/>
    <cellStyle name="SAPBEXexcGood1 6 2" xfId="2377" xr:uid="{3B2FE36E-050D-480E-A02D-847C153A488C}"/>
    <cellStyle name="SAPBEXexcGood1 7" xfId="1624" xr:uid="{00000000-0005-0000-0000-0000BC050000}"/>
    <cellStyle name="SAPBEXexcGood1 7 2" xfId="2392" xr:uid="{EB11B310-3314-44AF-B31B-9058CDC16B28}"/>
    <cellStyle name="SAPBEXexcGood1 8" xfId="1907" xr:uid="{00000000-0005-0000-0000-0000BD050000}"/>
    <cellStyle name="SAPBEXexcGood1 8 2" xfId="2673" xr:uid="{27C65BFD-7318-4D1A-9BAE-F3A4A4EB1A8D}"/>
    <cellStyle name="SAPBEXexcGood1 9" xfId="1956" xr:uid="{00000000-0005-0000-0000-0000BE050000}"/>
    <cellStyle name="SAPBEXexcGood1 9 2" xfId="2722" xr:uid="{193FB9A8-44A6-49EC-B445-11A2F4BCBFC8}"/>
    <cellStyle name="SAPBEXexcGood2" xfId="1205" xr:uid="{00000000-0005-0000-0000-0000BF050000}"/>
    <cellStyle name="SAPBEXexcGood2 10" xfId="2085" xr:uid="{2556036A-D1A9-4206-94C2-3EE985E018D0}"/>
    <cellStyle name="SAPBEXexcGood2 2" xfId="1561" xr:uid="{00000000-0005-0000-0000-0000C0050000}"/>
    <cellStyle name="SAPBEXexcGood2 2 2" xfId="2335" xr:uid="{CC9C88BA-E322-41AC-A5AD-A1A8B14C525A}"/>
    <cellStyle name="SAPBEXexcGood2 3" xfId="1520" xr:uid="{00000000-0005-0000-0000-0000C1050000}"/>
    <cellStyle name="SAPBEXexcGood2 3 2" xfId="2295" xr:uid="{7B35E5E1-4746-453F-9713-39DD9E3135E1}"/>
    <cellStyle name="SAPBEXexcGood2 4" xfId="1415" xr:uid="{00000000-0005-0000-0000-0000C2050000}"/>
    <cellStyle name="SAPBEXexcGood2 4 2" xfId="2238" xr:uid="{BBC97C63-E973-460A-85E6-6301F97A0275}"/>
    <cellStyle name="SAPBEXexcGood2 5" xfId="1637" xr:uid="{00000000-0005-0000-0000-0000C3050000}"/>
    <cellStyle name="SAPBEXexcGood2 5 2" xfId="2405" xr:uid="{50252AF7-E605-471C-BBFF-3F9EF84DB431}"/>
    <cellStyle name="SAPBEXexcGood2 6" xfId="1432" xr:uid="{00000000-0005-0000-0000-0000C4050000}"/>
    <cellStyle name="SAPBEXexcGood2 6 2" xfId="2255" xr:uid="{F41034D8-806D-40E2-8673-859B7DFE9F7A}"/>
    <cellStyle name="SAPBEXexcGood2 7" xfId="1644" xr:uid="{00000000-0005-0000-0000-0000C5050000}"/>
    <cellStyle name="SAPBEXexcGood2 7 2" xfId="2412" xr:uid="{5E247725-24EA-4E4F-AF2A-BBBBD3F4A079}"/>
    <cellStyle name="SAPBEXexcGood2 8" xfId="1906" xr:uid="{00000000-0005-0000-0000-0000C6050000}"/>
    <cellStyle name="SAPBEXexcGood2 8 2" xfId="2672" xr:uid="{064CEC50-52FF-44E4-8FDF-51CCBDFEB1FA}"/>
    <cellStyle name="SAPBEXexcGood2 9" xfId="1957" xr:uid="{00000000-0005-0000-0000-0000C7050000}"/>
    <cellStyle name="SAPBEXexcGood2 9 2" xfId="2723" xr:uid="{1AA130DC-77FB-41F0-97E0-C377EA008856}"/>
    <cellStyle name="SAPBEXexcGood3" xfId="1206" xr:uid="{00000000-0005-0000-0000-0000C8050000}"/>
    <cellStyle name="SAPBEXexcGood3 10" xfId="2086" xr:uid="{C84210AB-1BB7-411F-96B6-5FDDE1083439}"/>
    <cellStyle name="SAPBEXexcGood3 2" xfId="1562" xr:uid="{00000000-0005-0000-0000-0000C9050000}"/>
    <cellStyle name="SAPBEXexcGood3 2 2" xfId="2336" xr:uid="{44FF4C5A-0A8E-4CCA-91F4-E0C79554929B}"/>
    <cellStyle name="SAPBEXexcGood3 3" xfId="1521" xr:uid="{00000000-0005-0000-0000-0000CA050000}"/>
    <cellStyle name="SAPBEXexcGood3 3 2" xfId="2296" xr:uid="{808CAD96-FFD5-443F-97E7-A22B6E42A15D}"/>
    <cellStyle name="SAPBEXexcGood3 4" xfId="1416" xr:uid="{00000000-0005-0000-0000-0000CB050000}"/>
    <cellStyle name="SAPBEXexcGood3 4 2" xfId="2239" xr:uid="{2A7DD638-508B-4C2A-AEAF-EDA08E6250EE}"/>
    <cellStyle name="SAPBEXexcGood3 5" xfId="1638" xr:uid="{00000000-0005-0000-0000-0000CC050000}"/>
    <cellStyle name="SAPBEXexcGood3 5 2" xfId="2406" xr:uid="{B8D62A85-7755-4CF7-A245-A02830449CB8}"/>
    <cellStyle name="SAPBEXexcGood3 6" xfId="1602" xr:uid="{00000000-0005-0000-0000-0000CD050000}"/>
    <cellStyle name="SAPBEXexcGood3 6 2" xfId="2373" xr:uid="{8D1838BB-4F0C-4816-844E-0D1B5E8413F9}"/>
    <cellStyle name="SAPBEXexcGood3 7" xfId="1649" xr:uid="{00000000-0005-0000-0000-0000CE050000}"/>
    <cellStyle name="SAPBEXexcGood3 7 2" xfId="2417" xr:uid="{DC24D1A3-92D1-4B4F-A9B7-B04AE917479A}"/>
    <cellStyle name="SAPBEXexcGood3 8" xfId="1905" xr:uid="{00000000-0005-0000-0000-0000CF050000}"/>
    <cellStyle name="SAPBEXexcGood3 8 2" xfId="2671" xr:uid="{9FB492F2-D5AD-45A0-8BFC-B066B69E346E}"/>
    <cellStyle name="SAPBEXexcGood3 9" xfId="1958" xr:uid="{00000000-0005-0000-0000-0000D0050000}"/>
    <cellStyle name="SAPBEXexcGood3 9 2" xfId="2724" xr:uid="{ECDEF239-8B9C-41AE-9B81-D2CC7D6D6EE2}"/>
    <cellStyle name="SAPBEXfilterDrill" xfId="1207" xr:uid="{00000000-0005-0000-0000-0000D1050000}"/>
    <cellStyle name="SAPBEXfilterDrill 2" xfId="1417" xr:uid="{00000000-0005-0000-0000-0000D2050000}"/>
    <cellStyle name="SAPBEXfilterDrill 2 2" xfId="2240" xr:uid="{5E282DB4-E043-43F3-A6B5-5CD3DEF9362A}"/>
    <cellStyle name="SAPBEXfilterDrill 3" xfId="1639" xr:uid="{00000000-0005-0000-0000-0000D3050000}"/>
    <cellStyle name="SAPBEXfilterDrill 3 2" xfId="2407" xr:uid="{AF22720A-5440-4FAE-96E0-F86A4D82D66F}"/>
    <cellStyle name="SAPBEXfilterDrill 4" xfId="1601" xr:uid="{00000000-0005-0000-0000-0000D4050000}"/>
    <cellStyle name="SAPBEXfilterDrill 4 2" xfId="2372" xr:uid="{5F5F7459-6C22-4B0C-A09A-20B0076D6870}"/>
    <cellStyle name="SAPBEXfilterDrill 5" xfId="1904" xr:uid="{00000000-0005-0000-0000-0000D5050000}"/>
    <cellStyle name="SAPBEXfilterDrill 5 2" xfId="2670" xr:uid="{CED5946B-435C-4A36-B1D3-E8821D6F0B63}"/>
    <cellStyle name="SAPBEXfilterDrill 6" xfId="2087" xr:uid="{B1BB5823-EFFF-4A40-90FA-CD1C7B0B4D58}"/>
    <cellStyle name="SAPBEXfilterItem" xfId="1208" xr:uid="{00000000-0005-0000-0000-0000D6050000}"/>
    <cellStyle name="SAPBEXfilterItem 2" xfId="1418" xr:uid="{00000000-0005-0000-0000-0000D7050000}"/>
    <cellStyle name="SAPBEXfilterItem 2 2" xfId="2241" xr:uid="{178482CA-A8C3-418D-A284-4C3253444F04}"/>
    <cellStyle name="SAPBEXfilterItem 3" xfId="1640" xr:uid="{00000000-0005-0000-0000-0000D8050000}"/>
    <cellStyle name="SAPBEXfilterItem 3 2" xfId="2408" xr:uid="{1B5A19FC-E310-4D97-8ADE-838915814ED0}"/>
    <cellStyle name="SAPBEXfilterItem 4" xfId="1545" xr:uid="{00000000-0005-0000-0000-0000D9050000}"/>
    <cellStyle name="SAPBEXfilterItem 4 2" xfId="2319" xr:uid="{55B158DA-FADA-46E8-8579-CEED50DADF11}"/>
    <cellStyle name="SAPBEXfilterItem 5" xfId="1903" xr:uid="{00000000-0005-0000-0000-0000DA050000}"/>
    <cellStyle name="SAPBEXfilterItem 5 2" xfId="2669" xr:uid="{1BBEB77D-46F5-4AF9-A02B-CC76E0A53ED7}"/>
    <cellStyle name="SAPBEXfilterItem 6" xfId="2088" xr:uid="{B2875767-84C2-4527-BF92-12D3E9A9262B}"/>
    <cellStyle name="SAPBEXfilterText" xfId="1209" xr:uid="{00000000-0005-0000-0000-0000DB050000}"/>
    <cellStyle name="SAPBEXfilterText 2" xfId="1419" xr:uid="{00000000-0005-0000-0000-0000DC050000}"/>
    <cellStyle name="SAPBEXfilterText 2 2" xfId="2242" xr:uid="{F34E40FC-D959-426A-99B4-BAD7DBAF4C76}"/>
    <cellStyle name="SAPBEXfilterText 3" xfId="1641" xr:uid="{00000000-0005-0000-0000-0000DD050000}"/>
    <cellStyle name="SAPBEXfilterText 3 2" xfId="2409" xr:uid="{DAAFF82D-C6C5-42B0-B9E0-76BA7B9858D6}"/>
    <cellStyle name="SAPBEXfilterText 4" xfId="1546" xr:uid="{00000000-0005-0000-0000-0000DE050000}"/>
    <cellStyle name="SAPBEXfilterText 4 2" xfId="2320" xr:uid="{F068807D-7301-462B-B98D-B9EDA2897ECF}"/>
    <cellStyle name="SAPBEXfilterText 5" xfId="1902" xr:uid="{00000000-0005-0000-0000-0000DF050000}"/>
    <cellStyle name="SAPBEXfilterText 5 2" xfId="2668" xr:uid="{243852F9-8F67-4A04-A4DD-19D1818BC32A}"/>
    <cellStyle name="SAPBEXfilterText 6" xfId="2089" xr:uid="{75410B61-83A0-4FBD-AF52-A4C9CFDDDDF0}"/>
    <cellStyle name="SAPBEXformats" xfId="1210" xr:uid="{00000000-0005-0000-0000-0000E0050000}"/>
    <cellStyle name="SAPBEXformats 10" xfId="2090" xr:uid="{2B9032F9-2E82-4F11-A321-155A91AB8A85}"/>
    <cellStyle name="SAPBEXformats 2" xfId="1564" xr:uid="{00000000-0005-0000-0000-0000E1050000}"/>
    <cellStyle name="SAPBEXformats 2 2" xfId="2338" xr:uid="{5017AA30-F7EA-4485-8EFE-A10441C1D444}"/>
    <cellStyle name="SAPBEXformats 3" xfId="1525" xr:uid="{00000000-0005-0000-0000-0000E2050000}"/>
    <cellStyle name="SAPBEXformats 3 2" xfId="2300" xr:uid="{14574234-3820-4A40-9EF8-4EF45845406D}"/>
    <cellStyle name="SAPBEXformats 4" xfId="1420" xr:uid="{00000000-0005-0000-0000-0000E3050000}"/>
    <cellStyle name="SAPBEXformats 4 2" xfId="2243" xr:uid="{FB411637-AE60-4CAC-8EB4-1B1B6E6BA009}"/>
    <cellStyle name="SAPBEXformats 5" xfId="1642" xr:uid="{00000000-0005-0000-0000-0000E4050000}"/>
    <cellStyle name="SAPBEXformats 5 2" xfId="2410" xr:uid="{341AE4E1-DEE2-4B14-A8B1-415948E8D039}"/>
    <cellStyle name="SAPBEXformats 6" xfId="1547" xr:uid="{00000000-0005-0000-0000-0000E5050000}"/>
    <cellStyle name="SAPBEXformats 6 2" xfId="2321" xr:uid="{A39D886D-E1C8-41F5-A30A-B9C8E5E61AC7}"/>
    <cellStyle name="SAPBEXformats 7" xfId="1698" xr:uid="{00000000-0005-0000-0000-0000E6050000}"/>
    <cellStyle name="SAPBEXformats 7 2" xfId="2466" xr:uid="{1D8E104E-3948-4590-AF32-2B25F53879DB}"/>
    <cellStyle name="SAPBEXformats 8" xfId="1901" xr:uid="{00000000-0005-0000-0000-0000E7050000}"/>
    <cellStyle name="SAPBEXformats 8 2" xfId="2667" xr:uid="{F1D0CD04-7EF5-474D-BB65-ADDEBC151974}"/>
    <cellStyle name="SAPBEXformats 9" xfId="1959" xr:uid="{00000000-0005-0000-0000-0000E8050000}"/>
    <cellStyle name="SAPBEXformats 9 2" xfId="2725" xr:uid="{8A44BF84-6E4E-4758-AB5F-41A830D70F14}"/>
    <cellStyle name="SAPBEXheaderItem" xfId="1211" xr:uid="{00000000-0005-0000-0000-0000E9050000}"/>
    <cellStyle name="SAPBEXheaderItem 2" xfId="1212" xr:uid="{00000000-0005-0000-0000-0000EA050000}"/>
    <cellStyle name="SAPBEXheaderItem 3" xfId="1421" xr:uid="{00000000-0005-0000-0000-0000EB050000}"/>
    <cellStyle name="SAPBEXheaderItem 3 2" xfId="2244" xr:uid="{6AF40CB6-4CF9-4B46-A6E5-3EB423122833}"/>
    <cellStyle name="SAPBEXheaderItem 4" xfId="1643" xr:uid="{00000000-0005-0000-0000-0000EC050000}"/>
    <cellStyle name="SAPBEXheaderItem 4 2" xfId="2411" xr:uid="{86A3834E-45E3-482B-8387-F9D94B61DBED}"/>
    <cellStyle name="SAPBEXheaderItem 5" xfId="1548" xr:uid="{00000000-0005-0000-0000-0000ED050000}"/>
    <cellStyle name="SAPBEXheaderItem 5 2" xfId="2322" xr:uid="{40B62814-2007-4079-B63C-F0A5A03FCE13}"/>
    <cellStyle name="SAPBEXheaderItem 6" xfId="1900" xr:uid="{00000000-0005-0000-0000-0000EE050000}"/>
    <cellStyle name="SAPBEXheaderItem 6 2" xfId="2666" xr:uid="{EAC28B72-869B-4F67-8D09-64D619488351}"/>
    <cellStyle name="SAPBEXheaderItem 7" xfId="2091" xr:uid="{33B1EBA6-26B1-4051-8F2F-D5E6B5600B28}"/>
    <cellStyle name="SAPBEXheaderItem_0910 GSO Capex RRP - Final (Detail) v2 220710" xfId="1213" xr:uid="{00000000-0005-0000-0000-0000EF050000}"/>
    <cellStyle name="SAPBEXheaderText" xfId="1214" xr:uid="{00000000-0005-0000-0000-0000F0050000}"/>
    <cellStyle name="SAPBEXheaderText 2" xfId="1215" xr:uid="{00000000-0005-0000-0000-0000F1050000}"/>
    <cellStyle name="SAPBEXheaderText 3" xfId="1431" xr:uid="{00000000-0005-0000-0000-0000F2050000}"/>
    <cellStyle name="SAPBEXheaderText 3 2" xfId="2254" xr:uid="{E85F3209-2AF5-46C5-A7C3-1AA8A51B505D}"/>
    <cellStyle name="SAPBEXheaderText 4" xfId="1645" xr:uid="{00000000-0005-0000-0000-0000F3050000}"/>
    <cellStyle name="SAPBEXheaderText 4 2" xfId="2413" xr:uid="{0AC664D4-C97D-430D-9190-794727961402}"/>
    <cellStyle name="SAPBEXheaderText 5" xfId="1549" xr:uid="{00000000-0005-0000-0000-0000F4050000}"/>
    <cellStyle name="SAPBEXheaderText 5 2" xfId="2323" xr:uid="{DC8BE965-5D75-47FE-8607-377674731B8C}"/>
    <cellStyle name="SAPBEXheaderText 6" xfId="1899" xr:uid="{00000000-0005-0000-0000-0000F5050000}"/>
    <cellStyle name="SAPBEXheaderText 6 2" xfId="2665" xr:uid="{47A77C08-AD3D-4FF5-96FF-BF49F843CD37}"/>
    <cellStyle name="SAPBEXheaderText 7" xfId="2092" xr:uid="{E4B071FE-2032-4C24-8286-64E3AC838F13}"/>
    <cellStyle name="SAPBEXheaderText_0910 GSO Capex RRP - Final (Detail) v2 220710" xfId="1216" xr:uid="{00000000-0005-0000-0000-0000F6050000}"/>
    <cellStyle name="SAPBEXHLevel0" xfId="1217" xr:uid="{00000000-0005-0000-0000-0000F7050000}"/>
    <cellStyle name="SAPBEXHLevel0 10" xfId="1960" xr:uid="{00000000-0005-0000-0000-0000F8050000}"/>
    <cellStyle name="SAPBEXHLevel0 10 2" xfId="2726" xr:uid="{7E84B687-2AC9-46D5-A612-EE5A6AF440BC}"/>
    <cellStyle name="SAPBEXHLevel0 11" xfId="2093" xr:uid="{776B8C78-CD35-47CF-8374-52EA351AF815}"/>
    <cellStyle name="SAPBEXHLevel0 2" xfId="1218" xr:uid="{00000000-0005-0000-0000-0000F9050000}"/>
    <cellStyle name="SAPBEXHLevel0 2 2" xfId="1434" xr:uid="{00000000-0005-0000-0000-0000FA050000}"/>
    <cellStyle name="SAPBEXHLevel0 2 2 2" xfId="2257" xr:uid="{C6B2A7C4-F446-4CDB-AD6E-61E071C9A571}"/>
    <cellStyle name="SAPBEXHLevel0 2 3" xfId="1651" xr:uid="{00000000-0005-0000-0000-0000FB050000}"/>
    <cellStyle name="SAPBEXHLevel0 2 3 2" xfId="2419" xr:uid="{03328F9A-D47B-4C22-BADF-F4BA5D5141DA}"/>
    <cellStyle name="SAPBEXHLevel0 2 4" xfId="1714" xr:uid="{00000000-0005-0000-0000-0000FC050000}"/>
    <cellStyle name="SAPBEXHLevel0 2 4 2" xfId="2482" xr:uid="{0379C4EE-3BAB-4F86-A747-5316AEA17AC5}"/>
    <cellStyle name="SAPBEXHLevel0 2 5" xfId="1776" xr:uid="{00000000-0005-0000-0000-0000FD050000}"/>
    <cellStyle name="SAPBEXHLevel0 2 5 2" xfId="2544" xr:uid="{55A66261-4F44-4BC1-8691-BC7221989539}"/>
    <cellStyle name="SAPBEXHLevel0 2 6" xfId="1897" xr:uid="{00000000-0005-0000-0000-0000FE050000}"/>
    <cellStyle name="SAPBEXHLevel0 2 6 2" xfId="2663" xr:uid="{A631A728-5B54-49A3-871A-F3210B168A00}"/>
    <cellStyle name="SAPBEXHLevel0 2 7" xfId="2094" xr:uid="{4DCCEA6A-57FE-4B06-B356-F1D8602A849C}"/>
    <cellStyle name="SAPBEXHLevel0 3" xfId="1570" xr:uid="{00000000-0005-0000-0000-0000FF050000}"/>
    <cellStyle name="SAPBEXHLevel0 3 2" xfId="2344" xr:uid="{85C728B0-D690-42CD-907D-7F0348C68BCA}"/>
    <cellStyle name="SAPBEXHLevel0 4" xfId="1531" xr:uid="{00000000-0005-0000-0000-000000060000}"/>
    <cellStyle name="SAPBEXHLevel0 4 2" xfId="2306" xr:uid="{6567FF47-682F-4AAA-8AB9-AC5DC79C00E5}"/>
    <cellStyle name="SAPBEXHLevel0 5" xfId="1433" xr:uid="{00000000-0005-0000-0000-000001060000}"/>
    <cellStyle name="SAPBEXHLevel0 5 2" xfId="2256" xr:uid="{1B46AA2D-5EA5-467B-B5B1-6FDED318CBE5}"/>
    <cellStyle name="SAPBEXHLevel0 6" xfId="1650" xr:uid="{00000000-0005-0000-0000-000002060000}"/>
    <cellStyle name="SAPBEXHLevel0 6 2" xfId="2418" xr:uid="{2F0A16EE-91F4-49FF-898E-E6DFDEEB0E79}"/>
    <cellStyle name="SAPBEXHLevel0 7" xfId="1713" xr:uid="{00000000-0005-0000-0000-000003060000}"/>
    <cellStyle name="SAPBEXHLevel0 7 2" xfId="2481" xr:uid="{9112715E-7958-4397-97E2-878FC1ABF415}"/>
    <cellStyle name="SAPBEXHLevel0 8" xfId="1775" xr:uid="{00000000-0005-0000-0000-000004060000}"/>
    <cellStyle name="SAPBEXHLevel0 8 2" xfId="2543" xr:uid="{48DCC9C2-C982-41B9-B0A9-6B93783BDE51}"/>
    <cellStyle name="SAPBEXHLevel0 9" xfId="1898" xr:uid="{00000000-0005-0000-0000-000005060000}"/>
    <cellStyle name="SAPBEXHLevel0 9 2" xfId="2664" xr:uid="{683BBDCF-4AB2-4BE3-8CA4-46559238B6ED}"/>
    <cellStyle name="SAPBEXHLevel0_0910 GSO Capex RRP - Final (Detail) v2 220710" xfId="1219" xr:uid="{00000000-0005-0000-0000-000006060000}"/>
    <cellStyle name="SAPBEXHLevel0X" xfId="1220" xr:uid="{00000000-0005-0000-0000-000007060000}"/>
    <cellStyle name="SAPBEXHLevel0X 2" xfId="1221" xr:uid="{00000000-0005-0000-0000-000008060000}"/>
    <cellStyle name="SAPBEXHLevel0X 2 2" xfId="1436" xr:uid="{00000000-0005-0000-0000-000009060000}"/>
    <cellStyle name="SAPBEXHLevel0X 2 2 2" xfId="2259" xr:uid="{ECF35B1B-2925-4B3C-B387-B3876AF33941}"/>
    <cellStyle name="SAPBEXHLevel0X 2 3" xfId="1653" xr:uid="{00000000-0005-0000-0000-00000A060000}"/>
    <cellStyle name="SAPBEXHLevel0X 2 3 2" xfId="2421" xr:uid="{E05D78F8-E754-430E-8FD3-95B9A41DEC0A}"/>
    <cellStyle name="SAPBEXHLevel0X 2 4" xfId="1716" xr:uid="{00000000-0005-0000-0000-00000B060000}"/>
    <cellStyle name="SAPBEXHLevel0X 2 4 2" xfId="2484" xr:uid="{E7945349-62A5-4798-9D46-933B4695705F}"/>
    <cellStyle name="SAPBEXHLevel0X 2 5" xfId="1778" xr:uid="{00000000-0005-0000-0000-00000C060000}"/>
    <cellStyle name="SAPBEXHLevel0X 2 5 2" xfId="2546" xr:uid="{072D6063-DEA2-4910-840F-FFB4A1CB6625}"/>
    <cellStyle name="SAPBEXHLevel0X 2 6" xfId="1895" xr:uid="{00000000-0005-0000-0000-00000D060000}"/>
    <cellStyle name="SAPBEXHLevel0X 2 6 2" xfId="2661" xr:uid="{3B0FC2A3-88D8-49CC-9543-AF127381B649}"/>
    <cellStyle name="SAPBEXHLevel0X 2 7" xfId="2096" xr:uid="{BA6D4D33-01CE-4703-9324-BD62ADC849FC}"/>
    <cellStyle name="SAPBEXHLevel0X 3" xfId="1222" xr:uid="{00000000-0005-0000-0000-00000E060000}"/>
    <cellStyle name="SAPBEXHLevel0X 3 10" xfId="1654" xr:uid="{00000000-0005-0000-0000-00000F060000}"/>
    <cellStyle name="SAPBEXHLevel0X 3 10 2" xfId="2422" xr:uid="{DDE4DA9D-A87E-422F-97D4-55B59ECC2C63}"/>
    <cellStyle name="SAPBEXHLevel0X 3 11" xfId="1717" xr:uid="{00000000-0005-0000-0000-000010060000}"/>
    <cellStyle name="SAPBEXHLevel0X 3 11 2" xfId="2485" xr:uid="{10DD3A6D-ED25-4614-AE61-C161450D9433}"/>
    <cellStyle name="SAPBEXHLevel0X 3 12" xfId="1779" xr:uid="{00000000-0005-0000-0000-000011060000}"/>
    <cellStyle name="SAPBEXHLevel0X 3 12 2" xfId="2547" xr:uid="{874EAFF6-E0E1-4A34-813F-91536BB65455}"/>
    <cellStyle name="SAPBEXHLevel0X 3 13" xfId="1894" xr:uid="{00000000-0005-0000-0000-000012060000}"/>
    <cellStyle name="SAPBEXHLevel0X 3 13 2" xfId="2660" xr:uid="{41BE36C2-7D3C-49DF-817A-8FB2174CEEE1}"/>
    <cellStyle name="SAPBEXHLevel0X 3 14" xfId="2097" xr:uid="{E251272C-ECF8-4998-86D2-F7B9B0850E18}"/>
    <cellStyle name="SAPBEXHLevel0X 3 2" xfId="1223" xr:uid="{00000000-0005-0000-0000-000013060000}"/>
    <cellStyle name="SAPBEXHLevel0X 3 2 2" xfId="1437" xr:uid="{00000000-0005-0000-0000-000014060000}"/>
    <cellStyle name="SAPBEXHLevel0X 3 2 2 2" xfId="2260" xr:uid="{31383350-460B-4346-B9D6-AA246C33BF0D}"/>
    <cellStyle name="SAPBEXHLevel0X 3 2 3" xfId="1655" xr:uid="{00000000-0005-0000-0000-000015060000}"/>
    <cellStyle name="SAPBEXHLevel0X 3 2 3 2" xfId="2423" xr:uid="{F7A02B92-6A5D-4038-8FF0-333398056F5D}"/>
    <cellStyle name="SAPBEXHLevel0X 3 2 4" xfId="1718" xr:uid="{00000000-0005-0000-0000-000016060000}"/>
    <cellStyle name="SAPBEXHLevel0X 3 2 4 2" xfId="2486" xr:uid="{C1507B0F-F09A-452B-BE8F-22C4EA0DB7CF}"/>
    <cellStyle name="SAPBEXHLevel0X 3 2 5" xfId="1780" xr:uid="{00000000-0005-0000-0000-000017060000}"/>
    <cellStyle name="SAPBEXHLevel0X 3 2 5 2" xfId="2548" xr:uid="{104EC30F-666A-4247-80D6-802031BB8B25}"/>
    <cellStyle name="SAPBEXHLevel0X 3 2 6" xfId="1893" xr:uid="{00000000-0005-0000-0000-000018060000}"/>
    <cellStyle name="SAPBEXHLevel0X 3 2 6 2" xfId="2659" xr:uid="{F4FE393E-8C5E-4B49-A67C-6D004DBA4AC8}"/>
    <cellStyle name="SAPBEXHLevel0X 3 2 7" xfId="2098" xr:uid="{7FEC16C2-CEC3-4790-BA22-952EB4BC456D}"/>
    <cellStyle name="SAPBEXHLevel0X 3 3" xfId="1224" xr:uid="{00000000-0005-0000-0000-000019060000}"/>
    <cellStyle name="SAPBEXHLevel0X 3 3 2" xfId="1595" xr:uid="{00000000-0005-0000-0000-00001A060000}"/>
    <cellStyle name="SAPBEXHLevel0X 3 3 2 2" xfId="2366" xr:uid="{DD6F3123-8CE8-4FE1-8B86-FAB52A699E1C}"/>
    <cellStyle name="SAPBEXHLevel0X 3 3 3" xfId="1656" xr:uid="{00000000-0005-0000-0000-00001B060000}"/>
    <cellStyle name="SAPBEXHLevel0X 3 3 3 2" xfId="2424" xr:uid="{762E49D2-BDE1-4C16-BF0D-C33810386DA1}"/>
    <cellStyle name="SAPBEXHLevel0X 3 3 4" xfId="1719" xr:uid="{00000000-0005-0000-0000-00001C060000}"/>
    <cellStyle name="SAPBEXHLevel0X 3 3 4 2" xfId="2487" xr:uid="{1FCCE0CC-0E9C-4696-B9F3-443EE8D40D8D}"/>
    <cellStyle name="SAPBEXHLevel0X 3 3 5" xfId="1781" xr:uid="{00000000-0005-0000-0000-00001D060000}"/>
    <cellStyle name="SAPBEXHLevel0X 3 3 5 2" xfId="2549" xr:uid="{129259FB-515A-4CF5-B467-24E656DC9CD7}"/>
    <cellStyle name="SAPBEXHLevel0X 3 3 6" xfId="1892" xr:uid="{00000000-0005-0000-0000-00001E060000}"/>
    <cellStyle name="SAPBEXHLevel0X 3 3 6 2" xfId="2658" xr:uid="{E8C99E70-475C-486A-937F-668048D9C42D}"/>
    <cellStyle name="SAPBEXHLevel0X 3 3 7" xfId="2099" xr:uid="{C7D91B14-5E40-4C43-9F1E-4D53446F2516}"/>
    <cellStyle name="SAPBEXHLevel0X 3 4" xfId="1225" xr:uid="{00000000-0005-0000-0000-00001F060000}"/>
    <cellStyle name="SAPBEXHLevel0X 3 4 2" xfId="1439" xr:uid="{00000000-0005-0000-0000-000020060000}"/>
    <cellStyle name="SAPBEXHLevel0X 3 4 2 2" xfId="2261" xr:uid="{9C05BAFB-86F5-4B0A-90DE-336E8B8EE1C4}"/>
    <cellStyle name="SAPBEXHLevel0X 3 4 3" xfId="1657" xr:uid="{00000000-0005-0000-0000-000021060000}"/>
    <cellStyle name="SAPBEXHLevel0X 3 4 3 2" xfId="2425" xr:uid="{BC546C6E-4B40-47FD-98A4-616031A9D37B}"/>
    <cellStyle name="SAPBEXHLevel0X 3 4 4" xfId="1720" xr:uid="{00000000-0005-0000-0000-000022060000}"/>
    <cellStyle name="SAPBEXHLevel0X 3 4 4 2" xfId="2488" xr:uid="{48E6093D-8CD6-4E46-953C-BFA4C5D141E5}"/>
    <cellStyle name="SAPBEXHLevel0X 3 4 5" xfId="1782" xr:uid="{00000000-0005-0000-0000-000023060000}"/>
    <cellStyle name="SAPBEXHLevel0X 3 4 5 2" xfId="2550" xr:uid="{3DA78CCD-51C1-416E-A3FA-BAE102D71281}"/>
    <cellStyle name="SAPBEXHLevel0X 3 4 6" xfId="1837" xr:uid="{00000000-0005-0000-0000-000024060000}"/>
    <cellStyle name="SAPBEXHLevel0X 3 4 6 2" xfId="2603" xr:uid="{750D27FC-54A9-48C3-88C8-78B2ACDE1375}"/>
    <cellStyle name="SAPBEXHLevel0X 3 4 7" xfId="2100" xr:uid="{335649B5-F1F6-4D8B-9D74-5FF3F0FB0661}"/>
    <cellStyle name="SAPBEXHLevel0X 3 5" xfId="1226" xr:uid="{00000000-0005-0000-0000-000025060000}"/>
    <cellStyle name="SAPBEXHLevel0X 3 5 2" xfId="1440" xr:uid="{00000000-0005-0000-0000-000026060000}"/>
    <cellStyle name="SAPBEXHLevel0X 3 5 2 2" xfId="2262" xr:uid="{8E7BE8A9-69A8-45F2-BBE6-3D85BA2A57EE}"/>
    <cellStyle name="SAPBEXHLevel0X 3 5 3" xfId="1658" xr:uid="{00000000-0005-0000-0000-000027060000}"/>
    <cellStyle name="SAPBEXHLevel0X 3 5 3 2" xfId="2426" xr:uid="{F9D0A91E-D29F-42B3-81A4-E9AFD6BD61BF}"/>
    <cellStyle name="SAPBEXHLevel0X 3 5 4" xfId="1721" xr:uid="{00000000-0005-0000-0000-000028060000}"/>
    <cellStyle name="SAPBEXHLevel0X 3 5 4 2" xfId="2489" xr:uid="{3A4A34F2-B83D-4B27-B899-CFD45DDDE357}"/>
    <cellStyle name="SAPBEXHLevel0X 3 5 5" xfId="1783" xr:uid="{00000000-0005-0000-0000-000029060000}"/>
    <cellStyle name="SAPBEXHLevel0X 3 5 5 2" xfId="2551" xr:uid="{574C4FAE-932C-4791-B814-77C8B78972D5}"/>
    <cellStyle name="SAPBEXHLevel0X 3 5 6" xfId="1838" xr:uid="{00000000-0005-0000-0000-00002A060000}"/>
    <cellStyle name="SAPBEXHLevel0X 3 5 6 2" xfId="2604" xr:uid="{A0F49B36-14A9-4224-ADA5-A790B5ED24F3}"/>
    <cellStyle name="SAPBEXHLevel0X 3 5 7" xfId="2101" xr:uid="{F643B6E0-D9F2-4CE0-BAFF-36CEC38C439C}"/>
    <cellStyle name="SAPBEXHLevel0X 3 6" xfId="1227" xr:uid="{00000000-0005-0000-0000-00002B060000}"/>
    <cellStyle name="SAPBEXHLevel0X 3 6 2" xfId="1441" xr:uid="{00000000-0005-0000-0000-00002C060000}"/>
    <cellStyle name="SAPBEXHLevel0X 3 6 2 2" xfId="2263" xr:uid="{3553ECF2-F7A9-43F4-8317-0CB708DBB41A}"/>
    <cellStyle name="SAPBEXHLevel0X 3 6 3" xfId="1659" xr:uid="{00000000-0005-0000-0000-00002D060000}"/>
    <cellStyle name="SAPBEXHLevel0X 3 6 3 2" xfId="2427" xr:uid="{7CD2D115-7A01-49F9-8353-FE2F4031ED0C}"/>
    <cellStyle name="SAPBEXHLevel0X 3 6 4" xfId="1722" xr:uid="{00000000-0005-0000-0000-00002E060000}"/>
    <cellStyle name="SAPBEXHLevel0X 3 6 4 2" xfId="2490" xr:uid="{F3363246-0034-4EC6-A8D7-EE4EA1581012}"/>
    <cellStyle name="SAPBEXHLevel0X 3 6 5" xfId="1784" xr:uid="{00000000-0005-0000-0000-00002F060000}"/>
    <cellStyle name="SAPBEXHLevel0X 3 6 5 2" xfId="2552" xr:uid="{13A2AF1F-51C4-4EEA-B766-C62C6A2B9863}"/>
    <cellStyle name="SAPBEXHLevel0X 3 6 6" xfId="1891" xr:uid="{00000000-0005-0000-0000-000030060000}"/>
    <cellStyle name="SAPBEXHLevel0X 3 6 6 2" xfId="2657" xr:uid="{A5606BE6-BDF5-4A36-A936-5FE70E5C76A0}"/>
    <cellStyle name="SAPBEXHLevel0X 3 6 7" xfId="2102" xr:uid="{80693CB6-6EDB-4AE5-ABF7-F71BF17268DC}"/>
    <cellStyle name="SAPBEXHLevel0X 3 7" xfId="1228" xr:uid="{00000000-0005-0000-0000-000031060000}"/>
    <cellStyle name="SAPBEXHLevel0X 3 7 2" xfId="1442" xr:uid="{00000000-0005-0000-0000-000032060000}"/>
    <cellStyle name="SAPBEXHLevel0X 3 7 2 2" xfId="2264" xr:uid="{B525E81E-569D-4EE4-B6B1-169EAB45769F}"/>
    <cellStyle name="SAPBEXHLevel0X 3 7 3" xfId="1660" xr:uid="{00000000-0005-0000-0000-000033060000}"/>
    <cellStyle name="SAPBEXHLevel0X 3 7 3 2" xfId="2428" xr:uid="{9497DA7A-9E5F-4D1F-8411-A1CBB2B86CBE}"/>
    <cellStyle name="SAPBEXHLevel0X 3 7 4" xfId="1723" xr:uid="{00000000-0005-0000-0000-000034060000}"/>
    <cellStyle name="SAPBEXHLevel0X 3 7 4 2" xfId="2491" xr:uid="{79D1ABD0-0AA0-4B54-A652-17AE34DD756E}"/>
    <cellStyle name="SAPBEXHLevel0X 3 7 5" xfId="1785" xr:uid="{00000000-0005-0000-0000-000035060000}"/>
    <cellStyle name="SAPBEXHLevel0X 3 7 5 2" xfId="2553" xr:uid="{E573C070-89A1-4ED7-9074-BA538C3A40AD}"/>
    <cellStyle name="SAPBEXHLevel0X 3 7 6" xfId="1890" xr:uid="{00000000-0005-0000-0000-000036060000}"/>
    <cellStyle name="SAPBEXHLevel0X 3 7 6 2" xfId="2656" xr:uid="{7E7834F1-385A-4FC2-BC16-3C571D84CF15}"/>
    <cellStyle name="SAPBEXHLevel0X 3 7 7" xfId="2103" xr:uid="{78DF16EB-2A91-4840-8496-913394366D7C}"/>
    <cellStyle name="SAPBEXHLevel0X 3 8" xfId="1229" xr:uid="{00000000-0005-0000-0000-000037060000}"/>
    <cellStyle name="SAPBEXHLevel0X 3 8 2" xfId="1599" xr:uid="{00000000-0005-0000-0000-000038060000}"/>
    <cellStyle name="SAPBEXHLevel0X 3 8 2 2" xfId="2370" xr:uid="{5D56296F-345C-4706-AD71-EC947E937B9E}"/>
    <cellStyle name="SAPBEXHLevel0X 3 8 3" xfId="1661" xr:uid="{00000000-0005-0000-0000-000039060000}"/>
    <cellStyle name="SAPBEXHLevel0X 3 8 3 2" xfId="2429" xr:uid="{B2CB4F77-1E0E-4EBD-B9D6-89CB0CE673BF}"/>
    <cellStyle name="SAPBEXHLevel0X 3 8 4" xfId="1724" xr:uid="{00000000-0005-0000-0000-00003A060000}"/>
    <cellStyle name="SAPBEXHLevel0X 3 8 4 2" xfId="2492" xr:uid="{5DA65402-8B7B-4B6E-A94A-6C3BD4D469E3}"/>
    <cellStyle name="SAPBEXHLevel0X 3 8 5" xfId="1786" xr:uid="{00000000-0005-0000-0000-00003B060000}"/>
    <cellStyle name="SAPBEXHLevel0X 3 8 5 2" xfId="2554" xr:uid="{18BB4949-273C-4E74-BD91-CEFE15E24105}"/>
    <cellStyle name="SAPBEXHLevel0X 3 8 6" xfId="1889" xr:uid="{00000000-0005-0000-0000-00003C060000}"/>
    <cellStyle name="SAPBEXHLevel0X 3 8 6 2" xfId="2655" xr:uid="{F9A71711-DD7E-4383-A8C2-51ED6C3CB33D}"/>
    <cellStyle name="SAPBEXHLevel0X 3 8 7" xfId="2104" xr:uid="{70553CE5-1E78-4A70-862E-469BFE654577}"/>
    <cellStyle name="SAPBEXHLevel0X 3 9" xfId="1609" xr:uid="{00000000-0005-0000-0000-00003D060000}"/>
    <cellStyle name="SAPBEXHLevel0X 3 9 2" xfId="2378" xr:uid="{C8EDCD0D-FF00-43C8-9514-FF7BDE55C52A}"/>
    <cellStyle name="SAPBEXHLevel0X 4" xfId="1435" xr:uid="{00000000-0005-0000-0000-00003E060000}"/>
    <cellStyle name="SAPBEXHLevel0X 4 2" xfId="2258" xr:uid="{611B27FA-B528-49A7-8D8F-476BC4EF2ACE}"/>
    <cellStyle name="SAPBEXHLevel0X 5" xfId="1652" xr:uid="{00000000-0005-0000-0000-00003F060000}"/>
    <cellStyle name="SAPBEXHLevel0X 5 2" xfId="2420" xr:uid="{5DB5F3FA-9B0B-4897-BA87-145521A42053}"/>
    <cellStyle name="SAPBEXHLevel0X 6" xfId="1715" xr:uid="{00000000-0005-0000-0000-000040060000}"/>
    <cellStyle name="SAPBEXHLevel0X 6 2" xfId="2483" xr:uid="{9521AF3A-499E-4EB3-8144-BEA98315DB47}"/>
    <cellStyle name="SAPBEXHLevel0X 7" xfId="1777" xr:uid="{00000000-0005-0000-0000-000041060000}"/>
    <cellStyle name="SAPBEXHLevel0X 7 2" xfId="2545" xr:uid="{7218C75B-CBC2-409C-A763-8626402A8EED}"/>
    <cellStyle name="SAPBEXHLevel0X 8" xfId="1896" xr:uid="{00000000-0005-0000-0000-000042060000}"/>
    <cellStyle name="SAPBEXHLevel0X 8 2" xfId="2662" xr:uid="{B38277AF-774F-45E8-A3E3-F69C5AD4645D}"/>
    <cellStyle name="SAPBEXHLevel0X 9" xfId="2095" xr:uid="{43D31C80-3E4F-4102-9CE3-19A7C4016933}"/>
    <cellStyle name="SAPBEXHLevel0X_0910 GSO Capex RRP - Final (Detail) v2 220710" xfId="1230" xr:uid="{00000000-0005-0000-0000-000043060000}"/>
    <cellStyle name="SAPBEXHLevel1" xfId="1231" xr:uid="{00000000-0005-0000-0000-000044060000}"/>
    <cellStyle name="SAPBEXHLevel1 10" xfId="1961" xr:uid="{00000000-0005-0000-0000-000045060000}"/>
    <cellStyle name="SAPBEXHLevel1 10 2" xfId="2727" xr:uid="{8EADECCE-18A8-43D6-B9C9-B6889E837118}"/>
    <cellStyle name="SAPBEXHLevel1 11" xfId="2105" xr:uid="{DD889ABB-6AFF-4280-BEDD-E355673E7070}"/>
    <cellStyle name="SAPBEXHLevel1 2" xfId="1232" xr:uid="{00000000-0005-0000-0000-000046060000}"/>
    <cellStyle name="SAPBEXHLevel1 2 2" xfId="1444" xr:uid="{00000000-0005-0000-0000-000047060000}"/>
    <cellStyle name="SAPBEXHLevel1 2 2 2" xfId="2266" xr:uid="{26A1AF95-2469-47BC-B6A8-26DD95AE11DB}"/>
    <cellStyle name="SAPBEXHLevel1 2 3" xfId="1663" xr:uid="{00000000-0005-0000-0000-000048060000}"/>
    <cellStyle name="SAPBEXHLevel1 2 3 2" xfId="2431" xr:uid="{F20199BE-CA22-421F-A5F9-DEEFDA42DA95}"/>
    <cellStyle name="SAPBEXHLevel1 2 4" xfId="1726" xr:uid="{00000000-0005-0000-0000-000049060000}"/>
    <cellStyle name="SAPBEXHLevel1 2 4 2" xfId="2494" xr:uid="{F6138842-924D-46BE-A1AB-54146811DEFA}"/>
    <cellStyle name="SAPBEXHLevel1 2 5" xfId="1788" xr:uid="{00000000-0005-0000-0000-00004A060000}"/>
    <cellStyle name="SAPBEXHLevel1 2 5 2" xfId="2556" xr:uid="{2C08313E-78C6-43A4-85B3-084BE2F977F6}"/>
    <cellStyle name="SAPBEXHLevel1 2 6" xfId="1887" xr:uid="{00000000-0005-0000-0000-00004B060000}"/>
    <cellStyle name="SAPBEXHLevel1 2 6 2" xfId="2653" xr:uid="{82844935-67A4-4890-B3F1-B79BBA1CE480}"/>
    <cellStyle name="SAPBEXHLevel1 2 7" xfId="2106" xr:uid="{C08BA1EB-A610-42E4-A39A-815D301EEECD}"/>
    <cellStyle name="SAPBEXHLevel1 3" xfId="1577" xr:uid="{00000000-0005-0000-0000-00004C060000}"/>
    <cellStyle name="SAPBEXHLevel1 3 2" xfId="2351" xr:uid="{3F68AA90-2D4E-4B6B-909A-B9D1646A5112}"/>
    <cellStyle name="SAPBEXHLevel1 4" xfId="1543" xr:uid="{00000000-0005-0000-0000-00004D060000}"/>
    <cellStyle name="SAPBEXHLevel1 4 2" xfId="2317" xr:uid="{026CC9F1-571B-409E-83BE-8E60301AABC4}"/>
    <cellStyle name="SAPBEXHLevel1 5" xfId="1443" xr:uid="{00000000-0005-0000-0000-00004E060000}"/>
    <cellStyle name="SAPBEXHLevel1 5 2" xfId="2265" xr:uid="{E0B9C347-EC45-4186-9F8F-90BFB43FC9ED}"/>
    <cellStyle name="SAPBEXHLevel1 6" xfId="1662" xr:uid="{00000000-0005-0000-0000-00004F060000}"/>
    <cellStyle name="SAPBEXHLevel1 6 2" xfId="2430" xr:uid="{FEE0662D-AD99-448D-A347-9B0398C931A7}"/>
    <cellStyle name="SAPBEXHLevel1 7" xfId="1725" xr:uid="{00000000-0005-0000-0000-000050060000}"/>
    <cellStyle name="SAPBEXHLevel1 7 2" xfId="2493" xr:uid="{21EB05BC-CE38-4CDD-825A-54C29ECFC2AF}"/>
    <cellStyle name="SAPBEXHLevel1 8" xfId="1787" xr:uid="{00000000-0005-0000-0000-000051060000}"/>
    <cellStyle name="SAPBEXHLevel1 8 2" xfId="2555" xr:uid="{5C5ED2DC-56B0-44C2-AC14-712350085989}"/>
    <cellStyle name="SAPBEXHLevel1 9" xfId="1888" xr:uid="{00000000-0005-0000-0000-000052060000}"/>
    <cellStyle name="SAPBEXHLevel1 9 2" xfId="2654" xr:uid="{02B07D81-BB58-47CD-AEB3-55E3C3B44E14}"/>
    <cellStyle name="SAPBEXHLevel1_0910 GSO Capex RRP - Final (Detail) v2 220710" xfId="1233" xr:uid="{00000000-0005-0000-0000-000053060000}"/>
    <cellStyle name="SAPBEXHLevel1X" xfId="1234" xr:uid="{00000000-0005-0000-0000-000054060000}"/>
    <cellStyle name="SAPBEXHLevel1X 2" xfId="1235" xr:uid="{00000000-0005-0000-0000-000055060000}"/>
    <cellStyle name="SAPBEXHLevel1X 2 2" xfId="1591" xr:uid="{00000000-0005-0000-0000-000056060000}"/>
    <cellStyle name="SAPBEXHLevel1X 2 2 2" xfId="2362" xr:uid="{E38E3764-78DD-4287-9D7B-7EA411793A40}"/>
    <cellStyle name="SAPBEXHLevel1X 2 3" xfId="1665" xr:uid="{00000000-0005-0000-0000-000057060000}"/>
    <cellStyle name="SAPBEXHLevel1X 2 3 2" xfId="2433" xr:uid="{EAF9A265-8B21-4B58-BF37-28DA04A02F70}"/>
    <cellStyle name="SAPBEXHLevel1X 2 4" xfId="1728" xr:uid="{00000000-0005-0000-0000-000058060000}"/>
    <cellStyle name="SAPBEXHLevel1X 2 4 2" xfId="2496" xr:uid="{96D2DCF3-05BE-4503-83DC-4653233126FB}"/>
    <cellStyle name="SAPBEXHLevel1X 2 5" xfId="1790" xr:uid="{00000000-0005-0000-0000-000059060000}"/>
    <cellStyle name="SAPBEXHLevel1X 2 5 2" xfId="2558" xr:uid="{8731A37E-6629-46C2-8B3F-5DC2F826C4DF}"/>
    <cellStyle name="SAPBEXHLevel1X 2 6" xfId="1885" xr:uid="{00000000-0005-0000-0000-00005A060000}"/>
    <cellStyle name="SAPBEXHLevel1X 2 6 2" xfId="2651" xr:uid="{FBEF0D00-29EF-4DEB-8F59-C2087B5C4C9D}"/>
    <cellStyle name="SAPBEXHLevel1X 2 7" xfId="2108" xr:uid="{5995071C-34C0-4E05-8A85-C99F4AC8EFF5}"/>
    <cellStyle name="SAPBEXHLevel1X 3" xfId="1236" xr:uid="{00000000-0005-0000-0000-00005B060000}"/>
    <cellStyle name="SAPBEXHLevel1X 3 10" xfId="1666" xr:uid="{00000000-0005-0000-0000-00005C060000}"/>
    <cellStyle name="SAPBEXHLevel1X 3 10 2" xfId="2434" xr:uid="{B6058771-5E43-4BE9-B17D-A91604AFCCE1}"/>
    <cellStyle name="SAPBEXHLevel1X 3 11" xfId="1729" xr:uid="{00000000-0005-0000-0000-00005D060000}"/>
    <cellStyle name="SAPBEXHLevel1X 3 11 2" xfId="2497" xr:uid="{4ED57DFE-0760-4565-AEF0-CB60991A9B25}"/>
    <cellStyle name="SAPBEXHLevel1X 3 12" xfId="1791" xr:uid="{00000000-0005-0000-0000-00005E060000}"/>
    <cellStyle name="SAPBEXHLevel1X 3 12 2" xfId="2559" xr:uid="{E9869E4B-944A-47FA-BEEA-FF2C1955DE6B}"/>
    <cellStyle name="SAPBEXHLevel1X 3 13" xfId="1884" xr:uid="{00000000-0005-0000-0000-00005F060000}"/>
    <cellStyle name="SAPBEXHLevel1X 3 13 2" xfId="2650" xr:uid="{CD446645-0298-46AC-B92C-9BA35EF1AE3E}"/>
    <cellStyle name="SAPBEXHLevel1X 3 14" xfId="2109" xr:uid="{46F69C3E-233B-4D1D-9664-A343F0CF2D77}"/>
    <cellStyle name="SAPBEXHLevel1X 3 2" xfId="1237" xr:uid="{00000000-0005-0000-0000-000060060000}"/>
    <cellStyle name="SAPBEXHLevel1X 3 2 2" xfId="1446" xr:uid="{00000000-0005-0000-0000-000061060000}"/>
    <cellStyle name="SAPBEXHLevel1X 3 2 2 2" xfId="2268" xr:uid="{5B72F031-F13A-4A24-9120-FCA0062A14AE}"/>
    <cellStyle name="SAPBEXHLevel1X 3 2 3" xfId="1667" xr:uid="{00000000-0005-0000-0000-000062060000}"/>
    <cellStyle name="SAPBEXHLevel1X 3 2 3 2" xfId="2435" xr:uid="{11F62498-C327-4909-ACAA-25CF710AF728}"/>
    <cellStyle name="SAPBEXHLevel1X 3 2 4" xfId="1730" xr:uid="{00000000-0005-0000-0000-000063060000}"/>
    <cellStyle name="SAPBEXHLevel1X 3 2 4 2" xfId="2498" xr:uid="{0378C1AC-D51F-4E5D-BF0D-EC9A6CFDADF7}"/>
    <cellStyle name="SAPBEXHLevel1X 3 2 5" xfId="1792" xr:uid="{00000000-0005-0000-0000-000064060000}"/>
    <cellStyle name="SAPBEXHLevel1X 3 2 5 2" xfId="2560" xr:uid="{AB1CB539-681E-4CFF-8C93-FA51F50A3A32}"/>
    <cellStyle name="SAPBEXHLevel1X 3 2 6" xfId="1883" xr:uid="{00000000-0005-0000-0000-000065060000}"/>
    <cellStyle name="SAPBEXHLevel1X 3 2 6 2" xfId="2649" xr:uid="{90C942CA-F9AA-4F72-BE4E-94634646BA63}"/>
    <cellStyle name="SAPBEXHLevel1X 3 2 7" xfId="2110" xr:uid="{B8D7279E-D7BA-4A1E-AB2D-35B5F66B389C}"/>
    <cellStyle name="SAPBEXHLevel1X 3 3" xfId="1238" xr:uid="{00000000-0005-0000-0000-000066060000}"/>
    <cellStyle name="SAPBEXHLevel1X 3 3 2" xfId="1447" xr:uid="{00000000-0005-0000-0000-000067060000}"/>
    <cellStyle name="SAPBEXHLevel1X 3 3 2 2" xfId="2269" xr:uid="{3475D983-FCF5-43B2-9F0F-12D141EC1990}"/>
    <cellStyle name="SAPBEXHLevel1X 3 3 3" xfId="1668" xr:uid="{00000000-0005-0000-0000-000068060000}"/>
    <cellStyle name="SAPBEXHLevel1X 3 3 3 2" xfId="2436" xr:uid="{882E65A3-7BF4-4C75-B3A9-4B8F5E4708DC}"/>
    <cellStyle name="SAPBEXHLevel1X 3 3 4" xfId="1731" xr:uid="{00000000-0005-0000-0000-000069060000}"/>
    <cellStyle name="SAPBEXHLevel1X 3 3 4 2" xfId="2499" xr:uid="{7787BF62-82DC-4744-9462-983736CC7B59}"/>
    <cellStyle name="SAPBEXHLevel1X 3 3 5" xfId="1793" xr:uid="{00000000-0005-0000-0000-00006A060000}"/>
    <cellStyle name="SAPBEXHLevel1X 3 3 5 2" xfId="2561" xr:uid="{EA23F88A-1AE4-4DC1-BB6A-3B56770E9428}"/>
    <cellStyle name="SAPBEXHLevel1X 3 3 6" xfId="1882" xr:uid="{00000000-0005-0000-0000-00006B060000}"/>
    <cellStyle name="SAPBEXHLevel1X 3 3 6 2" xfId="2648" xr:uid="{D42B6D68-85BD-4292-9AE9-A01FA9609B07}"/>
    <cellStyle name="SAPBEXHLevel1X 3 3 7" xfId="2111" xr:uid="{420EAEF8-4FC2-46A0-ABA1-20F2E6408E42}"/>
    <cellStyle name="SAPBEXHLevel1X 3 4" xfId="1239" xr:uid="{00000000-0005-0000-0000-00006C060000}"/>
    <cellStyle name="SAPBEXHLevel1X 3 4 2" xfId="1448" xr:uid="{00000000-0005-0000-0000-00006D060000}"/>
    <cellStyle name="SAPBEXHLevel1X 3 4 2 2" xfId="2270" xr:uid="{C46D181B-3387-4B31-963C-C21FC05186BD}"/>
    <cellStyle name="SAPBEXHLevel1X 3 4 3" xfId="1669" xr:uid="{00000000-0005-0000-0000-00006E060000}"/>
    <cellStyle name="SAPBEXHLevel1X 3 4 3 2" xfId="2437" xr:uid="{59C974EB-AFC8-4A95-98D6-1B3595FF3536}"/>
    <cellStyle name="SAPBEXHLevel1X 3 4 4" xfId="1732" xr:uid="{00000000-0005-0000-0000-00006F060000}"/>
    <cellStyle name="SAPBEXHLevel1X 3 4 4 2" xfId="2500" xr:uid="{2B39267A-4432-44C5-9612-847D1D26E6C3}"/>
    <cellStyle name="SAPBEXHLevel1X 3 4 5" xfId="1794" xr:uid="{00000000-0005-0000-0000-000070060000}"/>
    <cellStyle name="SAPBEXHLevel1X 3 4 5 2" xfId="2562" xr:uid="{9D666784-0A5C-49EF-B8C1-B5D97476A751}"/>
    <cellStyle name="SAPBEXHLevel1X 3 4 6" xfId="1881" xr:uid="{00000000-0005-0000-0000-000071060000}"/>
    <cellStyle name="SAPBEXHLevel1X 3 4 6 2" xfId="2647" xr:uid="{0EEAFB54-9A4B-4E8E-BE73-7FD2C8A209DC}"/>
    <cellStyle name="SAPBEXHLevel1X 3 4 7" xfId="2112" xr:uid="{99AD1847-9874-4A17-BE08-98D0293DE7FA}"/>
    <cellStyle name="SAPBEXHLevel1X 3 5" xfId="1240" xr:uid="{00000000-0005-0000-0000-000072060000}"/>
    <cellStyle name="SAPBEXHLevel1X 3 5 2" xfId="1449" xr:uid="{00000000-0005-0000-0000-000073060000}"/>
    <cellStyle name="SAPBEXHLevel1X 3 5 2 2" xfId="2271" xr:uid="{C630A7AE-D62E-4588-B452-9921C8480E12}"/>
    <cellStyle name="SAPBEXHLevel1X 3 5 3" xfId="1670" xr:uid="{00000000-0005-0000-0000-000074060000}"/>
    <cellStyle name="SAPBEXHLevel1X 3 5 3 2" xfId="2438" xr:uid="{DD658949-34A6-4D17-9294-B83C5E74A99F}"/>
    <cellStyle name="SAPBEXHLevel1X 3 5 4" xfId="1733" xr:uid="{00000000-0005-0000-0000-000075060000}"/>
    <cellStyle name="SAPBEXHLevel1X 3 5 4 2" xfId="2501" xr:uid="{B6CC70FE-BF41-4BD8-8413-6A085BC05CE5}"/>
    <cellStyle name="SAPBEXHLevel1X 3 5 5" xfId="1795" xr:uid="{00000000-0005-0000-0000-000076060000}"/>
    <cellStyle name="SAPBEXHLevel1X 3 5 5 2" xfId="2563" xr:uid="{C1C88415-1C9B-45BF-ACCE-2297797953FE}"/>
    <cellStyle name="SAPBEXHLevel1X 3 5 6" xfId="1880" xr:uid="{00000000-0005-0000-0000-000077060000}"/>
    <cellStyle name="SAPBEXHLevel1X 3 5 6 2" xfId="2646" xr:uid="{B756CA54-378C-4156-8724-BD54DDB2889E}"/>
    <cellStyle name="SAPBEXHLevel1X 3 5 7" xfId="2113" xr:uid="{015CC873-2426-44A5-9649-ABA5FCFFCC1E}"/>
    <cellStyle name="SAPBEXHLevel1X 3 6" xfId="1241" xr:uid="{00000000-0005-0000-0000-000078060000}"/>
    <cellStyle name="SAPBEXHLevel1X 3 6 2" xfId="1450" xr:uid="{00000000-0005-0000-0000-000079060000}"/>
    <cellStyle name="SAPBEXHLevel1X 3 6 2 2" xfId="2272" xr:uid="{D8B1988F-DED2-487F-82FB-91790AB5A011}"/>
    <cellStyle name="SAPBEXHLevel1X 3 6 3" xfId="1671" xr:uid="{00000000-0005-0000-0000-00007A060000}"/>
    <cellStyle name="SAPBEXHLevel1X 3 6 3 2" xfId="2439" xr:uid="{F2819FFE-5B73-4915-9D61-63CDCBC3E036}"/>
    <cellStyle name="SAPBEXHLevel1X 3 6 4" xfId="1734" xr:uid="{00000000-0005-0000-0000-00007B060000}"/>
    <cellStyle name="SAPBEXHLevel1X 3 6 4 2" xfId="2502" xr:uid="{DAD81920-113D-4178-B66E-D199E122CBAE}"/>
    <cellStyle name="SAPBEXHLevel1X 3 6 5" xfId="1796" xr:uid="{00000000-0005-0000-0000-00007C060000}"/>
    <cellStyle name="SAPBEXHLevel1X 3 6 5 2" xfId="2564" xr:uid="{11E4F67F-A428-4BDD-9D9E-6C918882AC53}"/>
    <cellStyle name="SAPBEXHLevel1X 3 6 6" xfId="1879" xr:uid="{00000000-0005-0000-0000-00007D060000}"/>
    <cellStyle name="SAPBEXHLevel1X 3 6 6 2" xfId="2645" xr:uid="{F6793A76-B24F-472C-A9F5-D9126A907791}"/>
    <cellStyle name="SAPBEXHLevel1X 3 6 7" xfId="2114" xr:uid="{AC0B22D1-8266-475D-977A-3EE5E5A1D515}"/>
    <cellStyle name="SAPBEXHLevel1X 3 7" xfId="1242" xr:uid="{00000000-0005-0000-0000-00007E060000}"/>
    <cellStyle name="SAPBEXHLevel1X 3 7 2" xfId="1451" xr:uid="{00000000-0005-0000-0000-00007F060000}"/>
    <cellStyle name="SAPBEXHLevel1X 3 7 2 2" xfId="2273" xr:uid="{E87C5175-5B5F-44A7-9FA9-760B4A165C33}"/>
    <cellStyle name="SAPBEXHLevel1X 3 7 3" xfId="1672" xr:uid="{00000000-0005-0000-0000-000080060000}"/>
    <cellStyle name="SAPBEXHLevel1X 3 7 3 2" xfId="2440" xr:uid="{626F20A2-4D7C-4922-A7C7-E9A7454CFC58}"/>
    <cellStyle name="SAPBEXHLevel1X 3 7 4" xfId="1735" xr:uid="{00000000-0005-0000-0000-000081060000}"/>
    <cellStyle name="SAPBEXHLevel1X 3 7 4 2" xfId="2503" xr:uid="{1DB55443-4F3F-49B5-B3F0-71A560149229}"/>
    <cellStyle name="SAPBEXHLevel1X 3 7 5" xfId="1797" xr:uid="{00000000-0005-0000-0000-000082060000}"/>
    <cellStyle name="SAPBEXHLevel1X 3 7 5 2" xfId="2565" xr:uid="{82670E72-4A21-4CEA-A1BF-32D37E66C3EF}"/>
    <cellStyle name="SAPBEXHLevel1X 3 7 6" xfId="1878" xr:uid="{00000000-0005-0000-0000-000083060000}"/>
    <cellStyle name="SAPBEXHLevel1X 3 7 6 2" xfId="2644" xr:uid="{0B816991-C914-4840-B8C8-4B9DC8A8EF1C}"/>
    <cellStyle name="SAPBEXHLevel1X 3 7 7" xfId="2115" xr:uid="{139403C8-B904-4E8A-82A6-3ABB7D740EA5}"/>
    <cellStyle name="SAPBEXHLevel1X 3 8" xfId="1243" xr:uid="{00000000-0005-0000-0000-000084060000}"/>
    <cellStyle name="SAPBEXHLevel1X 3 8 2" xfId="1613" xr:uid="{00000000-0005-0000-0000-000085060000}"/>
    <cellStyle name="SAPBEXHLevel1X 3 8 2 2" xfId="2381" xr:uid="{C4F19F5D-1B51-4AAF-8AAB-E3256422D2D0}"/>
    <cellStyle name="SAPBEXHLevel1X 3 8 3" xfId="1673" xr:uid="{00000000-0005-0000-0000-000086060000}"/>
    <cellStyle name="SAPBEXHLevel1X 3 8 3 2" xfId="2441" xr:uid="{7BA61318-599F-489E-BB4A-41AA9BE7B774}"/>
    <cellStyle name="SAPBEXHLevel1X 3 8 4" xfId="1736" xr:uid="{00000000-0005-0000-0000-000087060000}"/>
    <cellStyle name="SAPBEXHLevel1X 3 8 4 2" xfId="2504" xr:uid="{7B8FADEF-B19D-402D-A52B-04F589CF99F7}"/>
    <cellStyle name="SAPBEXHLevel1X 3 8 5" xfId="1798" xr:uid="{00000000-0005-0000-0000-000088060000}"/>
    <cellStyle name="SAPBEXHLevel1X 3 8 5 2" xfId="2566" xr:uid="{12679B08-966E-4D06-9B80-BAF669DC755F}"/>
    <cellStyle name="SAPBEXHLevel1X 3 8 6" xfId="1877" xr:uid="{00000000-0005-0000-0000-000089060000}"/>
    <cellStyle name="SAPBEXHLevel1X 3 8 6 2" xfId="2643" xr:uid="{A89230B4-D3DD-40A5-B19F-8CE844ED129B}"/>
    <cellStyle name="SAPBEXHLevel1X 3 8 7" xfId="2116" xr:uid="{52FC1388-0122-41AA-B5BD-7CFD0A1ED01C}"/>
    <cellStyle name="SAPBEXHLevel1X 3 9" xfId="1445" xr:uid="{00000000-0005-0000-0000-00008A060000}"/>
    <cellStyle name="SAPBEXHLevel1X 3 9 2" xfId="2267" xr:uid="{0C675D03-B976-4DC7-85B5-AD8228DA4341}"/>
    <cellStyle name="SAPBEXHLevel1X 4" xfId="1592" xr:uid="{00000000-0005-0000-0000-00008B060000}"/>
    <cellStyle name="SAPBEXHLevel1X 4 2" xfId="2363" xr:uid="{6356AE37-20CE-41DB-B85A-86ACEDBAE8DB}"/>
    <cellStyle name="SAPBEXHLevel1X 5" xfId="1664" xr:uid="{00000000-0005-0000-0000-00008C060000}"/>
    <cellStyle name="SAPBEXHLevel1X 5 2" xfId="2432" xr:uid="{220F828C-708E-4BAF-B051-A72CCD4D48B8}"/>
    <cellStyle name="SAPBEXHLevel1X 6" xfId="1727" xr:uid="{00000000-0005-0000-0000-00008D060000}"/>
    <cellStyle name="SAPBEXHLevel1X 6 2" xfId="2495" xr:uid="{72449ACE-6F85-4865-93FE-BEF473F4DDE9}"/>
    <cellStyle name="SAPBEXHLevel1X 7" xfId="1789" xr:uid="{00000000-0005-0000-0000-00008E060000}"/>
    <cellStyle name="SAPBEXHLevel1X 7 2" xfId="2557" xr:uid="{C526441C-8A9A-4F40-B4BE-3E241000ACE6}"/>
    <cellStyle name="SAPBEXHLevel1X 8" xfId="1886" xr:uid="{00000000-0005-0000-0000-00008F060000}"/>
    <cellStyle name="SAPBEXHLevel1X 8 2" xfId="2652" xr:uid="{59FB15C2-F297-43CD-A237-A8902761BDB9}"/>
    <cellStyle name="SAPBEXHLevel1X 9" xfId="2107" xr:uid="{9AF636A3-B0BE-4D45-A575-411D1E09C8EC}"/>
    <cellStyle name="SAPBEXHLevel1X_0910 GSO Capex RRP - Final (Detail) v2 220710" xfId="1244" xr:uid="{00000000-0005-0000-0000-000090060000}"/>
    <cellStyle name="SAPBEXHLevel2" xfId="1245" xr:uid="{00000000-0005-0000-0000-000091060000}"/>
    <cellStyle name="SAPBEXHLevel2 10" xfId="1962" xr:uid="{00000000-0005-0000-0000-000092060000}"/>
    <cellStyle name="SAPBEXHLevel2 10 2" xfId="2728" xr:uid="{A9B9C00B-DCFB-4A1B-8D01-4CA699422683}"/>
    <cellStyle name="SAPBEXHLevel2 11" xfId="2117" xr:uid="{A88D488E-4704-4DFF-A1E5-4D261191ED84}"/>
    <cellStyle name="SAPBEXHLevel2 2" xfId="1246" xr:uid="{00000000-0005-0000-0000-000093060000}"/>
    <cellStyle name="SAPBEXHLevel2 2 2" xfId="1463" xr:uid="{00000000-0005-0000-0000-000094060000}"/>
    <cellStyle name="SAPBEXHLevel2 2 2 2" xfId="2275" xr:uid="{7BE9C7E8-002D-4323-9C4F-9F818FB086AB}"/>
    <cellStyle name="SAPBEXHLevel2 2 3" xfId="1675" xr:uid="{00000000-0005-0000-0000-000095060000}"/>
    <cellStyle name="SAPBEXHLevel2 2 3 2" xfId="2443" xr:uid="{05AE1569-BAEF-4D11-8985-174E88DDDDD2}"/>
    <cellStyle name="SAPBEXHLevel2 2 4" xfId="1738" xr:uid="{00000000-0005-0000-0000-000096060000}"/>
    <cellStyle name="SAPBEXHLevel2 2 4 2" xfId="2506" xr:uid="{43B81F7C-EB26-4AA6-BD97-D698315F4274}"/>
    <cellStyle name="SAPBEXHLevel2 2 5" xfId="1800" xr:uid="{00000000-0005-0000-0000-000097060000}"/>
    <cellStyle name="SAPBEXHLevel2 2 5 2" xfId="2568" xr:uid="{B4A6D2C5-3F19-4D31-9224-6D8A7C02A3DE}"/>
    <cellStyle name="SAPBEXHLevel2 2 6" xfId="1875" xr:uid="{00000000-0005-0000-0000-000098060000}"/>
    <cellStyle name="SAPBEXHLevel2 2 6 2" xfId="2641" xr:uid="{8AEACA59-6320-4B30-AD32-5B6324AC31F2}"/>
    <cellStyle name="SAPBEXHLevel2 2 7" xfId="2118" xr:uid="{F90BC01F-3D4F-4A77-A6A9-66BF3F13E6AB}"/>
    <cellStyle name="SAPBEXHLevel2 3" xfId="1583" xr:uid="{00000000-0005-0000-0000-000099060000}"/>
    <cellStyle name="SAPBEXHLevel2 3 2" xfId="2356" xr:uid="{3C48307A-AC94-448C-BEC6-EFC0BE39BD66}"/>
    <cellStyle name="SAPBEXHLevel2 4" xfId="1556" xr:uid="{00000000-0005-0000-0000-00009A060000}"/>
    <cellStyle name="SAPBEXHLevel2 4 2" xfId="2330" xr:uid="{9F715DDB-439C-4891-9159-027BAB0509EB}"/>
    <cellStyle name="SAPBEXHLevel2 5" xfId="1462" xr:uid="{00000000-0005-0000-0000-00009B060000}"/>
    <cellStyle name="SAPBEXHLevel2 5 2" xfId="2274" xr:uid="{13316653-F391-49B7-879E-0379883575E0}"/>
    <cellStyle name="SAPBEXHLevel2 6" xfId="1674" xr:uid="{00000000-0005-0000-0000-00009C060000}"/>
    <cellStyle name="SAPBEXHLevel2 6 2" xfId="2442" xr:uid="{5AD46F58-4DEF-4133-8A84-A95D678CCBCD}"/>
    <cellStyle name="SAPBEXHLevel2 7" xfId="1737" xr:uid="{00000000-0005-0000-0000-00009D060000}"/>
    <cellStyle name="SAPBEXHLevel2 7 2" xfId="2505" xr:uid="{7E904531-1174-4A72-B509-17FFABB078BC}"/>
    <cellStyle name="SAPBEXHLevel2 8" xfId="1799" xr:uid="{00000000-0005-0000-0000-00009E060000}"/>
    <cellStyle name="SAPBEXHLevel2 8 2" xfId="2567" xr:uid="{A0B75655-8E3B-430A-82E4-4D0389E219A9}"/>
    <cellStyle name="SAPBEXHLevel2 9" xfId="1876" xr:uid="{00000000-0005-0000-0000-00009F060000}"/>
    <cellStyle name="SAPBEXHLevel2 9 2" xfId="2642" xr:uid="{94F2AE45-8522-457B-9F1B-DF49BE2BB25A}"/>
    <cellStyle name="SAPBEXHLevel2_0910 GSO Capex RRP - Final (Detail) v2 220710" xfId="1247" xr:uid="{00000000-0005-0000-0000-0000A0060000}"/>
    <cellStyle name="SAPBEXHLevel2X" xfId="1248" xr:uid="{00000000-0005-0000-0000-0000A1060000}"/>
    <cellStyle name="SAPBEXHLevel2X 2" xfId="1249" xr:uid="{00000000-0005-0000-0000-0000A2060000}"/>
    <cellStyle name="SAPBEXHLevel2X 2 2" xfId="1516" xr:uid="{00000000-0005-0000-0000-0000A3060000}"/>
    <cellStyle name="SAPBEXHLevel2X 2 2 2" xfId="2291" xr:uid="{87BCBB2D-C91E-424D-AB75-87410CD9B1F5}"/>
    <cellStyle name="SAPBEXHLevel2X 2 3" xfId="1677" xr:uid="{00000000-0005-0000-0000-0000A4060000}"/>
    <cellStyle name="SAPBEXHLevel2X 2 3 2" xfId="2445" xr:uid="{78EDC6A3-3B21-4818-8574-2B4F09DB49AD}"/>
    <cellStyle name="SAPBEXHLevel2X 2 4" xfId="1740" xr:uid="{00000000-0005-0000-0000-0000A5060000}"/>
    <cellStyle name="SAPBEXHLevel2X 2 4 2" xfId="2508" xr:uid="{DF26203B-F39D-44DF-BF94-9E2EDEDF6A62}"/>
    <cellStyle name="SAPBEXHLevel2X 2 5" xfId="1802" xr:uid="{00000000-0005-0000-0000-0000A6060000}"/>
    <cellStyle name="SAPBEXHLevel2X 2 5 2" xfId="2570" xr:uid="{AC13D18B-FD63-4114-BE40-95444433342A}"/>
    <cellStyle name="SAPBEXHLevel2X 2 6" xfId="1873" xr:uid="{00000000-0005-0000-0000-0000A7060000}"/>
    <cellStyle name="SAPBEXHLevel2X 2 6 2" xfId="2639" xr:uid="{6B75D084-776D-472E-B1F5-27AE4165B57C}"/>
    <cellStyle name="SAPBEXHLevel2X 2 7" xfId="2120" xr:uid="{1D02B207-F2E1-4CF8-95B8-36793CE9073C}"/>
    <cellStyle name="SAPBEXHLevel2X 3" xfId="1250" xr:uid="{00000000-0005-0000-0000-0000A8060000}"/>
    <cellStyle name="SAPBEXHLevel2X 3 10" xfId="1678" xr:uid="{00000000-0005-0000-0000-0000A9060000}"/>
    <cellStyle name="SAPBEXHLevel2X 3 10 2" xfId="2446" xr:uid="{1F04BE80-2ECF-423F-B70D-30D6FED8F9FB}"/>
    <cellStyle name="SAPBEXHLevel2X 3 11" xfId="1741" xr:uid="{00000000-0005-0000-0000-0000AA060000}"/>
    <cellStyle name="SAPBEXHLevel2X 3 11 2" xfId="2509" xr:uid="{0C1405C7-7D14-4F0A-84AD-76B953CD574D}"/>
    <cellStyle name="SAPBEXHLevel2X 3 12" xfId="1803" xr:uid="{00000000-0005-0000-0000-0000AB060000}"/>
    <cellStyle name="SAPBEXHLevel2X 3 12 2" xfId="2571" xr:uid="{A9084872-D9E7-41A6-B0B0-53EAD7585970}"/>
    <cellStyle name="SAPBEXHLevel2X 3 13" xfId="1872" xr:uid="{00000000-0005-0000-0000-0000AC060000}"/>
    <cellStyle name="SAPBEXHLevel2X 3 13 2" xfId="2638" xr:uid="{E7CDC230-6875-43EF-A58E-429296EDC30C}"/>
    <cellStyle name="SAPBEXHLevel2X 3 14" xfId="2121" xr:uid="{0F07F638-DC1C-4C4A-AF2F-1A185BC7D6F9}"/>
    <cellStyle name="SAPBEXHLevel2X 3 2" xfId="1251" xr:uid="{00000000-0005-0000-0000-0000AD060000}"/>
    <cellStyle name="SAPBEXHLevel2X 3 2 2" xfId="1523" xr:uid="{00000000-0005-0000-0000-0000AE060000}"/>
    <cellStyle name="SAPBEXHLevel2X 3 2 2 2" xfId="2298" xr:uid="{C5034AE1-FAAD-4F69-85D9-47F71669EDB8}"/>
    <cellStyle name="SAPBEXHLevel2X 3 2 3" xfId="1679" xr:uid="{00000000-0005-0000-0000-0000AF060000}"/>
    <cellStyle name="SAPBEXHLevel2X 3 2 3 2" xfId="2447" xr:uid="{947B2240-D9DE-4F9E-9963-065DB9094573}"/>
    <cellStyle name="SAPBEXHLevel2X 3 2 4" xfId="1742" xr:uid="{00000000-0005-0000-0000-0000B0060000}"/>
    <cellStyle name="SAPBEXHLevel2X 3 2 4 2" xfId="2510" xr:uid="{3B3DCA52-D2E2-4F4B-B7ED-62C0619EAAD7}"/>
    <cellStyle name="SAPBEXHLevel2X 3 2 5" xfId="1804" xr:uid="{00000000-0005-0000-0000-0000B1060000}"/>
    <cellStyle name="SAPBEXHLevel2X 3 2 5 2" xfId="2572" xr:uid="{A4AB5812-949F-4FC5-8400-64AAC5795E3E}"/>
    <cellStyle name="SAPBEXHLevel2X 3 2 6" xfId="1871" xr:uid="{00000000-0005-0000-0000-0000B2060000}"/>
    <cellStyle name="SAPBEXHLevel2X 3 2 6 2" xfId="2637" xr:uid="{99AAE240-A309-4501-AFFE-D79956E27C1C}"/>
    <cellStyle name="SAPBEXHLevel2X 3 2 7" xfId="2122" xr:uid="{7FD2CFD8-50B5-49A5-B999-09FE61DC2406}"/>
    <cellStyle name="SAPBEXHLevel2X 3 3" xfId="1252" xr:uid="{00000000-0005-0000-0000-0000B3060000}"/>
    <cellStyle name="SAPBEXHLevel2X 3 3 2" xfId="1524" xr:uid="{00000000-0005-0000-0000-0000B4060000}"/>
    <cellStyle name="SAPBEXHLevel2X 3 3 2 2" xfId="2299" xr:uid="{C0604CB0-C293-4403-BB66-189BE9EB9FBA}"/>
    <cellStyle name="SAPBEXHLevel2X 3 3 3" xfId="1680" xr:uid="{00000000-0005-0000-0000-0000B5060000}"/>
    <cellStyle name="SAPBEXHLevel2X 3 3 3 2" xfId="2448" xr:uid="{65DE6EC9-DD08-4314-A924-5EAC52192297}"/>
    <cellStyle name="SAPBEXHLevel2X 3 3 4" xfId="1743" xr:uid="{00000000-0005-0000-0000-0000B6060000}"/>
    <cellStyle name="SAPBEXHLevel2X 3 3 4 2" xfId="2511" xr:uid="{6C90206E-D242-44E0-AC41-DD07CAFC668F}"/>
    <cellStyle name="SAPBEXHLevel2X 3 3 5" xfId="1805" xr:uid="{00000000-0005-0000-0000-0000B7060000}"/>
    <cellStyle name="SAPBEXHLevel2X 3 3 5 2" xfId="2573" xr:uid="{D886230A-B560-40BC-991A-98DAB031E68B}"/>
    <cellStyle name="SAPBEXHLevel2X 3 3 6" xfId="1870" xr:uid="{00000000-0005-0000-0000-0000B8060000}"/>
    <cellStyle name="SAPBEXHLevel2X 3 3 6 2" xfId="2636" xr:uid="{ED9F6E95-D6AF-4254-85DE-DF9DE48115F6}"/>
    <cellStyle name="SAPBEXHLevel2X 3 3 7" xfId="2123" xr:uid="{73DDEE91-C662-4F08-BF7B-6DA60071E2ED}"/>
    <cellStyle name="SAPBEXHLevel2X 3 4" xfId="1253" xr:uid="{00000000-0005-0000-0000-0000B9060000}"/>
    <cellStyle name="SAPBEXHLevel2X 3 4 2" xfId="1526" xr:uid="{00000000-0005-0000-0000-0000BA060000}"/>
    <cellStyle name="SAPBEXHLevel2X 3 4 2 2" xfId="2301" xr:uid="{CF68A229-4D4D-45E7-AC92-C6C419F6A3C9}"/>
    <cellStyle name="SAPBEXHLevel2X 3 4 3" xfId="1681" xr:uid="{00000000-0005-0000-0000-0000BB060000}"/>
    <cellStyle name="SAPBEXHLevel2X 3 4 3 2" xfId="2449" xr:uid="{C6D084CC-4ED5-4EB0-B61B-BB1E5D4CA2DC}"/>
    <cellStyle name="SAPBEXHLevel2X 3 4 4" xfId="1744" xr:uid="{00000000-0005-0000-0000-0000BC060000}"/>
    <cellStyle name="SAPBEXHLevel2X 3 4 4 2" xfId="2512" xr:uid="{F64DAA4A-8503-4E31-8BAE-07D272DCA8EA}"/>
    <cellStyle name="SAPBEXHLevel2X 3 4 5" xfId="1806" xr:uid="{00000000-0005-0000-0000-0000BD060000}"/>
    <cellStyle name="SAPBEXHLevel2X 3 4 5 2" xfId="2574" xr:uid="{2CA65BDC-55C9-4A31-96BD-E0DFCCC9D434}"/>
    <cellStyle name="SAPBEXHLevel2X 3 4 6" xfId="1869" xr:uid="{00000000-0005-0000-0000-0000BE060000}"/>
    <cellStyle name="SAPBEXHLevel2X 3 4 6 2" xfId="2635" xr:uid="{7DA80162-5F29-4F1D-A487-74B18A5B884F}"/>
    <cellStyle name="SAPBEXHLevel2X 3 4 7" xfId="2124" xr:uid="{CA05240E-30B8-4E5E-AEB0-48BE77D3D020}"/>
    <cellStyle name="SAPBEXHLevel2X 3 5" xfId="1254" xr:uid="{00000000-0005-0000-0000-0000BF060000}"/>
    <cellStyle name="SAPBEXHLevel2X 3 5 2" xfId="1527" xr:uid="{00000000-0005-0000-0000-0000C0060000}"/>
    <cellStyle name="SAPBEXHLevel2X 3 5 2 2" xfId="2302" xr:uid="{9C5D1EF7-A5C7-4956-ADD1-5068ED76A640}"/>
    <cellStyle name="SAPBEXHLevel2X 3 5 3" xfId="1682" xr:uid="{00000000-0005-0000-0000-0000C1060000}"/>
    <cellStyle name="SAPBEXHLevel2X 3 5 3 2" xfId="2450" xr:uid="{7D84A28C-39B6-4D20-A422-DE9AA98A3814}"/>
    <cellStyle name="SAPBEXHLevel2X 3 5 4" xfId="1745" xr:uid="{00000000-0005-0000-0000-0000C2060000}"/>
    <cellStyle name="SAPBEXHLevel2X 3 5 4 2" xfId="2513" xr:uid="{9B0E7BBE-282C-4CA7-BDD0-446B3C8044B5}"/>
    <cellStyle name="SAPBEXHLevel2X 3 5 5" xfId="1807" xr:uid="{00000000-0005-0000-0000-0000C3060000}"/>
    <cellStyle name="SAPBEXHLevel2X 3 5 5 2" xfId="2575" xr:uid="{0959987E-0724-4D5B-92EC-533628CEF45C}"/>
    <cellStyle name="SAPBEXHLevel2X 3 5 6" xfId="1868" xr:uid="{00000000-0005-0000-0000-0000C4060000}"/>
    <cellStyle name="SAPBEXHLevel2X 3 5 6 2" xfId="2634" xr:uid="{C96A675C-457F-4174-A0B2-7D8CEEC8F205}"/>
    <cellStyle name="SAPBEXHLevel2X 3 5 7" xfId="2125" xr:uid="{859D55C0-4408-4AA4-A966-FB1294B9AB48}"/>
    <cellStyle name="SAPBEXHLevel2X 3 6" xfId="1255" xr:uid="{00000000-0005-0000-0000-0000C5060000}"/>
    <cellStyle name="SAPBEXHLevel2X 3 6 2" xfId="1528" xr:uid="{00000000-0005-0000-0000-0000C6060000}"/>
    <cellStyle name="SAPBEXHLevel2X 3 6 2 2" xfId="2303" xr:uid="{12ED7FCC-8D09-42B7-B2A1-60864C7A7B0E}"/>
    <cellStyle name="SAPBEXHLevel2X 3 6 3" xfId="1683" xr:uid="{00000000-0005-0000-0000-0000C7060000}"/>
    <cellStyle name="SAPBEXHLevel2X 3 6 3 2" xfId="2451" xr:uid="{390EDD13-6586-4B51-86E9-4A633D003C9F}"/>
    <cellStyle name="SAPBEXHLevel2X 3 6 4" xfId="1746" xr:uid="{00000000-0005-0000-0000-0000C8060000}"/>
    <cellStyle name="SAPBEXHLevel2X 3 6 4 2" xfId="2514" xr:uid="{9A1B8C80-1F50-4E4E-8A7F-69511AC077B8}"/>
    <cellStyle name="SAPBEXHLevel2X 3 6 5" xfId="1808" xr:uid="{00000000-0005-0000-0000-0000C9060000}"/>
    <cellStyle name="SAPBEXHLevel2X 3 6 5 2" xfId="2576" xr:uid="{509DCAF4-758E-4944-8D55-E355ABD5E6C4}"/>
    <cellStyle name="SAPBEXHLevel2X 3 6 6" xfId="1867" xr:uid="{00000000-0005-0000-0000-0000CA060000}"/>
    <cellStyle name="SAPBEXHLevel2X 3 6 6 2" xfId="2633" xr:uid="{B9DDDD11-9A94-4C5B-BAFB-C6D786D5E151}"/>
    <cellStyle name="SAPBEXHLevel2X 3 6 7" xfId="2126" xr:uid="{A4F920A4-264D-455F-A130-F10B288EDA34}"/>
    <cellStyle name="SAPBEXHLevel2X 3 7" xfId="1256" xr:uid="{00000000-0005-0000-0000-0000CB060000}"/>
    <cellStyle name="SAPBEXHLevel2X 3 7 2" xfId="1529" xr:uid="{00000000-0005-0000-0000-0000CC060000}"/>
    <cellStyle name="SAPBEXHLevel2X 3 7 2 2" xfId="2304" xr:uid="{17D6237B-938A-4B8A-BCB8-346E1B65800B}"/>
    <cellStyle name="SAPBEXHLevel2X 3 7 3" xfId="1684" xr:uid="{00000000-0005-0000-0000-0000CD060000}"/>
    <cellStyle name="SAPBEXHLevel2X 3 7 3 2" xfId="2452" xr:uid="{A07B2A48-2DA4-49B3-83EE-9EE17983BB80}"/>
    <cellStyle name="SAPBEXHLevel2X 3 7 4" xfId="1747" xr:uid="{00000000-0005-0000-0000-0000CE060000}"/>
    <cellStyle name="SAPBEXHLevel2X 3 7 4 2" xfId="2515" xr:uid="{B0E04411-CE01-40A2-B012-B880EFD4976F}"/>
    <cellStyle name="SAPBEXHLevel2X 3 7 5" xfId="1809" xr:uid="{00000000-0005-0000-0000-0000CF060000}"/>
    <cellStyle name="SAPBEXHLevel2X 3 7 5 2" xfId="2577" xr:uid="{06504092-41FC-4442-99E7-00163ADF2926}"/>
    <cellStyle name="SAPBEXHLevel2X 3 7 6" xfId="1866" xr:uid="{00000000-0005-0000-0000-0000D0060000}"/>
    <cellStyle name="SAPBEXHLevel2X 3 7 6 2" xfId="2632" xr:uid="{8794C4BA-7E60-4EFB-90E1-F6D15445F01F}"/>
    <cellStyle name="SAPBEXHLevel2X 3 7 7" xfId="2127" xr:uid="{AFED323C-6BEC-46E8-B845-C0984E6863AC}"/>
    <cellStyle name="SAPBEXHLevel2X 3 8" xfId="1257" xr:uid="{00000000-0005-0000-0000-0000D1060000}"/>
    <cellStyle name="SAPBEXHLevel2X 3 8 2" xfId="1530" xr:uid="{00000000-0005-0000-0000-0000D2060000}"/>
    <cellStyle name="SAPBEXHLevel2X 3 8 2 2" xfId="2305" xr:uid="{14904093-89F4-46D7-89AA-94AEC44DBEF4}"/>
    <cellStyle name="SAPBEXHLevel2X 3 8 3" xfId="1685" xr:uid="{00000000-0005-0000-0000-0000D3060000}"/>
    <cellStyle name="SAPBEXHLevel2X 3 8 3 2" xfId="2453" xr:uid="{5F3ACA2A-1E49-4C2F-8501-3014F42FBC91}"/>
    <cellStyle name="SAPBEXHLevel2X 3 8 4" xfId="1748" xr:uid="{00000000-0005-0000-0000-0000D4060000}"/>
    <cellStyle name="SAPBEXHLevel2X 3 8 4 2" xfId="2516" xr:uid="{D4FB42A4-B5E1-4E54-8F53-F3382EDE6FA2}"/>
    <cellStyle name="SAPBEXHLevel2X 3 8 5" xfId="1810" xr:uid="{00000000-0005-0000-0000-0000D5060000}"/>
    <cellStyle name="SAPBEXHLevel2X 3 8 5 2" xfId="2578" xr:uid="{4AE2A629-8589-4F5A-9FA2-53A28E5722DB}"/>
    <cellStyle name="SAPBEXHLevel2X 3 8 6" xfId="1865" xr:uid="{00000000-0005-0000-0000-0000D6060000}"/>
    <cellStyle name="SAPBEXHLevel2X 3 8 6 2" xfId="2631" xr:uid="{BA1A2B52-A552-467D-B4B8-5508C2B874EE}"/>
    <cellStyle name="SAPBEXHLevel2X 3 8 7" xfId="2128" xr:uid="{F2D554E9-F23F-456C-BEB2-B07C1587EEE3}"/>
    <cellStyle name="SAPBEXHLevel2X 3 9" xfId="1522" xr:uid="{00000000-0005-0000-0000-0000D7060000}"/>
    <cellStyle name="SAPBEXHLevel2X 3 9 2" xfId="2297" xr:uid="{E26286C5-C763-4672-8FAD-7D7741F3F53A}"/>
    <cellStyle name="SAPBEXHLevel2X 4" xfId="1512" xr:uid="{00000000-0005-0000-0000-0000D8060000}"/>
    <cellStyle name="SAPBEXHLevel2X 4 2" xfId="2287" xr:uid="{425012D2-8A8D-477B-91C4-F216E825CD92}"/>
    <cellStyle name="SAPBEXHLevel2X 5" xfId="1676" xr:uid="{00000000-0005-0000-0000-0000D9060000}"/>
    <cellStyle name="SAPBEXHLevel2X 5 2" xfId="2444" xr:uid="{F1B6F054-76D3-499E-93B0-04AE2DF876EB}"/>
    <cellStyle name="SAPBEXHLevel2X 6" xfId="1739" xr:uid="{00000000-0005-0000-0000-0000DA060000}"/>
    <cellStyle name="SAPBEXHLevel2X 6 2" xfId="2507" xr:uid="{CF830138-EFAD-4E7A-B501-2F7477C4C80A}"/>
    <cellStyle name="SAPBEXHLevel2X 7" xfId="1801" xr:uid="{00000000-0005-0000-0000-0000DB060000}"/>
    <cellStyle name="SAPBEXHLevel2X 7 2" xfId="2569" xr:uid="{F7E7193D-A23A-45AF-86E9-7B10274A6958}"/>
    <cellStyle name="SAPBEXHLevel2X 8" xfId="1874" xr:uid="{00000000-0005-0000-0000-0000DC060000}"/>
    <cellStyle name="SAPBEXHLevel2X 8 2" xfId="2640" xr:uid="{7C1FE83B-B526-42D4-8840-96FAE6C2D652}"/>
    <cellStyle name="SAPBEXHLevel2X 9" xfId="2119" xr:uid="{4D74CD82-2896-4C31-83EE-90D9DE15BCA8}"/>
    <cellStyle name="SAPBEXHLevel2X_0910 GSO Capex RRP - Final (Detail) v2 220710" xfId="1258" xr:uid="{00000000-0005-0000-0000-0000DD060000}"/>
    <cellStyle name="SAPBEXHLevel3" xfId="1259" xr:uid="{00000000-0005-0000-0000-0000DE060000}"/>
    <cellStyle name="SAPBEXHLevel3 10" xfId="1963" xr:uid="{00000000-0005-0000-0000-0000DF060000}"/>
    <cellStyle name="SAPBEXHLevel3 10 2" xfId="2729" xr:uid="{8A6E4074-6918-4768-A92E-59BCDCCDB2CB}"/>
    <cellStyle name="SAPBEXHLevel3 11" xfId="2129" xr:uid="{06F71E3D-B0C7-42A5-983A-D6EA29B3B6D2}"/>
    <cellStyle name="SAPBEXHLevel3 2" xfId="1260" xr:uid="{00000000-0005-0000-0000-0000E0060000}"/>
    <cellStyle name="SAPBEXHLevel3 2 2" xfId="1533" xr:uid="{00000000-0005-0000-0000-0000E1060000}"/>
    <cellStyle name="SAPBEXHLevel3 2 2 2" xfId="2308" xr:uid="{F9832556-067B-44EA-B2CE-C6AE083C5866}"/>
    <cellStyle name="SAPBEXHLevel3 2 3" xfId="1687" xr:uid="{00000000-0005-0000-0000-0000E2060000}"/>
    <cellStyle name="SAPBEXHLevel3 2 3 2" xfId="2455" xr:uid="{4E77AFA0-1B05-4AF2-81B0-4D24CA164984}"/>
    <cellStyle name="SAPBEXHLevel3 2 4" xfId="1750" xr:uid="{00000000-0005-0000-0000-0000E3060000}"/>
    <cellStyle name="SAPBEXHLevel3 2 4 2" xfId="2518" xr:uid="{BC4D7C3B-99EA-434F-8F33-30028021204E}"/>
    <cellStyle name="SAPBEXHLevel3 2 5" xfId="1812" xr:uid="{00000000-0005-0000-0000-0000E4060000}"/>
    <cellStyle name="SAPBEXHLevel3 2 5 2" xfId="2580" xr:uid="{9C2D6AB5-41C5-40CE-94CB-408A091418A5}"/>
    <cellStyle name="SAPBEXHLevel3 2 6" xfId="1863" xr:uid="{00000000-0005-0000-0000-0000E5060000}"/>
    <cellStyle name="SAPBEXHLevel3 2 6 2" xfId="2629" xr:uid="{CB1C9AD1-E980-4E3C-BB5D-D822DF80D124}"/>
    <cellStyle name="SAPBEXHLevel3 2 7" xfId="2130" xr:uid="{53776C0A-5646-4D5D-917F-6F07E3F3CB9B}"/>
    <cellStyle name="SAPBEXHLevel3 3" xfId="1587" xr:uid="{00000000-0005-0000-0000-0000E6060000}"/>
    <cellStyle name="SAPBEXHLevel3 3 2" xfId="2359" xr:uid="{4E81FC73-AE78-4D2B-8403-816A3FD6E214}"/>
    <cellStyle name="SAPBEXHLevel3 4" xfId="1574" xr:uid="{00000000-0005-0000-0000-0000E7060000}"/>
    <cellStyle name="SAPBEXHLevel3 4 2" xfId="2348" xr:uid="{BF37EC80-4802-454D-90F6-EED3998EB734}"/>
    <cellStyle name="SAPBEXHLevel3 5" xfId="1532" xr:uid="{00000000-0005-0000-0000-0000E8060000}"/>
    <cellStyle name="SAPBEXHLevel3 5 2" xfId="2307" xr:uid="{2B68D22C-6390-496A-917E-4229F3C8F284}"/>
    <cellStyle name="SAPBEXHLevel3 6" xfId="1686" xr:uid="{00000000-0005-0000-0000-0000E9060000}"/>
    <cellStyle name="SAPBEXHLevel3 6 2" xfId="2454" xr:uid="{A0BDA1A2-5B97-4E22-A7F9-016E441BA252}"/>
    <cellStyle name="SAPBEXHLevel3 7" xfId="1749" xr:uid="{00000000-0005-0000-0000-0000EA060000}"/>
    <cellStyle name="SAPBEXHLevel3 7 2" xfId="2517" xr:uid="{B3BDEFD3-ED1F-4EC8-9751-D0AAB3F1C9F9}"/>
    <cellStyle name="SAPBEXHLevel3 8" xfId="1811" xr:uid="{00000000-0005-0000-0000-0000EB060000}"/>
    <cellStyle name="SAPBEXHLevel3 8 2" xfId="2579" xr:uid="{0C0D4614-7BAB-43A7-8BA8-86198A96703D}"/>
    <cellStyle name="SAPBEXHLevel3 9" xfId="1864" xr:uid="{00000000-0005-0000-0000-0000EC060000}"/>
    <cellStyle name="SAPBEXHLevel3 9 2" xfId="2630" xr:uid="{2D0CEE1F-B5AC-4BF1-971B-6607F51327A6}"/>
    <cellStyle name="SAPBEXHLevel3_0910 GSO Capex RRP - Final (Detail) v2 220710" xfId="1261" xr:uid="{00000000-0005-0000-0000-0000ED060000}"/>
    <cellStyle name="SAPBEXHLevel3X" xfId="1262" xr:uid="{00000000-0005-0000-0000-0000EE060000}"/>
    <cellStyle name="SAPBEXHLevel3X 2" xfId="1263" xr:uid="{00000000-0005-0000-0000-0000EF060000}"/>
    <cellStyle name="SAPBEXHLevel3X 2 2" xfId="1535" xr:uid="{00000000-0005-0000-0000-0000F0060000}"/>
    <cellStyle name="SAPBEXHLevel3X 2 2 2" xfId="2310" xr:uid="{D8490F9D-BC59-4A82-BBF3-40FB0BB4E500}"/>
    <cellStyle name="SAPBEXHLevel3X 2 3" xfId="1689" xr:uid="{00000000-0005-0000-0000-0000F1060000}"/>
    <cellStyle name="SAPBEXHLevel3X 2 3 2" xfId="2457" xr:uid="{25223DCA-0C4D-45AD-888F-D79BF59B4A4B}"/>
    <cellStyle name="SAPBEXHLevel3X 2 4" xfId="1752" xr:uid="{00000000-0005-0000-0000-0000F2060000}"/>
    <cellStyle name="SAPBEXHLevel3X 2 4 2" xfId="2520" xr:uid="{9205AB7E-B0D2-4199-A01B-26F4AE14987F}"/>
    <cellStyle name="SAPBEXHLevel3X 2 5" xfId="1814" xr:uid="{00000000-0005-0000-0000-0000F3060000}"/>
    <cellStyle name="SAPBEXHLevel3X 2 5 2" xfId="2582" xr:uid="{260DBD86-79E7-4A9D-9E47-DE4A98A73682}"/>
    <cellStyle name="SAPBEXHLevel3X 2 6" xfId="1861" xr:uid="{00000000-0005-0000-0000-0000F4060000}"/>
    <cellStyle name="SAPBEXHLevel3X 2 6 2" xfId="2627" xr:uid="{AC1D2DAC-7E78-4723-85E2-EB42EFD5F6F8}"/>
    <cellStyle name="SAPBEXHLevel3X 2 7" xfId="2132" xr:uid="{9E6CFC8F-100A-4AA5-ACA2-E2A683DEBD79}"/>
    <cellStyle name="SAPBEXHLevel3X 3" xfId="1264" xr:uid="{00000000-0005-0000-0000-0000F5060000}"/>
    <cellStyle name="SAPBEXHLevel3X 3 10" xfId="1690" xr:uid="{00000000-0005-0000-0000-0000F6060000}"/>
    <cellStyle name="SAPBEXHLevel3X 3 10 2" xfId="2458" xr:uid="{F57BC0A5-0216-4549-85B9-B10D59C8F863}"/>
    <cellStyle name="SAPBEXHLevel3X 3 11" xfId="1753" xr:uid="{00000000-0005-0000-0000-0000F7060000}"/>
    <cellStyle name="SAPBEXHLevel3X 3 11 2" xfId="2521" xr:uid="{F3B33F35-8706-44EE-992E-AD4636673849}"/>
    <cellStyle name="SAPBEXHLevel3X 3 12" xfId="1815" xr:uid="{00000000-0005-0000-0000-0000F8060000}"/>
    <cellStyle name="SAPBEXHLevel3X 3 12 2" xfId="2583" xr:uid="{2E3AA951-9180-4BFE-B5E0-53BE18DE4EC0}"/>
    <cellStyle name="SAPBEXHLevel3X 3 13" xfId="1860" xr:uid="{00000000-0005-0000-0000-0000F9060000}"/>
    <cellStyle name="SAPBEXHLevel3X 3 13 2" xfId="2626" xr:uid="{3DD53D54-19F6-4810-8F36-1C9B75B3A932}"/>
    <cellStyle name="SAPBEXHLevel3X 3 14" xfId="2133" xr:uid="{08CF4198-6301-4E4F-8EBE-384B057781AA}"/>
    <cellStyle name="SAPBEXHLevel3X 3 2" xfId="1265" xr:uid="{00000000-0005-0000-0000-0000FA060000}"/>
    <cellStyle name="SAPBEXHLevel3X 3 2 2" xfId="1604" xr:uid="{00000000-0005-0000-0000-0000FB060000}"/>
    <cellStyle name="SAPBEXHLevel3X 3 2 2 2" xfId="2375" xr:uid="{974D6040-B689-4264-9436-57EAE32F496B}"/>
    <cellStyle name="SAPBEXHLevel3X 3 2 3" xfId="1691" xr:uid="{00000000-0005-0000-0000-0000FC060000}"/>
    <cellStyle name="SAPBEXHLevel3X 3 2 3 2" xfId="2459" xr:uid="{462AECB0-7B78-4152-9201-D936061020A7}"/>
    <cellStyle name="SAPBEXHLevel3X 3 2 4" xfId="1754" xr:uid="{00000000-0005-0000-0000-0000FD060000}"/>
    <cellStyle name="SAPBEXHLevel3X 3 2 4 2" xfId="2522" xr:uid="{12837CE5-0302-4392-AC6C-379139027D96}"/>
    <cellStyle name="SAPBEXHLevel3X 3 2 5" xfId="1816" xr:uid="{00000000-0005-0000-0000-0000FE060000}"/>
    <cellStyle name="SAPBEXHLevel3X 3 2 5 2" xfId="2584" xr:uid="{B7CDF751-1A54-414C-B96D-31C94B04A932}"/>
    <cellStyle name="SAPBEXHLevel3X 3 2 6" xfId="1859" xr:uid="{00000000-0005-0000-0000-0000FF060000}"/>
    <cellStyle name="SAPBEXHLevel3X 3 2 6 2" xfId="2625" xr:uid="{0EC296B2-1C25-4CA5-818F-DB170BB3CF92}"/>
    <cellStyle name="SAPBEXHLevel3X 3 2 7" xfId="2134" xr:uid="{E63B8EA2-8B9F-41E4-869C-BF7266352067}"/>
    <cellStyle name="SAPBEXHLevel3X 3 3" xfId="1266" xr:uid="{00000000-0005-0000-0000-000000070000}"/>
    <cellStyle name="SAPBEXHLevel3X 3 3 2" xfId="1538" xr:uid="{00000000-0005-0000-0000-000001070000}"/>
    <cellStyle name="SAPBEXHLevel3X 3 3 2 2" xfId="2312" xr:uid="{49752A86-2086-46A8-B830-914209933D37}"/>
    <cellStyle name="SAPBEXHLevel3X 3 3 3" xfId="1692" xr:uid="{00000000-0005-0000-0000-000002070000}"/>
    <cellStyle name="SAPBEXHLevel3X 3 3 3 2" xfId="2460" xr:uid="{C2312F40-3DB7-4AAF-A32C-5B6EC613E9B0}"/>
    <cellStyle name="SAPBEXHLevel3X 3 3 4" xfId="1755" xr:uid="{00000000-0005-0000-0000-000003070000}"/>
    <cellStyle name="SAPBEXHLevel3X 3 3 4 2" xfId="2523" xr:uid="{DDDF46D4-A575-4CB0-850E-4D187C6CAEDC}"/>
    <cellStyle name="SAPBEXHLevel3X 3 3 5" xfId="1817" xr:uid="{00000000-0005-0000-0000-000004070000}"/>
    <cellStyle name="SAPBEXHLevel3X 3 3 5 2" xfId="2585" xr:uid="{1020D72B-98F2-4441-968D-C13815DDE8E1}"/>
    <cellStyle name="SAPBEXHLevel3X 3 3 6" xfId="1858" xr:uid="{00000000-0005-0000-0000-000005070000}"/>
    <cellStyle name="SAPBEXHLevel3X 3 3 6 2" xfId="2624" xr:uid="{DA0B5802-9FB0-45B3-9130-677426614365}"/>
    <cellStyle name="SAPBEXHLevel3X 3 3 7" xfId="2135" xr:uid="{3C44330D-CD1F-42DF-8A80-C2D3A95D22BE}"/>
    <cellStyle name="SAPBEXHLevel3X 3 4" xfId="1267" xr:uid="{00000000-0005-0000-0000-000006070000}"/>
    <cellStyle name="SAPBEXHLevel3X 3 4 2" xfId="1539" xr:uid="{00000000-0005-0000-0000-000007070000}"/>
    <cellStyle name="SAPBEXHLevel3X 3 4 2 2" xfId="2313" xr:uid="{38267FF0-B556-4224-9B5B-52D9DE7E6822}"/>
    <cellStyle name="SAPBEXHLevel3X 3 4 3" xfId="1693" xr:uid="{00000000-0005-0000-0000-000008070000}"/>
    <cellStyle name="SAPBEXHLevel3X 3 4 3 2" xfId="2461" xr:uid="{AAB3C7AF-D99D-4993-931F-16E33ABC17F2}"/>
    <cellStyle name="SAPBEXHLevel3X 3 4 4" xfId="1756" xr:uid="{00000000-0005-0000-0000-000009070000}"/>
    <cellStyle name="SAPBEXHLevel3X 3 4 4 2" xfId="2524" xr:uid="{1041272C-2973-4D92-9D93-1DC5EFE5D940}"/>
    <cellStyle name="SAPBEXHLevel3X 3 4 5" xfId="1818" xr:uid="{00000000-0005-0000-0000-00000A070000}"/>
    <cellStyle name="SAPBEXHLevel3X 3 4 5 2" xfId="2586" xr:uid="{134E7BD7-239A-405C-91B4-9C97A01EE97A}"/>
    <cellStyle name="SAPBEXHLevel3X 3 4 6" xfId="1857" xr:uid="{00000000-0005-0000-0000-00000B070000}"/>
    <cellStyle name="SAPBEXHLevel3X 3 4 6 2" xfId="2623" xr:uid="{6AB93CEC-3EDE-4AAD-9A5E-AF9218054430}"/>
    <cellStyle name="SAPBEXHLevel3X 3 4 7" xfId="2136" xr:uid="{B78DCE4A-565E-4A60-8171-1E51A5362D8A}"/>
    <cellStyle name="SAPBEXHLevel3X 3 5" xfId="1268" xr:uid="{00000000-0005-0000-0000-00000C070000}"/>
    <cellStyle name="SAPBEXHLevel3X 3 5 2" xfId="1540" xr:uid="{00000000-0005-0000-0000-00000D070000}"/>
    <cellStyle name="SAPBEXHLevel3X 3 5 2 2" xfId="2314" xr:uid="{40F20ACC-8AAA-44C5-9179-CCF4814EBD4C}"/>
    <cellStyle name="SAPBEXHLevel3X 3 5 3" xfId="1694" xr:uid="{00000000-0005-0000-0000-00000E070000}"/>
    <cellStyle name="SAPBEXHLevel3X 3 5 3 2" xfId="2462" xr:uid="{7BD6D6B5-EA02-4C95-B9C3-DD0330268FEA}"/>
    <cellStyle name="SAPBEXHLevel3X 3 5 4" xfId="1757" xr:uid="{00000000-0005-0000-0000-00000F070000}"/>
    <cellStyle name="SAPBEXHLevel3X 3 5 4 2" xfId="2525" xr:uid="{2CD06CB0-AB8D-400E-BF8D-D417158623EB}"/>
    <cellStyle name="SAPBEXHLevel3X 3 5 5" xfId="1819" xr:uid="{00000000-0005-0000-0000-000010070000}"/>
    <cellStyle name="SAPBEXHLevel3X 3 5 5 2" xfId="2587" xr:uid="{B10BF6EA-EE66-4BE0-AC5A-EC27DF011300}"/>
    <cellStyle name="SAPBEXHLevel3X 3 5 6" xfId="1856" xr:uid="{00000000-0005-0000-0000-000011070000}"/>
    <cellStyle name="SAPBEXHLevel3X 3 5 6 2" xfId="2622" xr:uid="{974BE0F0-DAC3-4F13-8F6C-C5FA6598E1F4}"/>
    <cellStyle name="SAPBEXHLevel3X 3 5 7" xfId="2137" xr:uid="{8F7441EF-F60B-4894-AC36-1FDDD4D87305}"/>
    <cellStyle name="SAPBEXHLevel3X 3 6" xfId="1269" xr:uid="{00000000-0005-0000-0000-000012070000}"/>
    <cellStyle name="SAPBEXHLevel3X 3 6 2" xfId="1541" xr:uid="{00000000-0005-0000-0000-000013070000}"/>
    <cellStyle name="SAPBEXHLevel3X 3 6 2 2" xfId="2315" xr:uid="{F9859C2A-E03E-432D-A636-BDF2120D0DC2}"/>
    <cellStyle name="SAPBEXHLevel3X 3 6 3" xfId="1695" xr:uid="{00000000-0005-0000-0000-000014070000}"/>
    <cellStyle name="SAPBEXHLevel3X 3 6 3 2" xfId="2463" xr:uid="{2F53008F-5C3E-46AA-A278-A0ADC4F10D34}"/>
    <cellStyle name="SAPBEXHLevel3X 3 6 4" xfId="1758" xr:uid="{00000000-0005-0000-0000-000015070000}"/>
    <cellStyle name="SAPBEXHLevel3X 3 6 4 2" xfId="2526" xr:uid="{FCAFC1E2-CACA-4B19-B1D4-78924B66CDA0}"/>
    <cellStyle name="SAPBEXHLevel3X 3 6 5" xfId="1820" xr:uid="{00000000-0005-0000-0000-000016070000}"/>
    <cellStyle name="SAPBEXHLevel3X 3 6 5 2" xfId="2588" xr:uid="{745FE375-74BB-4FCD-865B-68BC86CBBC0A}"/>
    <cellStyle name="SAPBEXHLevel3X 3 6 6" xfId="1855" xr:uid="{00000000-0005-0000-0000-000017070000}"/>
    <cellStyle name="SAPBEXHLevel3X 3 6 6 2" xfId="2621" xr:uid="{E400CF6C-B80D-4CBB-8D91-E375D84F02F8}"/>
    <cellStyle name="SAPBEXHLevel3X 3 6 7" xfId="2138" xr:uid="{B3974942-CD6F-4D4C-B272-C756F041C67E}"/>
    <cellStyle name="SAPBEXHLevel3X 3 7" xfId="1270" xr:uid="{00000000-0005-0000-0000-000018070000}"/>
    <cellStyle name="SAPBEXHLevel3X 3 7 2" xfId="1542" xr:uid="{00000000-0005-0000-0000-000019070000}"/>
    <cellStyle name="SAPBEXHLevel3X 3 7 2 2" xfId="2316" xr:uid="{8E075A6C-82DA-405F-8419-92429D9B514C}"/>
    <cellStyle name="SAPBEXHLevel3X 3 7 3" xfId="1696" xr:uid="{00000000-0005-0000-0000-00001A070000}"/>
    <cellStyle name="SAPBEXHLevel3X 3 7 3 2" xfId="2464" xr:uid="{9791CD9D-588D-463F-8EB6-D6DEB2E7FB81}"/>
    <cellStyle name="SAPBEXHLevel3X 3 7 4" xfId="1759" xr:uid="{00000000-0005-0000-0000-00001B070000}"/>
    <cellStyle name="SAPBEXHLevel3X 3 7 4 2" xfId="2527" xr:uid="{A35B2F2E-E291-4470-A82B-06243C2A367E}"/>
    <cellStyle name="SAPBEXHLevel3X 3 7 5" xfId="1821" xr:uid="{00000000-0005-0000-0000-00001C070000}"/>
    <cellStyle name="SAPBEXHLevel3X 3 7 5 2" xfId="2589" xr:uid="{0311734A-91F4-4962-9648-00A13CC7013B}"/>
    <cellStyle name="SAPBEXHLevel3X 3 7 6" xfId="1854" xr:uid="{00000000-0005-0000-0000-00001D070000}"/>
    <cellStyle name="SAPBEXHLevel3X 3 7 6 2" xfId="2620" xr:uid="{A98C0D9F-233E-44B9-B52C-3144FCB7D18B}"/>
    <cellStyle name="SAPBEXHLevel3X 3 7 7" xfId="2139" xr:uid="{2114820F-8808-4F9B-AE99-79A9ABA7F527}"/>
    <cellStyle name="SAPBEXHLevel3X 3 8" xfId="1271" xr:uid="{00000000-0005-0000-0000-00001E070000}"/>
    <cellStyle name="SAPBEXHLevel3X 3 8 2" xfId="1544" xr:uid="{00000000-0005-0000-0000-00001F070000}"/>
    <cellStyle name="SAPBEXHLevel3X 3 8 2 2" xfId="2318" xr:uid="{39A356ED-E93B-491C-B212-4EB1AA30604F}"/>
    <cellStyle name="SAPBEXHLevel3X 3 8 3" xfId="1697" xr:uid="{00000000-0005-0000-0000-000020070000}"/>
    <cellStyle name="SAPBEXHLevel3X 3 8 3 2" xfId="2465" xr:uid="{CE64F0D0-7D96-4946-AFFF-28F9870CC61A}"/>
    <cellStyle name="SAPBEXHLevel3X 3 8 4" xfId="1760" xr:uid="{00000000-0005-0000-0000-000021070000}"/>
    <cellStyle name="SAPBEXHLevel3X 3 8 4 2" xfId="2528" xr:uid="{39FB56E3-ED4E-4564-AF95-6DC0D5613902}"/>
    <cellStyle name="SAPBEXHLevel3X 3 8 5" xfId="1822" xr:uid="{00000000-0005-0000-0000-000022070000}"/>
    <cellStyle name="SAPBEXHLevel3X 3 8 5 2" xfId="2590" xr:uid="{9A41F6F4-2476-45FB-B177-8F0712D67182}"/>
    <cellStyle name="SAPBEXHLevel3X 3 8 6" xfId="1853" xr:uid="{00000000-0005-0000-0000-000023070000}"/>
    <cellStyle name="SAPBEXHLevel3X 3 8 6 2" xfId="2619" xr:uid="{9B4B84FF-6C32-47C2-B7AA-4811B97FA209}"/>
    <cellStyle name="SAPBEXHLevel3X 3 8 7" xfId="2140" xr:uid="{F531F140-82BD-4EF7-B851-EB22FBCF88D5}"/>
    <cellStyle name="SAPBEXHLevel3X 3 9" xfId="1536" xr:uid="{00000000-0005-0000-0000-000024070000}"/>
    <cellStyle name="SAPBEXHLevel3X 3 9 2" xfId="2311" xr:uid="{B95CCE8A-4BF1-45D1-A1C2-9E05F1328D2E}"/>
    <cellStyle name="SAPBEXHLevel3X 4" xfId="1534" xr:uid="{00000000-0005-0000-0000-000025070000}"/>
    <cellStyle name="SAPBEXHLevel3X 4 2" xfId="2309" xr:uid="{B493305F-4C6B-4BD8-8CE5-D843A3526359}"/>
    <cellStyle name="SAPBEXHLevel3X 5" xfId="1688" xr:uid="{00000000-0005-0000-0000-000026070000}"/>
    <cellStyle name="SAPBEXHLevel3X 5 2" xfId="2456" xr:uid="{64D82C1E-7493-4358-8BEE-ABE1AF0014DC}"/>
    <cellStyle name="SAPBEXHLevel3X 6" xfId="1751" xr:uid="{00000000-0005-0000-0000-000027070000}"/>
    <cellStyle name="SAPBEXHLevel3X 6 2" xfId="2519" xr:uid="{C7E202B7-8B30-4AC1-8799-E76A994A3B0C}"/>
    <cellStyle name="SAPBEXHLevel3X 7" xfId="1813" xr:uid="{00000000-0005-0000-0000-000028070000}"/>
    <cellStyle name="SAPBEXHLevel3X 7 2" xfId="2581" xr:uid="{0D219171-1455-4DEA-917C-F2173F63D1E4}"/>
    <cellStyle name="SAPBEXHLevel3X 8" xfId="1862" xr:uid="{00000000-0005-0000-0000-000029070000}"/>
    <cellStyle name="SAPBEXHLevel3X 8 2" xfId="2628" xr:uid="{7BFBBCF1-F49B-471A-9294-319178B1B03F}"/>
    <cellStyle name="SAPBEXHLevel3X 9" xfId="2131" xr:uid="{B7A24166-6D86-46DD-BE28-E3A20D116803}"/>
    <cellStyle name="SAPBEXHLevel3X_0910 GSO Capex RRP - Final (Detail) v2 220710" xfId="1272" xr:uid="{00000000-0005-0000-0000-00002A070000}"/>
    <cellStyle name="SAPBEXinputData" xfId="1273" xr:uid="{00000000-0005-0000-0000-00002B070000}"/>
    <cellStyle name="SAPBEXinputData 2" xfId="1274" xr:uid="{00000000-0005-0000-0000-00002C070000}"/>
    <cellStyle name="SAPBEXinputData 2 2" xfId="1581" xr:uid="{00000000-0005-0000-0000-00002D070000}"/>
    <cellStyle name="SAPBEXinputData 3" xfId="1275" xr:uid="{00000000-0005-0000-0000-00002E070000}"/>
    <cellStyle name="SAPBEXinputData 3 2" xfId="1276" xr:uid="{00000000-0005-0000-0000-00002F070000}"/>
    <cellStyle name="SAPBEXinputData 3 3" xfId="1277" xr:uid="{00000000-0005-0000-0000-000030070000}"/>
    <cellStyle name="SAPBEXinputData 3 4" xfId="1278" xr:uid="{00000000-0005-0000-0000-000031070000}"/>
    <cellStyle name="SAPBEXinputData 3 5" xfId="1279" xr:uid="{00000000-0005-0000-0000-000032070000}"/>
    <cellStyle name="SAPBEXinputData 3 6" xfId="1280" xr:uid="{00000000-0005-0000-0000-000033070000}"/>
    <cellStyle name="SAPBEXinputData 3 7" xfId="1281" xr:uid="{00000000-0005-0000-0000-000034070000}"/>
    <cellStyle name="SAPBEXinputData 3 8" xfId="1282" xr:uid="{00000000-0005-0000-0000-000035070000}"/>
    <cellStyle name="SAPBEXinputData_0910 GSO Capex RRP - Final (Detail) v2 220710" xfId="1283" xr:uid="{00000000-0005-0000-0000-000036070000}"/>
    <cellStyle name="SAPBEXItemHeader" xfId="1284" xr:uid="{00000000-0005-0000-0000-000037070000}"/>
    <cellStyle name="SAPBEXItemHeader 2" xfId="1563" xr:uid="{00000000-0005-0000-0000-000038070000}"/>
    <cellStyle name="SAPBEXItemHeader 2 2" xfId="2337" xr:uid="{D93DD9FB-84DA-4287-87FF-029C5AE87A65}"/>
    <cellStyle name="SAPBEXItemHeader 3" xfId="1699" xr:uid="{00000000-0005-0000-0000-000039070000}"/>
    <cellStyle name="SAPBEXItemHeader 3 2" xfId="2467" xr:uid="{DF1FB4D0-55A7-433F-8D4B-D561EA015816}"/>
    <cellStyle name="SAPBEXItemHeader 4" xfId="1761" xr:uid="{00000000-0005-0000-0000-00003A070000}"/>
    <cellStyle name="SAPBEXItemHeader 4 2" xfId="2529" xr:uid="{92A3DCD5-B2C1-4AC7-869F-A58D0212BE9E}"/>
    <cellStyle name="SAPBEXItemHeader 5" xfId="1823" xr:uid="{00000000-0005-0000-0000-00003B070000}"/>
    <cellStyle name="SAPBEXItemHeader 5 2" xfId="2591" xr:uid="{C138B918-DA76-4F9F-A975-B658CE779AF3}"/>
    <cellStyle name="SAPBEXItemHeader 6" xfId="1852" xr:uid="{00000000-0005-0000-0000-00003C070000}"/>
    <cellStyle name="SAPBEXItemHeader 6 2" xfId="2618" xr:uid="{EBB7BD5F-783A-46B4-8AF6-CF0E8F06104A}"/>
    <cellStyle name="SAPBEXItemHeader 7" xfId="2141" xr:uid="{1AD0BAEB-AFAA-4B66-8899-547BBF261242}"/>
    <cellStyle name="SAPBEXresData" xfId="1285" xr:uid="{00000000-0005-0000-0000-00003D070000}"/>
    <cellStyle name="SAPBEXresData 2" xfId="1565" xr:uid="{00000000-0005-0000-0000-00003E070000}"/>
    <cellStyle name="SAPBEXresData 2 2" xfId="2339" xr:uid="{1A2F5D6C-15FF-42F1-90F0-392A89E1C812}"/>
    <cellStyle name="SAPBEXresData 3" xfId="1700" xr:uid="{00000000-0005-0000-0000-00003F070000}"/>
    <cellStyle name="SAPBEXresData 3 2" xfId="2468" xr:uid="{586D1B8A-14C7-4C02-BDE9-88DEFCF5F68C}"/>
    <cellStyle name="SAPBEXresData 4" xfId="1762" xr:uid="{00000000-0005-0000-0000-000040070000}"/>
    <cellStyle name="SAPBEXresData 4 2" xfId="2530" xr:uid="{7F4F59A2-EB63-4DA7-8846-99FD92ADB4F5}"/>
    <cellStyle name="SAPBEXresData 5" xfId="1824" xr:uid="{00000000-0005-0000-0000-000041070000}"/>
    <cellStyle name="SAPBEXresData 5 2" xfId="2592" xr:uid="{B27E8939-E288-45BD-96F2-EB029A8FA312}"/>
    <cellStyle name="SAPBEXresData 6" xfId="1851" xr:uid="{00000000-0005-0000-0000-000042070000}"/>
    <cellStyle name="SAPBEXresData 6 2" xfId="2617" xr:uid="{D543D8C3-B2E0-4815-9537-315BE2C4CDB6}"/>
    <cellStyle name="SAPBEXresData 7" xfId="2142" xr:uid="{C5356994-8232-44BA-8609-5DB4EA4E1491}"/>
    <cellStyle name="SAPBEXresDataEmph" xfId="1286" xr:uid="{00000000-0005-0000-0000-000043070000}"/>
    <cellStyle name="SAPBEXresDataEmph 2" xfId="1584" xr:uid="{00000000-0005-0000-0000-000044070000}"/>
    <cellStyle name="SAPBEXresItem" xfId="1287" xr:uid="{00000000-0005-0000-0000-000045070000}"/>
    <cellStyle name="SAPBEXresItem 2" xfId="1566" xr:uid="{00000000-0005-0000-0000-000046070000}"/>
    <cellStyle name="SAPBEXresItem 2 2" xfId="2340" xr:uid="{AE799392-C21F-4859-BCCE-F1C3FD22742A}"/>
    <cellStyle name="SAPBEXresItem 3" xfId="1701" xr:uid="{00000000-0005-0000-0000-000047070000}"/>
    <cellStyle name="SAPBEXresItem 3 2" xfId="2469" xr:uid="{F6F3FFF2-A61C-42EA-8751-D138E570612F}"/>
    <cellStyle name="SAPBEXresItem 4" xfId="1763" xr:uid="{00000000-0005-0000-0000-000048070000}"/>
    <cellStyle name="SAPBEXresItem 4 2" xfId="2531" xr:uid="{14E779EA-9458-4A49-873F-7311CAE31056}"/>
    <cellStyle name="SAPBEXresItem 5" xfId="1825" xr:uid="{00000000-0005-0000-0000-000049070000}"/>
    <cellStyle name="SAPBEXresItem 5 2" xfId="2593" xr:uid="{D3EA51D9-9FA8-4397-A793-4A22D78FA9AF}"/>
    <cellStyle name="SAPBEXresItem 6" xfId="1850" xr:uid="{00000000-0005-0000-0000-00004A070000}"/>
    <cellStyle name="SAPBEXresItem 6 2" xfId="2616" xr:uid="{CE56F292-E481-4CD3-8996-78452E36F673}"/>
    <cellStyle name="SAPBEXresItem 7" xfId="2143" xr:uid="{C6D677C1-0B5D-4DAC-81E7-375F068E0392}"/>
    <cellStyle name="SAPBEXresItemX" xfId="1288" xr:uid="{00000000-0005-0000-0000-00004B070000}"/>
    <cellStyle name="SAPBEXresItemX 2" xfId="1567" xr:uid="{00000000-0005-0000-0000-00004C070000}"/>
    <cellStyle name="SAPBEXresItemX 2 2" xfId="2341" xr:uid="{0AD160A1-B247-41CA-A7BB-135D9F0FF4CF}"/>
    <cellStyle name="SAPBEXresItemX 3" xfId="1702" xr:uid="{00000000-0005-0000-0000-00004D070000}"/>
    <cellStyle name="SAPBEXresItemX 3 2" xfId="2470" xr:uid="{7C3DB471-381A-4C90-8A2C-9741DDF2E1A2}"/>
    <cellStyle name="SAPBEXresItemX 4" xfId="1764" xr:uid="{00000000-0005-0000-0000-00004E070000}"/>
    <cellStyle name="SAPBEXresItemX 4 2" xfId="2532" xr:uid="{6A5AFE9D-9A23-4396-9A55-CD4FAAF13169}"/>
    <cellStyle name="SAPBEXresItemX 5" xfId="1826" xr:uid="{00000000-0005-0000-0000-00004F070000}"/>
    <cellStyle name="SAPBEXresItemX 5 2" xfId="2594" xr:uid="{8B078A39-7AD2-4E38-917B-F57A484FF4F0}"/>
    <cellStyle name="SAPBEXresItemX 6" xfId="1849" xr:uid="{00000000-0005-0000-0000-000050070000}"/>
    <cellStyle name="SAPBEXresItemX 6 2" xfId="2615" xr:uid="{CC0E34D0-3F11-4371-BB3D-F439DA590E17}"/>
    <cellStyle name="SAPBEXresItemX 7" xfId="2144" xr:uid="{6D5CAF6B-047F-4EED-A4FC-F089771139F9}"/>
    <cellStyle name="SAPBEXstdData" xfId="1289" xr:uid="{00000000-0005-0000-0000-000051070000}"/>
    <cellStyle name="SAPBEXstdData 10" xfId="2145" xr:uid="{8A4B2BB3-3957-4C28-9161-8BD4A93DC0C8}"/>
    <cellStyle name="SAPBEXstdData 2" xfId="1596" xr:uid="{00000000-0005-0000-0000-000052070000}"/>
    <cellStyle name="SAPBEXstdData 2 2" xfId="2367" xr:uid="{56E921F6-4AFD-4399-8044-F5C4E5AD8450}"/>
    <cellStyle name="SAPBEXstdData 3" xfId="1585" xr:uid="{00000000-0005-0000-0000-000053070000}"/>
    <cellStyle name="SAPBEXstdData 3 2" xfId="2357" xr:uid="{8E9BFACA-B436-4B99-90BF-33AF0261BC6C}"/>
    <cellStyle name="SAPBEXstdData 4" xfId="1568" xr:uid="{00000000-0005-0000-0000-000054070000}"/>
    <cellStyle name="SAPBEXstdData 4 2" xfId="2342" xr:uid="{67211540-3BF8-443E-9C73-47D5D2B0009A}"/>
    <cellStyle name="SAPBEXstdData 5" xfId="1703" xr:uid="{00000000-0005-0000-0000-000055070000}"/>
    <cellStyle name="SAPBEXstdData 5 2" xfId="2471" xr:uid="{9DC3FA57-26A0-4235-882A-6A434699F7F3}"/>
    <cellStyle name="SAPBEXstdData 6" xfId="1765" xr:uid="{00000000-0005-0000-0000-000056070000}"/>
    <cellStyle name="SAPBEXstdData 6 2" xfId="2533" xr:uid="{0BAF1D36-E8E7-411C-B4D9-A443E4E9C816}"/>
    <cellStyle name="SAPBEXstdData 7" xfId="1827" xr:uid="{00000000-0005-0000-0000-000057070000}"/>
    <cellStyle name="SAPBEXstdData 7 2" xfId="2595" xr:uid="{D941B079-2C2A-4476-B223-5180998B459F}"/>
    <cellStyle name="SAPBEXstdData 8" xfId="1848" xr:uid="{00000000-0005-0000-0000-000058070000}"/>
    <cellStyle name="SAPBEXstdData 8 2" xfId="2614" xr:uid="{DDEE48E4-F354-4370-A37B-68B96AB6E784}"/>
    <cellStyle name="SAPBEXstdData 9" xfId="1964" xr:uid="{00000000-0005-0000-0000-000059070000}"/>
    <cellStyle name="SAPBEXstdData 9 2" xfId="2730" xr:uid="{8956B0CD-4491-44CA-B60E-0179E970C4AE}"/>
    <cellStyle name="SAPBEXstdDataEmph" xfId="1290" xr:uid="{00000000-0005-0000-0000-00005A070000}"/>
    <cellStyle name="SAPBEXstdDataEmph 10" xfId="2146" xr:uid="{A3F240CC-98A5-460E-BC77-AF267C8E108B}"/>
    <cellStyle name="SAPBEXstdDataEmph 2" xfId="1597" xr:uid="{00000000-0005-0000-0000-00005B070000}"/>
    <cellStyle name="SAPBEXstdDataEmph 2 2" xfId="2368" xr:uid="{77E4A2EA-5DCE-48C1-8A26-E01021A60838}"/>
    <cellStyle name="SAPBEXstdDataEmph 3" xfId="1586" xr:uid="{00000000-0005-0000-0000-00005C070000}"/>
    <cellStyle name="SAPBEXstdDataEmph 3 2" xfId="2358" xr:uid="{A005382D-19B7-43BC-9A02-67B3B81EEE4D}"/>
    <cellStyle name="SAPBEXstdDataEmph 4" xfId="1569" xr:uid="{00000000-0005-0000-0000-00005D070000}"/>
    <cellStyle name="SAPBEXstdDataEmph 4 2" xfId="2343" xr:uid="{71F503A0-D832-40AD-BED1-4619666BB9C4}"/>
    <cellStyle name="SAPBEXstdDataEmph 5" xfId="1704" xr:uid="{00000000-0005-0000-0000-00005E070000}"/>
    <cellStyle name="SAPBEXstdDataEmph 5 2" xfId="2472" xr:uid="{77C1660A-E4E5-4D60-9DF7-D7ECE33C2F22}"/>
    <cellStyle name="SAPBEXstdDataEmph 6" xfId="1766" xr:uid="{00000000-0005-0000-0000-00005F070000}"/>
    <cellStyle name="SAPBEXstdDataEmph 6 2" xfId="2534" xr:uid="{70D7377D-36D7-4CD4-B3FD-B5460EA242ED}"/>
    <cellStyle name="SAPBEXstdDataEmph 7" xfId="1828" xr:uid="{00000000-0005-0000-0000-000060070000}"/>
    <cellStyle name="SAPBEXstdDataEmph 7 2" xfId="2596" xr:uid="{547F1ED0-9240-43E2-8DCE-D062E16CDFB9}"/>
    <cellStyle name="SAPBEXstdDataEmph 8" xfId="1847" xr:uid="{00000000-0005-0000-0000-000061070000}"/>
    <cellStyle name="SAPBEXstdDataEmph 8 2" xfId="2613" xr:uid="{9A9AD110-8A45-468F-A0C5-FF2F3ADAB24D}"/>
    <cellStyle name="SAPBEXstdDataEmph 9" xfId="1965" xr:uid="{00000000-0005-0000-0000-000062070000}"/>
    <cellStyle name="SAPBEXstdDataEmph 9 2" xfId="2731" xr:uid="{35E5786F-F8E5-4CDC-A3BA-4B15257CD4BB}"/>
    <cellStyle name="SAPBEXstdItem" xfId="1291" xr:uid="{00000000-0005-0000-0000-000063070000}"/>
    <cellStyle name="SAPBEXstdItem 10" xfId="2147" xr:uid="{259B1C1D-A249-4AA5-87F9-AE5101512F80}"/>
    <cellStyle name="SAPBEXstdItem 2" xfId="1598" xr:uid="{00000000-0005-0000-0000-000064070000}"/>
    <cellStyle name="SAPBEXstdItem 2 2" xfId="2369" xr:uid="{BE2173C0-7644-434F-B656-3613D786D13B}"/>
    <cellStyle name="SAPBEXstdItem 3" xfId="1588" xr:uid="{00000000-0005-0000-0000-000065070000}"/>
    <cellStyle name="SAPBEXstdItem 3 2" xfId="2360" xr:uid="{F6CB23C7-5F09-418A-B0FF-947EDC6F81D0}"/>
    <cellStyle name="SAPBEXstdItem 4" xfId="1571" xr:uid="{00000000-0005-0000-0000-000066070000}"/>
    <cellStyle name="SAPBEXstdItem 4 2" xfId="2345" xr:uid="{9248DFBB-EDA9-4634-85CC-9EB993E9D079}"/>
    <cellStyle name="SAPBEXstdItem 5" xfId="1705" xr:uid="{00000000-0005-0000-0000-000067070000}"/>
    <cellStyle name="SAPBEXstdItem 5 2" xfId="2473" xr:uid="{121C7CC8-0677-4191-8DC0-C8644A2433A0}"/>
    <cellStyle name="SAPBEXstdItem 6" xfId="1767" xr:uid="{00000000-0005-0000-0000-000068070000}"/>
    <cellStyle name="SAPBEXstdItem 6 2" xfId="2535" xr:uid="{077265D0-917E-40E5-AA1B-EA2588FD39E0}"/>
    <cellStyle name="SAPBEXstdItem 7" xfId="1829" xr:uid="{00000000-0005-0000-0000-000069070000}"/>
    <cellStyle name="SAPBEXstdItem 7 2" xfId="2597" xr:uid="{1EACC06C-5D91-40F9-9D9B-84231D4A8640}"/>
    <cellStyle name="SAPBEXstdItem 8" xfId="1846" xr:uid="{00000000-0005-0000-0000-00006A070000}"/>
    <cellStyle name="SAPBEXstdItem 8 2" xfId="2612" xr:uid="{D92C5EAA-746A-4507-A2CE-F4D08940B60D}"/>
    <cellStyle name="SAPBEXstdItem 9" xfId="1966" xr:uid="{00000000-0005-0000-0000-00006B070000}"/>
    <cellStyle name="SAPBEXstdItem 9 2" xfId="2732" xr:uid="{E4D18416-970A-44EB-9F59-2B444382AD15}"/>
    <cellStyle name="SAPBEXstdItemX" xfId="1292" xr:uid="{00000000-0005-0000-0000-00006C070000}"/>
    <cellStyle name="SAPBEXstdItemX 2" xfId="1572" xr:uid="{00000000-0005-0000-0000-00006D070000}"/>
    <cellStyle name="SAPBEXstdItemX 2 2" xfId="2346" xr:uid="{FDFF3306-76AD-4B41-B12E-FB581FE1CA19}"/>
    <cellStyle name="SAPBEXstdItemX 3" xfId="1706" xr:uid="{00000000-0005-0000-0000-00006E070000}"/>
    <cellStyle name="SAPBEXstdItemX 3 2" xfId="2474" xr:uid="{EE052265-FD1F-4C01-B7D9-35A2390A96BD}"/>
    <cellStyle name="SAPBEXstdItemX 4" xfId="1768" xr:uid="{00000000-0005-0000-0000-00006F070000}"/>
    <cellStyle name="SAPBEXstdItemX 4 2" xfId="2536" xr:uid="{669C2D11-A306-4B22-B8D9-9C2A5ADE842E}"/>
    <cellStyle name="SAPBEXstdItemX 5" xfId="1830" xr:uid="{00000000-0005-0000-0000-000070070000}"/>
    <cellStyle name="SAPBEXstdItemX 5 2" xfId="2598" xr:uid="{20727070-296B-472D-B603-F2C6E2EB97C5}"/>
    <cellStyle name="SAPBEXstdItemX 6" xfId="1845" xr:uid="{00000000-0005-0000-0000-000071070000}"/>
    <cellStyle name="SAPBEXstdItemX 6 2" xfId="2611" xr:uid="{2DC664A2-F60B-47A4-99F1-DCD968D58392}"/>
    <cellStyle name="SAPBEXstdItemX 7" xfId="2148" xr:uid="{C3FAA223-07B1-411E-80B7-F10C82A999E1}"/>
    <cellStyle name="SAPBEXtitle" xfId="1293" xr:uid="{00000000-0005-0000-0000-000072070000}"/>
    <cellStyle name="SAPBEXtitle 2" xfId="1573" xr:uid="{00000000-0005-0000-0000-000073070000}"/>
    <cellStyle name="SAPBEXtitle 2 2" xfId="2347" xr:uid="{6B9AF45D-0FBF-4BF5-8671-0CFCF0EA1531}"/>
    <cellStyle name="SAPBEXtitle 3" xfId="1707" xr:uid="{00000000-0005-0000-0000-000074070000}"/>
    <cellStyle name="SAPBEXtitle 3 2" xfId="2475" xr:uid="{5A68E97E-9F18-4571-920C-3AA66FD1C81D}"/>
    <cellStyle name="SAPBEXtitle 4" xfId="1769" xr:uid="{00000000-0005-0000-0000-000075070000}"/>
    <cellStyle name="SAPBEXtitle 4 2" xfId="2537" xr:uid="{2D62C5A9-DB4E-4145-AABD-A0349BEC1672}"/>
    <cellStyle name="SAPBEXtitle 5" xfId="1844" xr:uid="{00000000-0005-0000-0000-000076070000}"/>
    <cellStyle name="SAPBEXtitle 5 2" xfId="2610" xr:uid="{BB4AE290-B0B3-4B4E-89E4-89D6A17482E6}"/>
    <cellStyle name="SAPBEXtitle 6" xfId="2149" xr:uid="{B91C81B0-24B0-4B0B-8207-A62A031A8C33}"/>
    <cellStyle name="SAPBEXunassignedItem" xfId="1294" xr:uid="{00000000-0005-0000-0000-000077070000}"/>
    <cellStyle name="SAPBEXunassignedItem 2" xfId="1589" xr:uid="{00000000-0005-0000-0000-000078070000}"/>
    <cellStyle name="SAPBEXundefined" xfId="1295" xr:uid="{00000000-0005-0000-0000-000079070000}"/>
    <cellStyle name="SAPBEXundefined 10" xfId="2150" xr:uid="{C971496D-33A9-4896-BD3D-8BDEC92806CF}"/>
    <cellStyle name="SAPBEXundefined 2" xfId="1600" xr:uid="{00000000-0005-0000-0000-00007A070000}"/>
    <cellStyle name="SAPBEXundefined 2 2" xfId="2371" xr:uid="{722447E9-FDAF-4639-88D8-075A488EBAA7}"/>
    <cellStyle name="SAPBEXundefined 3" xfId="1590" xr:uid="{00000000-0005-0000-0000-00007B070000}"/>
    <cellStyle name="SAPBEXundefined 3 2" xfId="2361" xr:uid="{C157643A-B41F-4528-9A94-1C6DDEC9411E}"/>
    <cellStyle name="SAPBEXundefined 4" xfId="1575" xr:uid="{00000000-0005-0000-0000-00007C070000}"/>
    <cellStyle name="SAPBEXundefined 4 2" xfId="2349" xr:uid="{8726C9F9-2226-47E0-ACB4-5DD013218A71}"/>
    <cellStyle name="SAPBEXundefined 5" xfId="1708" xr:uid="{00000000-0005-0000-0000-00007D070000}"/>
    <cellStyle name="SAPBEXundefined 5 2" xfId="2476" xr:uid="{C3A97ADD-5F1F-4E9E-BA1B-7CCB6E83744F}"/>
    <cellStyle name="SAPBEXundefined 6" xfId="1770" xr:uid="{00000000-0005-0000-0000-00007E070000}"/>
    <cellStyle name="SAPBEXundefined 6 2" xfId="2538" xr:uid="{1D169C14-001F-4AC5-ABAA-1E28DACD162D}"/>
    <cellStyle name="SAPBEXundefined 7" xfId="1831" xr:uid="{00000000-0005-0000-0000-00007F070000}"/>
    <cellStyle name="SAPBEXundefined 7 2" xfId="2599" xr:uid="{FE9B19A1-3F87-4775-8482-946B26F2DA3A}"/>
    <cellStyle name="SAPBEXundefined 8" xfId="1843" xr:uid="{00000000-0005-0000-0000-000080070000}"/>
    <cellStyle name="SAPBEXundefined 8 2" xfId="2609" xr:uid="{6D9058EC-A4FA-4A1B-AB45-289DB0BF4928}"/>
    <cellStyle name="SAPBEXundefined 9" xfId="1967" xr:uid="{00000000-0005-0000-0000-000081070000}"/>
    <cellStyle name="SAPBEXundefined 9 2" xfId="2733" xr:uid="{753CC026-95FE-4851-92FA-097DE1CC9834}"/>
    <cellStyle name="Sheet Title" xfId="1296" xr:uid="{00000000-0005-0000-0000-000082070000}"/>
    <cellStyle name="Standard_Anpassen der Amortisation" xfId="1297" xr:uid="{00000000-0005-0000-0000-000083070000}"/>
    <cellStyle name="Style 1" xfId="1298" xr:uid="{00000000-0005-0000-0000-000084070000}"/>
    <cellStyle name="Sub-total" xfId="1299" xr:uid="{00000000-0005-0000-0000-000085070000}"/>
    <cellStyle name="Sub-total 2" xfId="1646" xr:uid="{00000000-0005-0000-0000-000086070000}"/>
    <cellStyle name="Sub-total 2 2" xfId="2414" xr:uid="{9B16EC41-C7F9-4D52-B791-F823EFE1ADC0}"/>
    <cellStyle name="Sub-total 3" xfId="1576" xr:uid="{00000000-0005-0000-0000-000087070000}"/>
    <cellStyle name="Sub-total 3 2" xfId="2350" xr:uid="{E9AA92D2-23B2-48AB-A877-A3A5CDAD3AD4}"/>
    <cellStyle name="Sub-total 4" xfId="1709" xr:uid="{00000000-0005-0000-0000-000088070000}"/>
    <cellStyle name="Sub-total 4 2" xfId="2477" xr:uid="{6D50EFDA-8CB9-44EC-9BA6-8CF3278C4ADA}"/>
    <cellStyle name="Sub-total 5" xfId="1771" xr:uid="{00000000-0005-0000-0000-000089070000}"/>
    <cellStyle name="Sub-total 5 2" xfId="2539" xr:uid="{3A2A56E1-C48F-4E3C-81B8-E7D4EB83298D}"/>
    <cellStyle name="Sub-total 6" xfId="1832" xr:uid="{00000000-0005-0000-0000-00008A070000}"/>
    <cellStyle name="Sub-total 6 2" xfId="2600" xr:uid="{7CE23BAD-9BA3-4F27-80A1-4B3CBA07D4F9}"/>
    <cellStyle name="Sub-total 7" xfId="1842" xr:uid="{00000000-0005-0000-0000-00008B070000}"/>
    <cellStyle name="Sub-total 7 2" xfId="2608" xr:uid="{A291AD7D-EB14-4474-A71B-B12419A8A35E}"/>
    <cellStyle name="Sub-total 8" xfId="2151" xr:uid="{664883E5-482A-4073-9436-EEDC126E752B}"/>
    <cellStyle name="swpBody01" xfId="1300" xr:uid="{00000000-0005-0000-0000-00008C070000}"/>
    <cellStyle name="Title 2" xfId="1301" xr:uid="{00000000-0005-0000-0000-00008D070000}"/>
    <cellStyle name="Title 3" xfId="1302" xr:uid="{00000000-0005-0000-0000-00008E070000}"/>
    <cellStyle name="Total 1" xfId="1303" xr:uid="{00000000-0005-0000-0000-00008F070000}"/>
    <cellStyle name="Total 1 2" xfId="1594" xr:uid="{00000000-0005-0000-0000-000090070000}"/>
    <cellStyle name="Total 1 2 2" xfId="2365" xr:uid="{6B7DADC2-A17A-4693-9487-5021DF3076BC}"/>
    <cellStyle name="Total 1 3" xfId="1578" xr:uid="{00000000-0005-0000-0000-000091070000}"/>
    <cellStyle name="Total 1 3 2" xfId="2352" xr:uid="{383F4D9C-E9F4-4BB9-967D-5F2CDCAA8223}"/>
    <cellStyle name="Total 1 4" xfId="1710" xr:uid="{00000000-0005-0000-0000-000092070000}"/>
    <cellStyle name="Total 1 4 2" xfId="2478" xr:uid="{04012DFC-69C3-4F85-9721-4D3296ABC651}"/>
    <cellStyle name="Total 1 5" xfId="1772" xr:uid="{00000000-0005-0000-0000-000093070000}"/>
    <cellStyle name="Total 1 5 2" xfId="2540" xr:uid="{CCF015FB-7E81-476D-BC52-C1F60263E5DF}"/>
    <cellStyle name="Total 1 6" xfId="1833" xr:uid="{00000000-0005-0000-0000-000094070000}"/>
    <cellStyle name="Total 1 7" xfId="1841" xr:uid="{00000000-0005-0000-0000-000095070000}"/>
    <cellStyle name="Total 1 7 2" xfId="2607" xr:uid="{4508BD39-3B5D-4212-9871-FB0A2E29FFC7}"/>
    <cellStyle name="Total 2" xfId="1304" xr:uid="{00000000-0005-0000-0000-000096070000}"/>
    <cellStyle name="Total 2 2" xfId="1579" xr:uid="{00000000-0005-0000-0000-000097070000}"/>
    <cellStyle name="Total 2 2 2" xfId="2353" xr:uid="{3CB103EB-3A03-4B44-BFD4-04FA9B8B39C3}"/>
    <cellStyle name="Total 2 3" xfId="1711" xr:uid="{00000000-0005-0000-0000-000098070000}"/>
    <cellStyle name="Total 2 3 2" xfId="2479" xr:uid="{08914BE2-5C47-4587-A7EC-C42B0C102F64}"/>
    <cellStyle name="Total 2 4" xfId="1773" xr:uid="{00000000-0005-0000-0000-000099070000}"/>
    <cellStyle name="Total 2 4 2" xfId="2541" xr:uid="{9545A876-5C31-44EB-959A-8F20A45FDC73}"/>
    <cellStyle name="Total 2 5" xfId="1834" xr:uid="{00000000-0005-0000-0000-00009A070000}"/>
    <cellStyle name="Total 2 5 2" xfId="2601" xr:uid="{29D2AB13-A3C1-4D04-98E1-8F7282948C5B}"/>
    <cellStyle name="Total 2 6" xfId="1840" xr:uid="{00000000-0005-0000-0000-00009B070000}"/>
    <cellStyle name="Total 2 6 2" xfId="2606" xr:uid="{73098105-D4F2-4493-ACC9-A8F6CB006A2D}"/>
    <cellStyle name="Total 2 7" xfId="2152" xr:uid="{8682404F-4F83-403E-8D49-1B737F5EDD09}"/>
    <cellStyle name="Total 3" xfId="1305" xr:uid="{00000000-0005-0000-0000-00009C070000}"/>
    <cellStyle name="Total 3 2" xfId="1580" xr:uid="{00000000-0005-0000-0000-00009D070000}"/>
    <cellStyle name="Total 3 2 2" xfId="2354" xr:uid="{8CC2609F-E60A-4B9F-A272-FDDFABDA943C}"/>
    <cellStyle name="Total 3 3" xfId="1712" xr:uid="{00000000-0005-0000-0000-00009E070000}"/>
    <cellStyle name="Total 3 3 2" xfId="2480" xr:uid="{F4BEB4BB-2B3A-4417-A374-9882CE91BD6C}"/>
    <cellStyle name="Total 3 4" xfId="1774" xr:uid="{00000000-0005-0000-0000-00009F070000}"/>
    <cellStyle name="Total 3 4 2" xfId="2542" xr:uid="{D7F40679-9A50-4AE3-ACAD-2FE84D682E56}"/>
    <cellStyle name="Total 3 5" xfId="1835" xr:uid="{00000000-0005-0000-0000-0000A0070000}"/>
    <cellStyle name="Total 3 5 2" xfId="2602" xr:uid="{14DE6A94-5A6C-483E-9884-47C35124A136}"/>
    <cellStyle name="Total 3 6" xfId="1839" xr:uid="{00000000-0005-0000-0000-0000A1070000}"/>
    <cellStyle name="Total 3 6 2" xfId="2605" xr:uid="{A7BA0023-64DF-470F-A367-FCA613018D91}"/>
    <cellStyle name="Total 3 7" xfId="2153" xr:uid="{FFE8031C-C9D5-4826-9FA9-B260AA96B71B}"/>
    <cellStyle name="Totals" xfId="1306" xr:uid="{00000000-0005-0000-0000-0000A2070000}"/>
    <cellStyle name="Währung [0]_Compiling Utility Macros" xfId="1307" xr:uid="{00000000-0005-0000-0000-0000A3070000}"/>
    <cellStyle name="Währung_Compiling Utility Macros" xfId="1308" xr:uid="{00000000-0005-0000-0000-0000A4070000}"/>
    <cellStyle name="Warning Text 2" xfId="1309" xr:uid="{00000000-0005-0000-0000-0000A5070000}"/>
    <cellStyle name="Warning Text 3" xfId="1310" xr:uid="{00000000-0005-0000-0000-0000A6070000}"/>
    <cellStyle name="Yellow" xfId="1311" xr:uid="{00000000-0005-0000-0000-0000A7070000}"/>
    <cellStyle name="Yellow 2" xfId="1312" xr:uid="{00000000-0005-0000-0000-0000A8070000}"/>
    <cellStyle name="Yellow 2 2" xfId="1313" xr:uid="{00000000-0005-0000-0000-0000A9070000}"/>
    <cellStyle name="Yellow 2 3" xfId="1314" xr:uid="{00000000-0005-0000-0000-0000AA070000}"/>
    <cellStyle name="Yellow 2 4" xfId="1315" xr:uid="{00000000-0005-0000-0000-0000AB070000}"/>
    <cellStyle name="Yellow 2 5" xfId="1316" xr:uid="{00000000-0005-0000-0000-0000AC070000}"/>
    <cellStyle name="Yellow 2 6" xfId="1317" xr:uid="{00000000-0005-0000-0000-0000AD070000}"/>
    <cellStyle name="Yellow 2 7" xfId="1318" xr:uid="{00000000-0005-0000-0000-0000AE070000}"/>
    <cellStyle name="Yellow 2 8" xfId="1319" xr:uid="{00000000-0005-0000-0000-0000AF070000}"/>
  </cellStyles>
  <dxfs count="0"/>
  <tableStyles count="0" defaultTableStyle="TableStyleMedium2" defaultPivotStyle="PivotStyleLight16"/>
  <colors>
    <mruColors>
      <color rgb="FFDCE6F1"/>
      <color rgb="FFA1ABB2"/>
      <color rgb="FF00B2BF"/>
      <color rgb="FF2062AF"/>
      <color rgb="FFCD1525"/>
      <color rgb="FFD0B00E"/>
      <color rgb="FF45216F"/>
      <color rgb="FFA1ABC6"/>
      <color rgb="FFCD1543"/>
      <color rgb="FF00C6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sz="1400" b="1" i="0" baseline="0">
                <a:solidFill>
                  <a:schemeClr val="tx1"/>
                </a:solidFill>
                <a:effectLst/>
              </a:rPr>
              <a:t>SSO survey</a:t>
            </a:r>
            <a:endParaRPr lang="en-US" sz="1400" b="1">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1641094863142107"/>
          <c:y val="0.16747623903326325"/>
          <c:w val="0.866657834437362"/>
          <c:h val="0.62448392872634395"/>
        </c:manualLayout>
      </c:layout>
      <c:barChart>
        <c:barDir val="col"/>
        <c:grouping val="clustered"/>
        <c:varyColors val="0"/>
        <c:ser>
          <c:idx val="3"/>
          <c:order val="0"/>
          <c:tx>
            <c:strRef>
              <c:f>'Incentives - charts '!$B$7</c:f>
              <c:strCache>
                <c:ptCount val="1"/>
                <c:pt idx="0">
                  <c:v>2017-18</c:v>
                </c:pt>
              </c:strCache>
            </c:strRef>
          </c:tx>
          <c:spPr>
            <a:solidFill>
              <a:srgbClr val="2062AF"/>
            </a:solidFill>
            <a:ln>
              <a:noFill/>
            </a:ln>
            <a:effectLst/>
          </c:spPr>
          <c:invertIfNegative val="0"/>
          <c:cat>
            <c:strRef>
              <c:f>'Incentives - charts '!$C$6:$E$6</c:f>
              <c:strCache>
                <c:ptCount val="3"/>
                <c:pt idx="0">
                  <c:v>SPT</c:v>
                </c:pt>
                <c:pt idx="1">
                  <c:v>SHET</c:v>
                </c:pt>
                <c:pt idx="2">
                  <c:v>NGET</c:v>
                </c:pt>
              </c:strCache>
            </c:strRef>
          </c:cat>
          <c:val>
            <c:numRef>
              <c:f>'Incentives - charts '!$C$7:$E$7</c:f>
              <c:numCache>
                <c:formatCode>0.0</c:formatCode>
                <c:ptCount val="3"/>
                <c:pt idx="0">
                  <c:v>8.3000000000000007</c:v>
                </c:pt>
                <c:pt idx="1">
                  <c:v>8</c:v>
                </c:pt>
                <c:pt idx="2">
                  <c:v>7.883</c:v>
                </c:pt>
              </c:numCache>
            </c:numRef>
          </c:val>
          <c:extLst>
            <c:ext xmlns:c16="http://schemas.microsoft.com/office/drawing/2014/chart" uri="{C3380CC4-5D6E-409C-BE32-E72D297353CC}">
              <c16:uniqueId val="{00000000-4DCE-4642-B194-887F3D1D5EDD}"/>
            </c:ext>
          </c:extLst>
        </c:ser>
        <c:ser>
          <c:idx val="4"/>
          <c:order val="1"/>
          <c:tx>
            <c:strRef>
              <c:f>'Incentives - charts '!$B$8</c:f>
              <c:strCache>
                <c:ptCount val="1"/>
                <c:pt idx="0">
                  <c:v>2018-19</c:v>
                </c:pt>
              </c:strCache>
            </c:strRef>
          </c:tx>
          <c:spPr>
            <a:solidFill>
              <a:srgbClr val="00ABB2"/>
            </a:solidFill>
            <a:ln>
              <a:noFill/>
            </a:ln>
            <a:effectLst/>
          </c:spPr>
          <c:invertIfNegative val="0"/>
          <c:dPt>
            <c:idx val="0"/>
            <c:invertIfNegative val="0"/>
            <c:bubble3D val="0"/>
            <c:spPr>
              <a:solidFill>
                <a:srgbClr val="00B2BF"/>
              </a:solidFill>
              <a:ln>
                <a:noFill/>
              </a:ln>
              <a:effectLst/>
            </c:spPr>
            <c:extLst>
              <c:ext xmlns:c16="http://schemas.microsoft.com/office/drawing/2014/chart" uri="{C3380CC4-5D6E-409C-BE32-E72D297353CC}">
                <c16:uniqueId val="{00000001-63F2-4460-ADF1-BCE73B27E22E}"/>
              </c:ext>
            </c:extLst>
          </c:dPt>
          <c:cat>
            <c:strRef>
              <c:f>'Incentives - charts '!$C$6:$E$6</c:f>
              <c:strCache>
                <c:ptCount val="3"/>
                <c:pt idx="0">
                  <c:v>SPT</c:v>
                </c:pt>
                <c:pt idx="1">
                  <c:v>SHET</c:v>
                </c:pt>
                <c:pt idx="2">
                  <c:v>NGET</c:v>
                </c:pt>
              </c:strCache>
            </c:strRef>
          </c:cat>
          <c:val>
            <c:numRef>
              <c:f>'Incentives - charts '!$C$8:$E$8</c:f>
              <c:numCache>
                <c:formatCode>0.0</c:formatCode>
                <c:ptCount val="3"/>
                <c:pt idx="0">
                  <c:v>8.5</c:v>
                </c:pt>
                <c:pt idx="1">
                  <c:v>8.1999999999999993</c:v>
                </c:pt>
                <c:pt idx="2">
                  <c:v>7.9189999999999996</c:v>
                </c:pt>
              </c:numCache>
            </c:numRef>
          </c:val>
          <c:extLst>
            <c:ext xmlns:c16="http://schemas.microsoft.com/office/drawing/2014/chart" uri="{C3380CC4-5D6E-409C-BE32-E72D297353CC}">
              <c16:uniqueId val="{00000001-4DCE-4642-B194-887F3D1D5EDD}"/>
            </c:ext>
          </c:extLst>
        </c:ser>
        <c:ser>
          <c:idx val="5"/>
          <c:order val="2"/>
          <c:tx>
            <c:strRef>
              <c:f>'Incentives - charts '!$B$9</c:f>
              <c:strCache>
                <c:ptCount val="1"/>
                <c:pt idx="0">
                  <c:v>2019-20</c:v>
                </c:pt>
              </c:strCache>
            </c:strRef>
          </c:tx>
          <c:spPr>
            <a:solidFill>
              <a:srgbClr val="A1ABB2"/>
            </a:solidFill>
            <a:ln>
              <a:noFill/>
            </a:ln>
            <a:effectLst/>
          </c:spPr>
          <c:invertIfNegative val="0"/>
          <c:cat>
            <c:strRef>
              <c:f>'Incentives - charts '!$C$6:$E$6</c:f>
              <c:strCache>
                <c:ptCount val="3"/>
                <c:pt idx="0">
                  <c:v>SPT</c:v>
                </c:pt>
                <c:pt idx="1">
                  <c:v>SHET</c:v>
                </c:pt>
                <c:pt idx="2">
                  <c:v>NGET</c:v>
                </c:pt>
              </c:strCache>
            </c:strRef>
          </c:cat>
          <c:val>
            <c:numRef>
              <c:f>'Incentives - charts '!$C$9:$E$9</c:f>
              <c:numCache>
                <c:formatCode>0.0</c:formatCode>
                <c:ptCount val="3"/>
                <c:pt idx="0">
                  <c:v>8.5</c:v>
                </c:pt>
                <c:pt idx="1">
                  <c:v>8.4</c:v>
                </c:pt>
                <c:pt idx="2">
                  <c:v>8.64</c:v>
                </c:pt>
              </c:numCache>
            </c:numRef>
          </c:val>
          <c:extLst>
            <c:ext xmlns:c16="http://schemas.microsoft.com/office/drawing/2014/chart" uri="{C3380CC4-5D6E-409C-BE32-E72D297353CC}">
              <c16:uniqueId val="{00000002-4DCE-4642-B194-887F3D1D5EDD}"/>
            </c:ext>
          </c:extLst>
        </c:ser>
        <c:dLbls>
          <c:showLegendKey val="0"/>
          <c:showVal val="0"/>
          <c:showCatName val="0"/>
          <c:showSerName val="0"/>
          <c:showPercent val="0"/>
          <c:showBubbleSize val="0"/>
        </c:dLbls>
        <c:gapWidth val="219"/>
        <c:overlap val="-27"/>
        <c:axId val="861874448"/>
        <c:axId val="861873792"/>
      </c:barChart>
      <c:catAx>
        <c:axId val="861874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861873792"/>
        <c:crosses val="autoZero"/>
        <c:auto val="1"/>
        <c:lblAlgn val="ctr"/>
        <c:lblOffset val="100"/>
        <c:noMultiLvlLbl val="0"/>
      </c:catAx>
      <c:valAx>
        <c:axId val="8618737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Score out of 10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61874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'8-year TO forecast'!$AT$6</c:f>
              <c:strCache>
                <c:ptCount val="1"/>
                <c:pt idx="0">
                  <c:v>Actual expenditure</c:v>
                </c:pt>
              </c:strCache>
            </c:strRef>
          </c:tx>
          <c:spPr>
            <a:solidFill>
              <a:schemeClr val="accent1"/>
            </a:solidFill>
            <a:ln>
              <a:noFill/>
            </a:ln>
            <a:effectLst/>
          </c:spPr>
          <c:invertIfNegative val="0"/>
          <c:dPt>
            <c:idx val="0"/>
            <c:invertIfNegative val="0"/>
            <c:bubble3D val="0"/>
            <c:spPr>
              <a:solidFill>
                <a:srgbClr val="F57F29"/>
              </a:solidFill>
              <a:ln>
                <a:noFill/>
              </a:ln>
              <a:effectLst/>
            </c:spPr>
            <c:extLst>
              <c:ext xmlns:c16="http://schemas.microsoft.com/office/drawing/2014/chart" uri="{C3380CC4-5D6E-409C-BE32-E72D297353CC}">
                <c16:uniqueId val="{00000000-5E4F-4B55-AEAD-9F4319013AA1}"/>
              </c:ext>
            </c:extLst>
          </c:dPt>
          <c:dPt>
            <c:idx val="1"/>
            <c:invertIfNegative val="0"/>
            <c:bubble3D val="0"/>
            <c:spPr>
              <a:solidFill>
                <a:srgbClr val="45216F"/>
              </a:solidFill>
              <a:ln>
                <a:noFill/>
              </a:ln>
              <a:effectLst/>
            </c:spPr>
            <c:extLst>
              <c:ext xmlns:c16="http://schemas.microsoft.com/office/drawing/2014/chart" uri="{C3380CC4-5D6E-409C-BE32-E72D297353CC}">
                <c16:uniqueId val="{00000001-5E4F-4B55-AEAD-9F4319013AA1}"/>
              </c:ext>
            </c:extLst>
          </c:dPt>
          <c:dPt>
            <c:idx val="2"/>
            <c:invertIfNegative val="0"/>
            <c:bubble3D val="0"/>
            <c:spPr>
              <a:solidFill>
                <a:srgbClr val="D0B00E"/>
              </a:solidFill>
              <a:ln>
                <a:noFill/>
              </a:ln>
              <a:effectLst/>
            </c:spPr>
            <c:extLst>
              <c:ext xmlns:c16="http://schemas.microsoft.com/office/drawing/2014/chart" uri="{C3380CC4-5D6E-409C-BE32-E72D297353CC}">
                <c16:uniqueId val="{00000002-5E4F-4B55-AEAD-9F4319013AA1}"/>
              </c:ext>
            </c:extLst>
          </c:dPt>
          <c:dPt>
            <c:idx val="3"/>
            <c:invertIfNegative val="0"/>
            <c:bubble3D val="0"/>
            <c:spPr>
              <a:solidFill>
                <a:srgbClr val="CD1543"/>
              </a:solidFill>
              <a:ln>
                <a:noFill/>
              </a:ln>
              <a:effectLst/>
            </c:spPr>
            <c:extLst>
              <c:ext xmlns:c16="http://schemas.microsoft.com/office/drawing/2014/chart" uri="{C3380CC4-5D6E-409C-BE32-E72D297353CC}">
                <c16:uniqueId val="{00000003-5E4F-4B55-AEAD-9F4319013AA1}"/>
              </c:ext>
            </c:extLst>
          </c:dPt>
          <c:dPt>
            <c:idx val="4"/>
            <c:invertIfNegative val="0"/>
            <c:bubble3D val="0"/>
            <c:spPr>
              <a:solidFill>
                <a:srgbClr val="2062AF"/>
              </a:solidFill>
              <a:ln>
                <a:noFill/>
              </a:ln>
              <a:effectLst/>
            </c:spPr>
            <c:extLst>
              <c:ext xmlns:c16="http://schemas.microsoft.com/office/drawing/2014/chart" uri="{C3380CC4-5D6E-409C-BE32-E72D297353CC}">
                <c16:uniqueId val="{00000004-5E4F-4B55-AEAD-9F4319013AA1}"/>
              </c:ext>
            </c:extLst>
          </c:dPt>
          <c:dPt>
            <c:idx val="5"/>
            <c:invertIfNegative val="0"/>
            <c:bubble3D val="0"/>
            <c:spPr>
              <a:solidFill>
                <a:srgbClr val="00B2BF"/>
              </a:solidFill>
              <a:ln>
                <a:noFill/>
              </a:ln>
              <a:effectLst/>
            </c:spPr>
            <c:extLst>
              <c:ext xmlns:c16="http://schemas.microsoft.com/office/drawing/2014/chart" uri="{C3380CC4-5D6E-409C-BE32-E72D297353CC}">
                <c16:uniqueId val="{00000005-5E4F-4B55-AEAD-9F4319013AA1}"/>
              </c:ext>
            </c:extLst>
          </c:dPt>
          <c:dPt>
            <c:idx val="6"/>
            <c:invertIfNegative val="0"/>
            <c:bubble3D val="0"/>
            <c:spPr>
              <a:solidFill>
                <a:srgbClr val="A1ABB2"/>
              </a:solidFill>
              <a:ln>
                <a:noFill/>
              </a:ln>
              <a:effectLst/>
            </c:spPr>
            <c:extLst>
              <c:ext xmlns:c16="http://schemas.microsoft.com/office/drawing/2014/chart" uri="{C3380CC4-5D6E-409C-BE32-E72D297353CC}">
                <c16:uniqueId val="{00000011-687A-4CCD-8016-8ABBC2EF27F9}"/>
              </c:ext>
            </c:extLst>
          </c:dPt>
          <c:cat>
            <c:numRef>
              <c:f>'8-year TO forecast'!$AU$5:$BB$5</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forecast'!$AU$6:$BB$6</c:f>
              <c:numCache>
                <c:formatCode>0</c:formatCode>
                <c:ptCount val="8"/>
                <c:pt idx="0">
                  <c:v>201.46679721949295</c:v>
                </c:pt>
                <c:pt idx="1">
                  <c:v>383.30854529452893</c:v>
                </c:pt>
                <c:pt idx="2">
                  <c:v>586.88690418985493</c:v>
                </c:pt>
                <c:pt idx="3">
                  <c:v>506.28603081089432</c:v>
                </c:pt>
                <c:pt idx="4">
                  <c:v>455.6066645297301</c:v>
                </c:pt>
                <c:pt idx="5">
                  <c:v>354.30505395978389</c:v>
                </c:pt>
                <c:pt idx="6">
                  <c:v>368.77111621122066</c:v>
                </c:pt>
              </c:numCache>
            </c:numRef>
          </c:val>
          <c:extLst>
            <c:ext xmlns:c16="http://schemas.microsoft.com/office/drawing/2014/chart" uri="{C3380CC4-5D6E-409C-BE32-E72D297353CC}">
              <c16:uniqueId val="{00000000-68DC-4CE4-BEFA-1686D1491982}"/>
            </c:ext>
          </c:extLst>
        </c:ser>
        <c:ser>
          <c:idx val="1"/>
          <c:order val="1"/>
          <c:tx>
            <c:strRef>
              <c:f>'8-year TO forecast'!$AT$7</c:f>
              <c:strCache>
                <c:ptCount val="1"/>
                <c:pt idx="0">
                  <c:v>Forecast expenditure</c:v>
                </c:pt>
              </c:strCache>
            </c:strRef>
          </c:tx>
          <c:spPr>
            <a:solidFill>
              <a:schemeClr val="accent2"/>
            </a:solidFill>
            <a:ln>
              <a:noFill/>
            </a:ln>
            <a:effectLst/>
          </c:spPr>
          <c:invertIfNegative val="0"/>
          <c:dPt>
            <c:idx val="6"/>
            <c:invertIfNegative val="0"/>
            <c:bubble3D val="0"/>
            <c:spPr>
              <a:solidFill>
                <a:srgbClr val="A1ABA8"/>
              </a:solidFill>
              <a:ln>
                <a:noFill/>
              </a:ln>
              <a:effectLst/>
            </c:spPr>
            <c:extLst>
              <c:ext xmlns:c16="http://schemas.microsoft.com/office/drawing/2014/chart" uri="{C3380CC4-5D6E-409C-BE32-E72D297353CC}">
                <c16:uniqueId val="{00000006-5E4F-4B55-AEAD-9F4319013AA1}"/>
              </c:ext>
            </c:extLst>
          </c:dPt>
          <c:dPt>
            <c:idx val="7"/>
            <c:invertIfNegative val="0"/>
            <c:bubble3D val="0"/>
            <c:spPr>
              <a:solidFill>
                <a:srgbClr val="A28F5C"/>
              </a:solidFill>
              <a:ln>
                <a:noFill/>
              </a:ln>
              <a:effectLst/>
            </c:spPr>
            <c:extLst>
              <c:ext xmlns:c16="http://schemas.microsoft.com/office/drawing/2014/chart" uri="{C3380CC4-5D6E-409C-BE32-E72D297353CC}">
                <c16:uniqueId val="{00000007-5E4F-4B55-AEAD-9F4319013AA1}"/>
              </c:ext>
            </c:extLst>
          </c:dPt>
          <c:cat>
            <c:numRef>
              <c:f>'8-year TO forecast'!$AU$5:$BB$5</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forecast'!$AU$7:$BB$7</c:f>
              <c:numCache>
                <c:formatCode>General</c:formatCode>
                <c:ptCount val="8"/>
                <c:pt idx="7" formatCode="#,##0.0;[Red]\(#,##0.0\)">
                  <c:v>503.5792214125488</c:v>
                </c:pt>
              </c:numCache>
            </c:numRef>
          </c:val>
          <c:extLst>
            <c:ext xmlns:c16="http://schemas.microsoft.com/office/drawing/2014/chart" uri="{C3380CC4-5D6E-409C-BE32-E72D297353CC}">
              <c16:uniqueId val="{00000001-68DC-4CE4-BEFA-1686D1491982}"/>
            </c:ext>
          </c:extLst>
        </c:ser>
        <c:dLbls>
          <c:showLegendKey val="0"/>
          <c:showVal val="0"/>
          <c:showCatName val="0"/>
          <c:showSerName val="0"/>
          <c:showPercent val="0"/>
          <c:showBubbleSize val="0"/>
        </c:dLbls>
        <c:gapWidth val="150"/>
        <c:axId val="957595680"/>
        <c:axId val="957596008"/>
      </c:barChart>
      <c:lineChart>
        <c:grouping val="standard"/>
        <c:varyColors val="0"/>
        <c:ser>
          <c:idx val="2"/>
          <c:order val="2"/>
          <c:tx>
            <c:strRef>
              <c:f>'8-year TO forecast'!$AT$8</c:f>
              <c:strCache>
                <c:ptCount val="1"/>
                <c:pt idx="0">
                  <c:v>Forecast adjusted allowance</c:v>
                </c:pt>
              </c:strCache>
            </c:strRef>
          </c:tx>
          <c:spPr>
            <a:ln w="28575" cap="rnd">
              <a:solidFill>
                <a:schemeClr val="tx1"/>
              </a:solidFill>
              <a:round/>
            </a:ln>
            <a:effectLst/>
          </c:spPr>
          <c:marker>
            <c:symbol val="none"/>
          </c:marker>
          <c:cat>
            <c:numRef>
              <c:f>'8-year TO forecast'!$AU$5:$BB$5</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forecast'!$AU$8:$BB$8</c:f>
              <c:numCache>
                <c:formatCode>0.0</c:formatCode>
                <c:ptCount val="8"/>
                <c:pt idx="0">
                  <c:v>270.77214511443947</c:v>
                </c:pt>
                <c:pt idx="1">
                  <c:v>474.66532001474621</c:v>
                </c:pt>
                <c:pt idx="2">
                  <c:v>899.19320432599261</c:v>
                </c:pt>
                <c:pt idx="3">
                  <c:v>733.75794233344709</c:v>
                </c:pt>
                <c:pt idx="4">
                  <c:v>439.52845066845015</c:v>
                </c:pt>
                <c:pt idx="5">
                  <c:v>235.33019812921148</c:v>
                </c:pt>
                <c:pt idx="6">
                  <c:v>274.32560639276636</c:v>
                </c:pt>
                <c:pt idx="7">
                  <c:v>369.6493048512026</c:v>
                </c:pt>
              </c:numCache>
            </c:numRef>
          </c:val>
          <c:smooth val="0"/>
          <c:extLst>
            <c:ext xmlns:c16="http://schemas.microsoft.com/office/drawing/2014/chart" uri="{C3380CC4-5D6E-409C-BE32-E72D297353CC}">
              <c16:uniqueId val="{00000002-68DC-4CE4-BEFA-1686D1491982}"/>
            </c:ext>
          </c:extLst>
        </c:ser>
        <c:dLbls>
          <c:showLegendKey val="0"/>
          <c:showVal val="0"/>
          <c:showCatName val="0"/>
          <c:showSerName val="0"/>
          <c:showPercent val="0"/>
          <c:showBubbleSize val="0"/>
        </c:dLbls>
        <c:marker val="1"/>
        <c:smooth val="0"/>
        <c:axId val="957595680"/>
        <c:axId val="957596008"/>
      </c:lineChart>
      <c:catAx>
        <c:axId val="957595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7596008"/>
        <c:crosses val="autoZero"/>
        <c:auto val="1"/>
        <c:lblAlgn val="ctr"/>
        <c:lblOffset val="100"/>
        <c:noMultiLvlLbl val="0"/>
      </c:catAx>
      <c:valAx>
        <c:axId val="957596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a:t>
                </a:r>
                <a:r>
                  <a:rPr lang="en-GB" baseline="0"/>
                  <a:t> 2019/20 prices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7595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NGET TO</a:t>
            </a:r>
          </a:p>
        </c:rich>
      </c:tx>
      <c:layout>
        <c:manualLayout>
          <c:xMode val="edge"/>
          <c:yMode val="edge"/>
          <c:x val="0.42339962192032782"/>
          <c:y val="4.778158423333131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'8-year TO forecast'!$R$39</c:f>
              <c:strCache>
                <c:ptCount val="1"/>
                <c:pt idx="0">
                  <c:v>Actual expenditure</c:v>
                </c:pt>
              </c:strCache>
            </c:strRef>
          </c:tx>
          <c:spPr>
            <a:solidFill>
              <a:schemeClr val="accent1"/>
            </a:solidFill>
            <a:ln>
              <a:noFill/>
            </a:ln>
            <a:effectLst/>
          </c:spPr>
          <c:invertIfNegative val="0"/>
          <c:dPt>
            <c:idx val="0"/>
            <c:invertIfNegative val="0"/>
            <c:bubble3D val="0"/>
            <c:spPr>
              <a:solidFill>
                <a:srgbClr val="F57F29"/>
              </a:solidFill>
              <a:ln>
                <a:noFill/>
              </a:ln>
              <a:effectLst/>
            </c:spPr>
            <c:extLst>
              <c:ext xmlns:c16="http://schemas.microsoft.com/office/drawing/2014/chart" uri="{C3380CC4-5D6E-409C-BE32-E72D297353CC}">
                <c16:uniqueId val="{00000000-EBC2-40FB-AB0E-9AD068C658AD}"/>
              </c:ext>
            </c:extLst>
          </c:dPt>
          <c:dPt>
            <c:idx val="1"/>
            <c:invertIfNegative val="0"/>
            <c:bubble3D val="0"/>
            <c:spPr>
              <a:solidFill>
                <a:srgbClr val="45216F"/>
              </a:solidFill>
              <a:ln>
                <a:noFill/>
              </a:ln>
              <a:effectLst/>
            </c:spPr>
            <c:extLst>
              <c:ext xmlns:c16="http://schemas.microsoft.com/office/drawing/2014/chart" uri="{C3380CC4-5D6E-409C-BE32-E72D297353CC}">
                <c16:uniqueId val="{00000001-EBC2-40FB-AB0E-9AD068C658AD}"/>
              </c:ext>
            </c:extLst>
          </c:dPt>
          <c:dPt>
            <c:idx val="2"/>
            <c:invertIfNegative val="0"/>
            <c:bubble3D val="0"/>
            <c:spPr>
              <a:solidFill>
                <a:srgbClr val="D0B00E"/>
              </a:solidFill>
              <a:ln>
                <a:noFill/>
              </a:ln>
              <a:effectLst/>
            </c:spPr>
            <c:extLst>
              <c:ext xmlns:c16="http://schemas.microsoft.com/office/drawing/2014/chart" uri="{C3380CC4-5D6E-409C-BE32-E72D297353CC}">
                <c16:uniqueId val="{00000002-EBC2-40FB-AB0E-9AD068C658AD}"/>
              </c:ext>
            </c:extLst>
          </c:dPt>
          <c:dPt>
            <c:idx val="3"/>
            <c:invertIfNegative val="0"/>
            <c:bubble3D val="0"/>
            <c:spPr>
              <a:solidFill>
                <a:srgbClr val="CD151B"/>
              </a:solidFill>
              <a:ln>
                <a:noFill/>
              </a:ln>
              <a:effectLst/>
            </c:spPr>
            <c:extLst>
              <c:ext xmlns:c16="http://schemas.microsoft.com/office/drawing/2014/chart" uri="{C3380CC4-5D6E-409C-BE32-E72D297353CC}">
                <c16:uniqueId val="{00000003-EBC2-40FB-AB0E-9AD068C658AD}"/>
              </c:ext>
            </c:extLst>
          </c:dPt>
          <c:dPt>
            <c:idx val="4"/>
            <c:invertIfNegative val="0"/>
            <c:bubble3D val="0"/>
            <c:spPr>
              <a:solidFill>
                <a:srgbClr val="2062AF"/>
              </a:solidFill>
              <a:ln>
                <a:noFill/>
              </a:ln>
              <a:effectLst/>
            </c:spPr>
            <c:extLst>
              <c:ext xmlns:c16="http://schemas.microsoft.com/office/drawing/2014/chart" uri="{C3380CC4-5D6E-409C-BE32-E72D297353CC}">
                <c16:uniqueId val="{00000004-EBC2-40FB-AB0E-9AD068C658AD}"/>
              </c:ext>
            </c:extLst>
          </c:dPt>
          <c:dPt>
            <c:idx val="5"/>
            <c:invertIfNegative val="0"/>
            <c:bubble3D val="0"/>
            <c:spPr>
              <a:solidFill>
                <a:srgbClr val="00B2BF"/>
              </a:solidFill>
              <a:ln>
                <a:noFill/>
              </a:ln>
              <a:effectLst/>
            </c:spPr>
            <c:extLst>
              <c:ext xmlns:c16="http://schemas.microsoft.com/office/drawing/2014/chart" uri="{C3380CC4-5D6E-409C-BE32-E72D297353CC}">
                <c16:uniqueId val="{00000005-EBC2-40FB-AB0E-9AD068C658AD}"/>
              </c:ext>
            </c:extLst>
          </c:dPt>
          <c:cat>
            <c:numRef>
              <c:f>'8-year TO forecast'!$S$38:$Z$38</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forecast'!$S$39:$Z$39</c:f>
              <c:numCache>
                <c:formatCode>0</c:formatCode>
                <c:ptCount val="8"/>
                <c:pt idx="0">
                  <c:v>1622.770117654024</c:v>
                </c:pt>
                <c:pt idx="1">
                  <c:v>1218.4507402939655</c:v>
                </c:pt>
                <c:pt idx="2">
                  <c:v>1309.2853822727789</c:v>
                </c:pt>
                <c:pt idx="3">
                  <c:v>1225.5059178957749</c:v>
                </c:pt>
                <c:pt idx="4">
                  <c:v>1128.0476967056607</c:v>
                </c:pt>
                <c:pt idx="5">
                  <c:v>1083.5107879866378</c:v>
                </c:pt>
                <c:pt idx="6">
                  <c:v>1063.9872337747354</c:v>
                </c:pt>
              </c:numCache>
            </c:numRef>
          </c:val>
          <c:extLst>
            <c:ext xmlns:c16="http://schemas.microsoft.com/office/drawing/2014/chart" uri="{C3380CC4-5D6E-409C-BE32-E72D297353CC}">
              <c16:uniqueId val="{00000000-A5C3-48BA-BDD9-42AB92914FA0}"/>
            </c:ext>
          </c:extLst>
        </c:ser>
        <c:ser>
          <c:idx val="1"/>
          <c:order val="1"/>
          <c:tx>
            <c:strRef>
              <c:f>'8-year TO forecast'!$R$40</c:f>
              <c:strCache>
                <c:ptCount val="1"/>
                <c:pt idx="0">
                  <c:v>Forecast expenditure</c:v>
                </c:pt>
              </c:strCache>
            </c:strRef>
          </c:tx>
          <c:spPr>
            <a:solidFill>
              <a:schemeClr val="accent2"/>
            </a:solidFill>
            <a:ln>
              <a:noFill/>
            </a:ln>
            <a:effectLst/>
          </c:spPr>
          <c:invertIfNegative val="0"/>
          <c:dPt>
            <c:idx val="6"/>
            <c:invertIfNegative val="0"/>
            <c:bubble3D val="0"/>
            <c:spPr>
              <a:solidFill>
                <a:srgbClr val="A1ABA8"/>
              </a:solidFill>
              <a:ln>
                <a:noFill/>
              </a:ln>
              <a:effectLst/>
            </c:spPr>
            <c:extLst>
              <c:ext xmlns:c16="http://schemas.microsoft.com/office/drawing/2014/chart" uri="{C3380CC4-5D6E-409C-BE32-E72D297353CC}">
                <c16:uniqueId val="{00000006-EBC2-40FB-AB0E-9AD068C658AD}"/>
              </c:ext>
            </c:extLst>
          </c:dPt>
          <c:dPt>
            <c:idx val="7"/>
            <c:invertIfNegative val="0"/>
            <c:bubble3D val="0"/>
            <c:spPr>
              <a:solidFill>
                <a:srgbClr val="A28F5C"/>
              </a:solidFill>
              <a:ln>
                <a:noFill/>
              </a:ln>
              <a:effectLst/>
            </c:spPr>
            <c:extLst>
              <c:ext xmlns:c16="http://schemas.microsoft.com/office/drawing/2014/chart" uri="{C3380CC4-5D6E-409C-BE32-E72D297353CC}">
                <c16:uniqueId val="{00000007-EBC2-40FB-AB0E-9AD068C658AD}"/>
              </c:ext>
            </c:extLst>
          </c:dPt>
          <c:cat>
            <c:numRef>
              <c:f>'8-year TO forecast'!$S$38:$Z$38</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forecast'!$S$40:$Z$40</c:f>
              <c:numCache>
                <c:formatCode>General</c:formatCode>
                <c:ptCount val="8"/>
                <c:pt idx="7" formatCode="#,##0;[Red]\(#,##0\)">
                  <c:v>1430.0419944778055</c:v>
                </c:pt>
              </c:numCache>
            </c:numRef>
          </c:val>
          <c:extLst>
            <c:ext xmlns:c16="http://schemas.microsoft.com/office/drawing/2014/chart" uri="{C3380CC4-5D6E-409C-BE32-E72D297353CC}">
              <c16:uniqueId val="{00000001-A5C3-48BA-BDD9-42AB92914FA0}"/>
            </c:ext>
          </c:extLst>
        </c:ser>
        <c:dLbls>
          <c:showLegendKey val="0"/>
          <c:showVal val="0"/>
          <c:showCatName val="0"/>
          <c:showSerName val="0"/>
          <c:showPercent val="0"/>
          <c:showBubbleSize val="0"/>
        </c:dLbls>
        <c:gapWidth val="219"/>
        <c:overlap val="-27"/>
        <c:axId val="811119504"/>
        <c:axId val="811125408"/>
      </c:barChart>
      <c:lineChart>
        <c:grouping val="standard"/>
        <c:varyColors val="0"/>
        <c:ser>
          <c:idx val="2"/>
          <c:order val="2"/>
          <c:tx>
            <c:strRef>
              <c:f>'8-year TO forecast'!$R$41</c:f>
              <c:strCache>
                <c:ptCount val="1"/>
                <c:pt idx="0">
                  <c:v>Forecast adjusted allowance</c:v>
                </c:pt>
              </c:strCache>
            </c:strRef>
          </c:tx>
          <c:spPr>
            <a:ln w="28575" cap="rnd">
              <a:solidFill>
                <a:schemeClr val="tx1"/>
              </a:solidFill>
              <a:round/>
            </a:ln>
            <a:effectLst/>
          </c:spPr>
          <c:marker>
            <c:symbol val="none"/>
          </c:marker>
          <c:cat>
            <c:numRef>
              <c:f>'8-year TO forecast'!$S$38:$Z$38</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forecast'!$S$41:$Z$41</c:f>
              <c:numCache>
                <c:formatCode>0</c:formatCode>
                <c:ptCount val="8"/>
                <c:pt idx="0">
                  <c:v>2149.9317895510944</c:v>
                </c:pt>
                <c:pt idx="1">
                  <c:v>1849.8430098833621</c:v>
                </c:pt>
                <c:pt idx="2">
                  <c:v>1538.7701747989515</c:v>
                </c:pt>
                <c:pt idx="3">
                  <c:v>1416.8188820961454</c:v>
                </c:pt>
                <c:pt idx="4">
                  <c:v>1405.3978312770003</c:v>
                </c:pt>
                <c:pt idx="5">
                  <c:v>1631.6572237537666</c:v>
                </c:pt>
                <c:pt idx="6">
                  <c:v>1817.7280150253164</c:v>
                </c:pt>
                <c:pt idx="7">
                  <c:v>1756.3719199435959</c:v>
                </c:pt>
              </c:numCache>
            </c:numRef>
          </c:val>
          <c:smooth val="0"/>
          <c:extLst>
            <c:ext xmlns:c16="http://schemas.microsoft.com/office/drawing/2014/chart" uri="{C3380CC4-5D6E-409C-BE32-E72D297353CC}">
              <c16:uniqueId val="{00000002-A5C3-48BA-BDD9-42AB92914FA0}"/>
            </c:ext>
          </c:extLst>
        </c:ser>
        <c:dLbls>
          <c:showLegendKey val="0"/>
          <c:showVal val="0"/>
          <c:showCatName val="0"/>
          <c:showSerName val="0"/>
          <c:showPercent val="0"/>
          <c:showBubbleSize val="0"/>
        </c:dLbls>
        <c:marker val="1"/>
        <c:smooth val="0"/>
        <c:axId val="811119504"/>
        <c:axId val="811125408"/>
      </c:lineChart>
      <c:catAx>
        <c:axId val="811119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1125408"/>
        <c:crosses val="autoZero"/>
        <c:auto val="1"/>
        <c:lblAlgn val="ctr"/>
        <c:lblOffset val="100"/>
        <c:noMultiLvlLbl val="0"/>
      </c:catAx>
      <c:valAx>
        <c:axId val="811125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a:t>
                </a:r>
                <a:r>
                  <a:rPr lang="en-GB" baseline="0"/>
                  <a:t> 2019/20 prices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11195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'8-year TO forecast'!$AT$32</c:f>
              <c:strCache>
                <c:ptCount val="1"/>
                <c:pt idx="0">
                  <c:v>Actual expenditure</c:v>
                </c:pt>
              </c:strCache>
            </c:strRef>
          </c:tx>
          <c:spPr>
            <a:solidFill>
              <a:schemeClr val="accent1"/>
            </a:solidFill>
            <a:ln>
              <a:noFill/>
            </a:ln>
            <a:effectLst/>
          </c:spPr>
          <c:invertIfNegative val="0"/>
          <c:dPt>
            <c:idx val="0"/>
            <c:invertIfNegative val="0"/>
            <c:bubble3D val="0"/>
            <c:spPr>
              <a:solidFill>
                <a:srgbClr val="F57F29"/>
              </a:solidFill>
              <a:ln>
                <a:noFill/>
              </a:ln>
              <a:effectLst/>
            </c:spPr>
            <c:extLst>
              <c:ext xmlns:c16="http://schemas.microsoft.com/office/drawing/2014/chart" uri="{C3380CC4-5D6E-409C-BE32-E72D297353CC}">
                <c16:uniqueId val="{00000000-1343-4933-A8DA-F6097ABBAB57}"/>
              </c:ext>
            </c:extLst>
          </c:dPt>
          <c:dPt>
            <c:idx val="1"/>
            <c:invertIfNegative val="0"/>
            <c:bubble3D val="0"/>
            <c:spPr>
              <a:solidFill>
                <a:srgbClr val="45216F"/>
              </a:solidFill>
              <a:ln>
                <a:noFill/>
              </a:ln>
              <a:effectLst/>
            </c:spPr>
            <c:extLst>
              <c:ext xmlns:c16="http://schemas.microsoft.com/office/drawing/2014/chart" uri="{C3380CC4-5D6E-409C-BE32-E72D297353CC}">
                <c16:uniqueId val="{00000001-1343-4933-A8DA-F6097ABBAB57}"/>
              </c:ext>
            </c:extLst>
          </c:dPt>
          <c:dPt>
            <c:idx val="2"/>
            <c:invertIfNegative val="0"/>
            <c:bubble3D val="0"/>
            <c:spPr>
              <a:solidFill>
                <a:srgbClr val="D0B00E"/>
              </a:solidFill>
              <a:ln>
                <a:noFill/>
              </a:ln>
              <a:effectLst/>
            </c:spPr>
            <c:extLst>
              <c:ext xmlns:c16="http://schemas.microsoft.com/office/drawing/2014/chart" uri="{C3380CC4-5D6E-409C-BE32-E72D297353CC}">
                <c16:uniqueId val="{00000002-1343-4933-A8DA-F6097ABBAB57}"/>
              </c:ext>
            </c:extLst>
          </c:dPt>
          <c:dPt>
            <c:idx val="3"/>
            <c:invertIfNegative val="0"/>
            <c:bubble3D val="0"/>
            <c:spPr>
              <a:solidFill>
                <a:srgbClr val="CD151B"/>
              </a:solidFill>
              <a:ln>
                <a:noFill/>
              </a:ln>
              <a:effectLst/>
            </c:spPr>
            <c:extLst>
              <c:ext xmlns:c16="http://schemas.microsoft.com/office/drawing/2014/chart" uri="{C3380CC4-5D6E-409C-BE32-E72D297353CC}">
                <c16:uniqueId val="{00000003-1343-4933-A8DA-F6097ABBAB57}"/>
              </c:ext>
            </c:extLst>
          </c:dPt>
          <c:dPt>
            <c:idx val="4"/>
            <c:invertIfNegative val="0"/>
            <c:bubble3D val="0"/>
            <c:spPr>
              <a:solidFill>
                <a:srgbClr val="2062AF"/>
              </a:solidFill>
              <a:ln>
                <a:noFill/>
              </a:ln>
              <a:effectLst/>
            </c:spPr>
            <c:extLst>
              <c:ext xmlns:c16="http://schemas.microsoft.com/office/drawing/2014/chart" uri="{C3380CC4-5D6E-409C-BE32-E72D297353CC}">
                <c16:uniqueId val="{00000004-1343-4933-A8DA-F6097ABBAB57}"/>
              </c:ext>
            </c:extLst>
          </c:dPt>
          <c:dPt>
            <c:idx val="5"/>
            <c:invertIfNegative val="0"/>
            <c:bubble3D val="0"/>
            <c:spPr>
              <a:solidFill>
                <a:srgbClr val="00B2BF"/>
              </a:solidFill>
              <a:ln>
                <a:noFill/>
              </a:ln>
              <a:effectLst/>
            </c:spPr>
            <c:extLst>
              <c:ext xmlns:c16="http://schemas.microsoft.com/office/drawing/2014/chart" uri="{C3380CC4-5D6E-409C-BE32-E72D297353CC}">
                <c16:uniqueId val="{00000005-1343-4933-A8DA-F6097ABBAB57}"/>
              </c:ext>
            </c:extLst>
          </c:dPt>
          <c:dPt>
            <c:idx val="6"/>
            <c:invertIfNegative val="0"/>
            <c:bubble3D val="0"/>
            <c:spPr>
              <a:solidFill>
                <a:srgbClr val="A1ABB2"/>
              </a:solidFill>
              <a:ln>
                <a:noFill/>
              </a:ln>
              <a:effectLst/>
            </c:spPr>
            <c:extLst>
              <c:ext xmlns:c16="http://schemas.microsoft.com/office/drawing/2014/chart" uri="{C3380CC4-5D6E-409C-BE32-E72D297353CC}">
                <c16:uniqueId val="{00000011-2574-4341-976F-5EA65DE7B55B}"/>
              </c:ext>
            </c:extLst>
          </c:dPt>
          <c:cat>
            <c:numRef>
              <c:f>'8-year TO forecast'!$AU$31:$BB$31</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forecast'!$AU$32:$BB$32</c:f>
              <c:numCache>
                <c:formatCode>0</c:formatCode>
                <c:ptCount val="8"/>
                <c:pt idx="0">
                  <c:v>201.46679721949295</c:v>
                </c:pt>
                <c:pt idx="1">
                  <c:v>383.30854529452893</c:v>
                </c:pt>
                <c:pt idx="2">
                  <c:v>586.88690418985493</c:v>
                </c:pt>
                <c:pt idx="3">
                  <c:v>506.28603081089432</c:v>
                </c:pt>
                <c:pt idx="4">
                  <c:v>455.6066645297301</c:v>
                </c:pt>
                <c:pt idx="5">
                  <c:v>354.30505395978389</c:v>
                </c:pt>
                <c:pt idx="6">
                  <c:v>368.77111621122066</c:v>
                </c:pt>
              </c:numCache>
            </c:numRef>
          </c:val>
          <c:extLst>
            <c:ext xmlns:c16="http://schemas.microsoft.com/office/drawing/2014/chart" uri="{C3380CC4-5D6E-409C-BE32-E72D297353CC}">
              <c16:uniqueId val="{00000000-8BFE-4282-8D6B-8103D1A33509}"/>
            </c:ext>
          </c:extLst>
        </c:ser>
        <c:ser>
          <c:idx val="1"/>
          <c:order val="1"/>
          <c:tx>
            <c:strRef>
              <c:f>'8-year TO forecast'!$AT$33</c:f>
              <c:strCache>
                <c:ptCount val="1"/>
                <c:pt idx="0">
                  <c:v>Forecast expenditure</c:v>
                </c:pt>
              </c:strCache>
            </c:strRef>
          </c:tx>
          <c:spPr>
            <a:solidFill>
              <a:schemeClr val="accent2"/>
            </a:solidFill>
            <a:ln>
              <a:noFill/>
            </a:ln>
            <a:effectLst/>
          </c:spPr>
          <c:invertIfNegative val="0"/>
          <c:dPt>
            <c:idx val="6"/>
            <c:invertIfNegative val="0"/>
            <c:bubble3D val="0"/>
            <c:spPr>
              <a:solidFill>
                <a:srgbClr val="A1ABA8"/>
              </a:solidFill>
              <a:ln>
                <a:noFill/>
              </a:ln>
              <a:effectLst/>
            </c:spPr>
            <c:extLst>
              <c:ext xmlns:c16="http://schemas.microsoft.com/office/drawing/2014/chart" uri="{C3380CC4-5D6E-409C-BE32-E72D297353CC}">
                <c16:uniqueId val="{00000006-1343-4933-A8DA-F6097ABBAB57}"/>
              </c:ext>
            </c:extLst>
          </c:dPt>
          <c:dPt>
            <c:idx val="7"/>
            <c:invertIfNegative val="0"/>
            <c:bubble3D val="0"/>
            <c:spPr>
              <a:solidFill>
                <a:srgbClr val="A28F5C"/>
              </a:solidFill>
              <a:ln>
                <a:noFill/>
              </a:ln>
              <a:effectLst/>
            </c:spPr>
            <c:extLst>
              <c:ext xmlns:c16="http://schemas.microsoft.com/office/drawing/2014/chart" uri="{C3380CC4-5D6E-409C-BE32-E72D297353CC}">
                <c16:uniqueId val="{00000007-1343-4933-A8DA-F6097ABBAB57}"/>
              </c:ext>
            </c:extLst>
          </c:dPt>
          <c:cat>
            <c:numRef>
              <c:f>'8-year TO forecast'!$AU$31:$BB$31</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forecast'!$AU$33:$BB$33</c:f>
              <c:numCache>
                <c:formatCode>General</c:formatCode>
                <c:ptCount val="8"/>
                <c:pt idx="7" formatCode="#,##0.0;[Red]\(#,##0.0\)">
                  <c:v>503.5792214125488</c:v>
                </c:pt>
              </c:numCache>
            </c:numRef>
          </c:val>
          <c:extLst>
            <c:ext xmlns:c16="http://schemas.microsoft.com/office/drawing/2014/chart" uri="{C3380CC4-5D6E-409C-BE32-E72D297353CC}">
              <c16:uniqueId val="{00000001-8BFE-4282-8D6B-8103D1A33509}"/>
            </c:ext>
          </c:extLst>
        </c:ser>
        <c:dLbls>
          <c:showLegendKey val="0"/>
          <c:showVal val="0"/>
          <c:showCatName val="0"/>
          <c:showSerName val="0"/>
          <c:showPercent val="0"/>
          <c:showBubbleSize val="0"/>
        </c:dLbls>
        <c:gapWidth val="219"/>
        <c:overlap val="-27"/>
        <c:axId val="813276416"/>
        <c:axId val="813278384"/>
      </c:barChart>
      <c:lineChart>
        <c:grouping val="standard"/>
        <c:varyColors val="0"/>
        <c:ser>
          <c:idx val="2"/>
          <c:order val="2"/>
          <c:tx>
            <c:strRef>
              <c:f>'8-year TO forecast'!$AT$34</c:f>
              <c:strCache>
                <c:ptCount val="1"/>
                <c:pt idx="0">
                  <c:v>Forecast adjusted allowance</c:v>
                </c:pt>
              </c:strCache>
            </c:strRef>
          </c:tx>
          <c:spPr>
            <a:ln w="28575" cap="rnd">
              <a:solidFill>
                <a:schemeClr val="tx1"/>
              </a:solidFill>
              <a:round/>
            </a:ln>
            <a:effectLst/>
          </c:spPr>
          <c:marker>
            <c:symbol val="none"/>
          </c:marker>
          <c:cat>
            <c:numRef>
              <c:f>'8-year TO forecast'!$AU$31:$BB$31</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forecast'!$AU$34:$BB$34</c:f>
              <c:numCache>
                <c:formatCode>0.0</c:formatCode>
                <c:ptCount val="8"/>
                <c:pt idx="0">
                  <c:v>270.77214511443947</c:v>
                </c:pt>
                <c:pt idx="1">
                  <c:v>474.66532001474621</c:v>
                </c:pt>
                <c:pt idx="2">
                  <c:v>899.19320432599261</c:v>
                </c:pt>
                <c:pt idx="3">
                  <c:v>733.75794233344709</c:v>
                </c:pt>
                <c:pt idx="4">
                  <c:v>439.52845066845015</c:v>
                </c:pt>
                <c:pt idx="5">
                  <c:v>235.33019812921148</c:v>
                </c:pt>
                <c:pt idx="6">
                  <c:v>242.34735822008724</c:v>
                </c:pt>
                <c:pt idx="7">
                  <c:v>337.67105667852348</c:v>
                </c:pt>
              </c:numCache>
            </c:numRef>
          </c:val>
          <c:smooth val="0"/>
          <c:extLst>
            <c:ext xmlns:c16="http://schemas.microsoft.com/office/drawing/2014/chart" uri="{C3380CC4-5D6E-409C-BE32-E72D297353CC}">
              <c16:uniqueId val="{00000002-8BFE-4282-8D6B-8103D1A33509}"/>
            </c:ext>
          </c:extLst>
        </c:ser>
        <c:dLbls>
          <c:showLegendKey val="0"/>
          <c:showVal val="0"/>
          <c:showCatName val="0"/>
          <c:showSerName val="0"/>
          <c:showPercent val="0"/>
          <c:showBubbleSize val="0"/>
        </c:dLbls>
        <c:marker val="1"/>
        <c:smooth val="0"/>
        <c:axId val="813276416"/>
        <c:axId val="813278384"/>
      </c:lineChart>
      <c:catAx>
        <c:axId val="813276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3278384"/>
        <c:crosses val="autoZero"/>
        <c:auto val="1"/>
        <c:lblAlgn val="ctr"/>
        <c:lblOffset val="100"/>
        <c:noMultiLvlLbl val="0"/>
      </c:catAx>
      <c:valAx>
        <c:axId val="813278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 2019/20 prices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3276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SPT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'8-year TO forecast'!$AE$39</c:f>
              <c:strCache>
                <c:ptCount val="1"/>
                <c:pt idx="0">
                  <c:v>Actual expenditure</c:v>
                </c:pt>
              </c:strCache>
            </c:strRef>
          </c:tx>
          <c:spPr>
            <a:solidFill>
              <a:schemeClr val="accent1"/>
            </a:solidFill>
            <a:ln>
              <a:noFill/>
            </a:ln>
            <a:effectLst/>
          </c:spPr>
          <c:invertIfNegative val="0"/>
          <c:dPt>
            <c:idx val="0"/>
            <c:invertIfNegative val="0"/>
            <c:bubble3D val="0"/>
            <c:spPr>
              <a:solidFill>
                <a:srgbClr val="F57F29"/>
              </a:solidFill>
              <a:ln>
                <a:noFill/>
              </a:ln>
              <a:effectLst/>
            </c:spPr>
            <c:extLst>
              <c:ext xmlns:c16="http://schemas.microsoft.com/office/drawing/2014/chart" uri="{C3380CC4-5D6E-409C-BE32-E72D297353CC}">
                <c16:uniqueId val="{00000000-7FEA-4D4E-9284-41079EA0EF44}"/>
              </c:ext>
            </c:extLst>
          </c:dPt>
          <c:dPt>
            <c:idx val="1"/>
            <c:invertIfNegative val="0"/>
            <c:bubble3D val="0"/>
            <c:spPr>
              <a:solidFill>
                <a:srgbClr val="45216F"/>
              </a:solidFill>
              <a:ln>
                <a:noFill/>
              </a:ln>
              <a:effectLst/>
            </c:spPr>
            <c:extLst>
              <c:ext xmlns:c16="http://schemas.microsoft.com/office/drawing/2014/chart" uri="{C3380CC4-5D6E-409C-BE32-E72D297353CC}">
                <c16:uniqueId val="{00000001-7FEA-4D4E-9284-41079EA0EF44}"/>
              </c:ext>
            </c:extLst>
          </c:dPt>
          <c:dPt>
            <c:idx val="2"/>
            <c:invertIfNegative val="0"/>
            <c:bubble3D val="0"/>
            <c:spPr>
              <a:solidFill>
                <a:srgbClr val="D0B00E"/>
              </a:solidFill>
              <a:ln>
                <a:noFill/>
              </a:ln>
              <a:effectLst/>
            </c:spPr>
            <c:extLst>
              <c:ext xmlns:c16="http://schemas.microsoft.com/office/drawing/2014/chart" uri="{C3380CC4-5D6E-409C-BE32-E72D297353CC}">
                <c16:uniqueId val="{00000002-7FEA-4D4E-9284-41079EA0EF44}"/>
              </c:ext>
            </c:extLst>
          </c:dPt>
          <c:dPt>
            <c:idx val="3"/>
            <c:invertIfNegative val="0"/>
            <c:bubble3D val="0"/>
            <c:spPr>
              <a:solidFill>
                <a:srgbClr val="CD151B"/>
              </a:solidFill>
              <a:ln>
                <a:noFill/>
              </a:ln>
              <a:effectLst/>
            </c:spPr>
            <c:extLst>
              <c:ext xmlns:c16="http://schemas.microsoft.com/office/drawing/2014/chart" uri="{C3380CC4-5D6E-409C-BE32-E72D297353CC}">
                <c16:uniqueId val="{00000003-7FEA-4D4E-9284-41079EA0EF44}"/>
              </c:ext>
            </c:extLst>
          </c:dPt>
          <c:dPt>
            <c:idx val="4"/>
            <c:invertIfNegative val="0"/>
            <c:bubble3D val="0"/>
            <c:spPr>
              <a:solidFill>
                <a:srgbClr val="2062AF"/>
              </a:solidFill>
              <a:ln>
                <a:noFill/>
              </a:ln>
              <a:effectLst/>
            </c:spPr>
            <c:extLst>
              <c:ext xmlns:c16="http://schemas.microsoft.com/office/drawing/2014/chart" uri="{C3380CC4-5D6E-409C-BE32-E72D297353CC}">
                <c16:uniqueId val="{00000004-7FEA-4D4E-9284-41079EA0EF44}"/>
              </c:ext>
            </c:extLst>
          </c:dPt>
          <c:dPt>
            <c:idx val="5"/>
            <c:invertIfNegative val="0"/>
            <c:bubble3D val="0"/>
            <c:spPr>
              <a:solidFill>
                <a:srgbClr val="00B2BF"/>
              </a:solidFill>
              <a:ln>
                <a:noFill/>
              </a:ln>
              <a:effectLst/>
            </c:spPr>
            <c:extLst>
              <c:ext xmlns:c16="http://schemas.microsoft.com/office/drawing/2014/chart" uri="{C3380CC4-5D6E-409C-BE32-E72D297353CC}">
                <c16:uniqueId val="{00000005-7FEA-4D4E-9284-41079EA0EF44}"/>
              </c:ext>
            </c:extLst>
          </c:dPt>
          <c:dPt>
            <c:idx val="6"/>
            <c:invertIfNegative val="0"/>
            <c:bubble3D val="0"/>
            <c:spPr>
              <a:solidFill>
                <a:srgbClr val="A1ABB2"/>
              </a:solidFill>
              <a:ln>
                <a:noFill/>
              </a:ln>
              <a:effectLst/>
            </c:spPr>
            <c:extLst>
              <c:ext xmlns:c16="http://schemas.microsoft.com/office/drawing/2014/chart" uri="{C3380CC4-5D6E-409C-BE32-E72D297353CC}">
                <c16:uniqueId val="{0000000F-8534-466F-B620-063F0BBFD0E0}"/>
              </c:ext>
            </c:extLst>
          </c:dPt>
          <c:cat>
            <c:numRef>
              <c:f>'8-year TO forecast'!$AF$38:$AM$38</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forecast'!$AF$39:$AM$39</c:f>
              <c:numCache>
                <c:formatCode>0</c:formatCode>
                <c:ptCount val="8"/>
                <c:pt idx="0">
                  <c:v>276.42085365422957</c:v>
                </c:pt>
                <c:pt idx="1">
                  <c:v>316.63250524731433</c:v>
                </c:pt>
                <c:pt idx="2">
                  <c:v>398.04536112719177</c:v>
                </c:pt>
                <c:pt idx="3">
                  <c:v>379.1046376437323</c:v>
                </c:pt>
                <c:pt idx="4">
                  <c:v>252.46478097242527</c:v>
                </c:pt>
                <c:pt idx="5">
                  <c:v>192.5460247572401</c:v>
                </c:pt>
                <c:pt idx="6">
                  <c:v>204.51848137903463</c:v>
                </c:pt>
              </c:numCache>
            </c:numRef>
          </c:val>
          <c:extLst>
            <c:ext xmlns:c16="http://schemas.microsoft.com/office/drawing/2014/chart" uri="{C3380CC4-5D6E-409C-BE32-E72D297353CC}">
              <c16:uniqueId val="{00000000-A56E-48E4-A9ED-571882071528}"/>
            </c:ext>
          </c:extLst>
        </c:ser>
        <c:ser>
          <c:idx val="1"/>
          <c:order val="1"/>
          <c:tx>
            <c:strRef>
              <c:f>'8-year TO forecast'!$AE$40</c:f>
              <c:strCache>
                <c:ptCount val="1"/>
                <c:pt idx="0">
                  <c:v>Forecast expenditure</c:v>
                </c:pt>
              </c:strCache>
            </c:strRef>
          </c:tx>
          <c:spPr>
            <a:solidFill>
              <a:srgbClr val="A1ABA8"/>
            </a:solidFill>
            <a:ln>
              <a:noFill/>
            </a:ln>
            <a:effectLst/>
          </c:spPr>
          <c:invertIfNegative val="0"/>
          <c:dPt>
            <c:idx val="7"/>
            <c:invertIfNegative val="0"/>
            <c:bubble3D val="0"/>
            <c:spPr>
              <a:solidFill>
                <a:srgbClr val="A28F5C"/>
              </a:solidFill>
              <a:ln>
                <a:noFill/>
              </a:ln>
              <a:effectLst/>
            </c:spPr>
            <c:extLst>
              <c:ext xmlns:c16="http://schemas.microsoft.com/office/drawing/2014/chart" uri="{C3380CC4-5D6E-409C-BE32-E72D297353CC}">
                <c16:uniqueId val="{00000006-7FEA-4D4E-9284-41079EA0EF44}"/>
              </c:ext>
            </c:extLst>
          </c:dPt>
          <c:cat>
            <c:numRef>
              <c:f>'8-year TO forecast'!$AF$38:$AM$38</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forecast'!$AF$40:$AM$40</c:f>
              <c:numCache>
                <c:formatCode>General</c:formatCode>
                <c:ptCount val="8"/>
                <c:pt idx="7" formatCode="#,##0.0;[Red]\(#,##0.0\)">
                  <c:v>301.60786212930066</c:v>
                </c:pt>
              </c:numCache>
            </c:numRef>
          </c:val>
          <c:extLst>
            <c:ext xmlns:c16="http://schemas.microsoft.com/office/drawing/2014/chart" uri="{C3380CC4-5D6E-409C-BE32-E72D297353CC}">
              <c16:uniqueId val="{00000001-A56E-48E4-A9ED-571882071528}"/>
            </c:ext>
          </c:extLst>
        </c:ser>
        <c:dLbls>
          <c:showLegendKey val="0"/>
          <c:showVal val="0"/>
          <c:showCatName val="0"/>
          <c:showSerName val="0"/>
          <c:showPercent val="0"/>
          <c:showBubbleSize val="0"/>
        </c:dLbls>
        <c:gapWidth val="219"/>
        <c:overlap val="-27"/>
        <c:axId val="781826000"/>
        <c:axId val="781822720"/>
      </c:barChart>
      <c:lineChart>
        <c:grouping val="standard"/>
        <c:varyColors val="0"/>
        <c:ser>
          <c:idx val="2"/>
          <c:order val="2"/>
          <c:tx>
            <c:strRef>
              <c:f>'8-year TO forecast'!$AE$41</c:f>
              <c:strCache>
                <c:ptCount val="1"/>
                <c:pt idx="0">
                  <c:v>Forecast adjusted allowance</c:v>
                </c:pt>
              </c:strCache>
            </c:strRef>
          </c:tx>
          <c:spPr>
            <a:ln w="28575" cap="rnd">
              <a:solidFill>
                <a:schemeClr val="tx1"/>
              </a:solidFill>
              <a:round/>
            </a:ln>
            <a:effectLst/>
          </c:spPr>
          <c:marker>
            <c:symbol val="none"/>
          </c:marker>
          <c:cat>
            <c:numRef>
              <c:f>'8-year TO forecast'!$AF$38:$AM$38</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forecast'!$AF$41:$AM$41</c:f>
              <c:numCache>
                <c:formatCode>0.0</c:formatCode>
                <c:ptCount val="8"/>
                <c:pt idx="0">
                  <c:v>420.73548904912843</c:v>
                </c:pt>
                <c:pt idx="1">
                  <c:v>527.37399705084385</c:v>
                </c:pt>
                <c:pt idx="2">
                  <c:v>396.72264283069336</c:v>
                </c:pt>
                <c:pt idx="3">
                  <c:v>198.57211099362672</c:v>
                </c:pt>
                <c:pt idx="4">
                  <c:v>260.95296492943663</c:v>
                </c:pt>
                <c:pt idx="5">
                  <c:v>283.85069287341707</c:v>
                </c:pt>
                <c:pt idx="6">
                  <c:v>245.93466772730324</c:v>
                </c:pt>
                <c:pt idx="7">
                  <c:v>132.4646473043544</c:v>
                </c:pt>
              </c:numCache>
            </c:numRef>
          </c:val>
          <c:smooth val="0"/>
          <c:extLst>
            <c:ext xmlns:c16="http://schemas.microsoft.com/office/drawing/2014/chart" uri="{C3380CC4-5D6E-409C-BE32-E72D297353CC}">
              <c16:uniqueId val="{00000002-A56E-48E4-A9ED-571882071528}"/>
            </c:ext>
          </c:extLst>
        </c:ser>
        <c:dLbls>
          <c:showLegendKey val="0"/>
          <c:showVal val="0"/>
          <c:showCatName val="0"/>
          <c:showSerName val="0"/>
          <c:showPercent val="0"/>
          <c:showBubbleSize val="0"/>
        </c:dLbls>
        <c:marker val="1"/>
        <c:smooth val="0"/>
        <c:axId val="781736128"/>
        <c:axId val="781738752"/>
      </c:lineChart>
      <c:catAx>
        <c:axId val="78182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1822720"/>
        <c:crosses val="autoZero"/>
        <c:auto val="1"/>
        <c:lblAlgn val="ctr"/>
        <c:lblOffset val="100"/>
        <c:noMultiLvlLbl val="0"/>
      </c:catAx>
      <c:valAx>
        <c:axId val="781822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a:t>
                </a:r>
                <a:r>
                  <a:rPr lang="en-GB" baseline="0"/>
                  <a:t> 2019/20 prices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1826000"/>
        <c:crosses val="autoZero"/>
        <c:crossBetween val="between"/>
      </c:valAx>
      <c:valAx>
        <c:axId val="781738752"/>
        <c:scaling>
          <c:orientation val="minMax"/>
        </c:scaling>
        <c:delete val="1"/>
        <c:axPos val="r"/>
        <c:numFmt formatCode="0.0" sourceLinked="1"/>
        <c:majorTickMark val="out"/>
        <c:minorTickMark val="none"/>
        <c:tickLblPos val="nextTo"/>
        <c:crossAx val="781736128"/>
        <c:crosses val="max"/>
        <c:crossBetween val="between"/>
      </c:valAx>
      <c:catAx>
        <c:axId val="781736128"/>
        <c:scaling>
          <c:orientation val="minMax"/>
        </c:scaling>
        <c:delete val="1"/>
        <c:axPos val="b"/>
        <c:numFmt formatCode="General" sourceLinked="1"/>
        <c:majorTickMark val="out"/>
        <c:minorTickMark val="none"/>
        <c:tickLblPos val="nextTo"/>
        <c:crossAx val="781738752"/>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943597400483012E-2"/>
          <c:y val="4.9335193261879115E-2"/>
          <c:w val="0.88906662014766125"/>
          <c:h val="0.74402486182967531"/>
        </c:manualLayout>
      </c:layout>
      <c:barChart>
        <c:barDir val="col"/>
        <c:grouping val="clustered"/>
        <c:varyColors val="0"/>
        <c:ser>
          <c:idx val="0"/>
          <c:order val="0"/>
          <c:tx>
            <c:strRef>
              <c:f>'8-year TO forecast'!$BM$6</c:f>
              <c:strCache>
                <c:ptCount val="1"/>
                <c:pt idx="0">
                  <c:v>Actual expenditure</c:v>
                </c:pt>
              </c:strCache>
            </c:strRef>
          </c:tx>
          <c:spPr>
            <a:solidFill>
              <a:schemeClr val="accent1"/>
            </a:solidFill>
            <a:ln>
              <a:noFill/>
            </a:ln>
            <a:effectLst/>
          </c:spPr>
          <c:invertIfNegative val="0"/>
          <c:dPt>
            <c:idx val="0"/>
            <c:invertIfNegative val="0"/>
            <c:bubble3D val="0"/>
            <c:spPr>
              <a:solidFill>
                <a:srgbClr val="F57F29"/>
              </a:solidFill>
              <a:ln>
                <a:noFill/>
              </a:ln>
              <a:effectLst/>
            </c:spPr>
            <c:extLst>
              <c:ext xmlns:c16="http://schemas.microsoft.com/office/drawing/2014/chart" uri="{C3380CC4-5D6E-409C-BE32-E72D297353CC}">
                <c16:uniqueId val="{00000001-3FD5-4EAE-9AD3-BDE179F6B526}"/>
              </c:ext>
            </c:extLst>
          </c:dPt>
          <c:dPt>
            <c:idx val="1"/>
            <c:invertIfNegative val="0"/>
            <c:bubble3D val="0"/>
            <c:spPr>
              <a:solidFill>
                <a:srgbClr val="45216F"/>
              </a:solidFill>
              <a:ln>
                <a:noFill/>
              </a:ln>
              <a:effectLst/>
            </c:spPr>
            <c:extLst>
              <c:ext xmlns:c16="http://schemas.microsoft.com/office/drawing/2014/chart" uri="{C3380CC4-5D6E-409C-BE32-E72D297353CC}">
                <c16:uniqueId val="{00000003-3FD5-4EAE-9AD3-BDE179F6B526}"/>
              </c:ext>
            </c:extLst>
          </c:dPt>
          <c:dPt>
            <c:idx val="2"/>
            <c:invertIfNegative val="0"/>
            <c:bubble3D val="0"/>
            <c:spPr>
              <a:solidFill>
                <a:srgbClr val="D0B00E"/>
              </a:solidFill>
              <a:ln>
                <a:noFill/>
              </a:ln>
              <a:effectLst/>
            </c:spPr>
            <c:extLst>
              <c:ext xmlns:c16="http://schemas.microsoft.com/office/drawing/2014/chart" uri="{C3380CC4-5D6E-409C-BE32-E72D297353CC}">
                <c16:uniqueId val="{00000005-3FD5-4EAE-9AD3-BDE179F6B526}"/>
              </c:ext>
            </c:extLst>
          </c:dPt>
          <c:dPt>
            <c:idx val="3"/>
            <c:invertIfNegative val="0"/>
            <c:bubble3D val="0"/>
            <c:spPr>
              <a:solidFill>
                <a:srgbClr val="CD1543"/>
              </a:solidFill>
              <a:ln>
                <a:noFill/>
              </a:ln>
              <a:effectLst/>
            </c:spPr>
            <c:extLst>
              <c:ext xmlns:c16="http://schemas.microsoft.com/office/drawing/2014/chart" uri="{C3380CC4-5D6E-409C-BE32-E72D297353CC}">
                <c16:uniqueId val="{00000007-3FD5-4EAE-9AD3-BDE179F6B526}"/>
              </c:ext>
            </c:extLst>
          </c:dPt>
          <c:dPt>
            <c:idx val="4"/>
            <c:invertIfNegative val="0"/>
            <c:bubble3D val="0"/>
            <c:spPr>
              <a:solidFill>
                <a:srgbClr val="2062AF"/>
              </a:solidFill>
              <a:ln>
                <a:noFill/>
              </a:ln>
              <a:effectLst/>
            </c:spPr>
            <c:extLst>
              <c:ext xmlns:c16="http://schemas.microsoft.com/office/drawing/2014/chart" uri="{C3380CC4-5D6E-409C-BE32-E72D297353CC}">
                <c16:uniqueId val="{00000009-3FD5-4EAE-9AD3-BDE179F6B526}"/>
              </c:ext>
            </c:extLst>
          </c:dPt>
          <c:dPt>
            <c:idx val="5"/>
            <c:invertIfNegative val="0"/>
            <c:bubble3D val="0"/>
            <c:spPr>
              <a:solidFill>
                <a:srgbClr val="00B2BF"/>
              </a:solidFill>
              <a:ln>
                <a:noFill/>
              </a:ln>
              <a:effectLst/>
            </c:spPr>
            <c:extLst>
              <c:ext xmlns:c16="http://schemas.microsoft.com/office/drawing/2014/chart" uri="{C3380CC4-5D6E-409C-BE32-E72D297353CC}">
                <c16:uniqueId val="{0000000B-3FD5-4EAE-9AD3-BDE179F6B526}"/>
              </c:ext>
            </c:extLst>
          </c:dPt>
          <c:dPt>
            <c:idx val="6"/>
            <c:invertIfNegative val="0"/>
            <c:bubble3D val="0"/>
            <c:spPr>
              <a:solidFill>
                <a:srgbClr val="A1ABB2"/>
              </a:solidFill>
              <a:ln>
                <a:noFill/>
              </a:ln>
              <a:effectLst/>
            </c:spPr>
            <c:extLst>
              <c:ext xmlns:c16="http://schemas.microsoft.com/office/drawing/2014/chart" uri="{C3380CC4-5D6E-409C-BE32-E72D297353CC}">
                <c16:uniqueId val="{00000011-3336-4DDC-9C2A-96E5F183B6CD}"/>
              </c:ext>
            </c:extLst>
          </c:dPt>
          <c:cat>
            <c:numRef>
              <c:f>'8-year TO forecast'!$AU$5:$BB$5</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forecast'!$BN$6:$BU$6</c:f>
              <c:numCache>
                <c:formatCode>0</c:formatCode>
                <c:ptCount val="8"/>
                <c:pt idx="0">
                  <c:v>2100.6577685277466</c:v>
                </c:pt>
                <c:pt idx="1">
                  <c:v>1918.3917908358087</c:v>
                </c:pt>
                <c:pt idx="2">
                  <c:v>2294.2176475898254</c:v>
                </c:pt>
                <c:pt idx="3">
                  <c:v>2110.8965863504018</c:v>
                </c:pt>
                <c:pt idx="4">
                  <c:v>1836.1191422078159</c:v>
                </c:pt>
                <c:pt idx="5">
                  <c:v>1630.3618667036617</c:v>
                </c:pt>
                <c:pt idx="6">
                  <c:v>1637.2768313649908</c:v>
                </c:pt>
                <c:pt idx="7">
                  <c:v>0</c:v>
                </c:pt>
              </c:numCache>
            </c:numRef>
          </c:val>
          <c:extLst>
            <c:ext xmlns:c16="http://schemas.microsoft.com/office/drawing/2014/chart" uri="{C3380CC4-5D6E-409C-BE32-E72D297353CC}">
              <c16:uniqueId val="{0000000C-3FD5-4EAE-9AD3-BDE179F6B526}"/>
            </c:ext>
          </c:extLst>
        </c:ser>
        <c:ser>
          <c:idx val="1"/>
          <c:order val="1"/>
          <c:tx>
            <c:strRef>
              <c:f>'8-year TO forecast'!$BM$7</c:f>
              <c:strCache>
                <c:ptCount val="1"/>
                <c:pt idx="0">
                  <c:v>Forecast expenditure</c:v>
                </c:pt>
              </c:strCache>
            </c:strRef>
          </c:tx>
          <c:spPr>
            <a:solidFill>
              <a:schemeClr val="accent2"/>
            </a:solidFill>
            <a:ln>
              <a:noFill/>
            </a:ln>
            <a:effectLst/>
          </c:spPr>
          <c:invertIfNegative val="0"/>
          <c:dPt>
            <c:idx val="6"/>
            <c:invertIfNegative val="0"/>
            <c:bubble3D val="0"/>
            <c:spPr>
              <a:solidFill>
                <a:srgbClr val="A1ABA8"/>
              </a:solidFill>
              <a:ln>
                <a:noFill/>
              </a:ln>
              <a:effectLst/>
            </c:spPr>
            <c:extLst>
              <c:ext xmlns:c16="http://schemas.microsoft.com/office/drawing/2014/chart" uri="{C3380CC4-5D6E-409C-BE32-E72D297353CC}">
                <c16:uniqueId val="{0000000E-3FD5-4EAE-9AD3-BDE179F6B526}"/>
              </c:ext>
            </c:extLst>
          </c:dPt>
          <c:dPt>
            <c:idx val="7"/>
            <c:invertIfNegative val="0"/>
            <c:bubble3D val="0"/>
            <c:spPr>
              <a:solidFill>
                <a:srgbClr val="A28F5C"/>
              </a:solidFill>
              <a:ln>
                <a:noFill/>
              </a:ln>
              <a:effectLst/>
            </c:spPr>
            <c:extLst>
              <c:ext xmlns:c16="http://schemas.microsoft.com/office/drawing/2014/chart" uri="{C3380CC4-5D6E-409C-BE32-E72D297353CC}">
                <c16:uniqueId val="{00000010-3FD5-4EAE-9AD3-BDE179F6B526}"/>
              </c:ext>
            </c:extLst>
          </c:dPt>
          <c:cat>
            <c:numRef>
              <c:f>'8-year TO forecast'!$AU$5:$BB$5</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forecast'!$BN$7:$BU$7</c:f>
              <c:numCache>
                <c:formatCode>0</c:formatCode>
                <c:ptCount val="8"/>
                <c:pt idx="0">
                  <c:v>0</c:v>
                </c:pt>
                <c:pt idx="1">
                  <c:v>0</c:v>
                </c:pt>
                <c:pt idx="2">
                  <c:v>0</c:v>
                </c:pt>
                <c:pt idx="3">
                  <c:v>0</c:v>
                </c:pt>
                <c:pt idx="4">
                  <c:v>0</c:v>
                </c:pt>
                <c:pt idx="5">
                  <c:v>0</c:v>
                </c:pt>
                <c:pt idx="6">
                  <c:v>0</c:v>
                </c:pt>
                <c:pt idx="7">
                  <c:v>2237.0415968711504</c:v>
                </c:pt>
              </c:numCache>
            </c:numRef>
          </c:val>
          <c:extLst>
            <c:ext xmlns:c16="http://schemas.microsoft.com/office/drawing/2014/chart" uri="{C3380CC4-5D6E-409C-BE32-E72D297353CC}">
              <c16:uniqueId val="{00000011-3FD5-4EAE-9AD3-BDE179F6B526}"/>
            </c:ext>
          </c:extLst>
        </c:ser>
        <c:dLbls>
          <c:showLegendKey val="0"/>
          <c:showVal val="0"/>
          <c:showCatName val="0"/>
          <c:showSerName val="0"/>
          <c:showPercent val="0"/>
          <c:showBubbleSize val="0"/>
        </c:dLbls>
        <c:gapWidth val="150"/>
        <c:axId val="957595680"/>
        <c:axId val="957596008"/>
      </c:barChart>
      <c:lineChart>
        <c:grouping val="standard"/>
        <c:varyColors val="0"/>
        <c:ser>
          <c:idx val="2"/>
          <c:order val="2"/>
          <c:tx>
            <c:strRef>
              <c:f>'8-year TO forecast'!$BM$8</c:f>
              <c:strCache>
                <c:ptCount val="1"/>
                <c:pt idx="0">
                  <c:v>Forecast adjusted allowance</c:v>
                </c:pt>
              </c:strCache>
            </c:strRef>
          </c:tx>
          <c:spPr>
            <a:ln w="28575" cap="rnd">
              <a:solidFill>
                <a:schemeClr val="tx1"/>
              </a:solidFill>
              <a:round/>
            </a:ln>
            <a:effectLst/>
          </c:spPr>
          <c:marker>
            <c:symbol val="none"/>
          </c:marker>
          <c:cat>
            <c:numRef>
              <c:f>'8-year TO forecast'!$AU$5:$BB$5</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forecast'!$BN$8:$BU$8</c:f>
              <c:numCache>
                <c:formatCode>0</c:formatCode>
                <c:ptCount val="8"/>
                <c:pt idx="0">
                  <c:v>2841.4394237146626</c:v>
                </c:pt>
                <c:pt idx="1">
                  <c:v>2851.8823269489521</c:v>
                </c:pt>
                <c:pt idx="2">
                  <c:v>2834.6860219556374</c:v>
                </c:pt>
                <c:pt idx="3">
                  <c:v>2349.148935423219</c:v>
                </c:pt>
                <c:pt idx="4">
                  <c:v>2105.879246874887</c:v>
                </c:pt>
                <c:pt idx="5">
                  <c:v>2150.838114756395</c:v>
                </c:pt>
                <c:pt idx="6">
                  <c:v>2014.7035561444179</c:v>
                </c:pt>
                <c:pt idx="7">
                  <c:v>1935.2011390981845</c:v>
                </c:pt>
              </c:numCache>
            </c:numRef>
          </c:val>
          <c:smooth val="0"/>
          <c:extLst>
            <c:ext xmlns:c16="http://schemas.microsoft.com/office/drawing/2014/chart" uri="{C3380CC4-5D6E-409C-BE32-E72D297353CC}">
              <c16:uniqueId val="{00000012-3FD5-4EAE-9AD3-BDE179F6B526}"/>
            </c:ext>
          </c:extLst>
        </c:ser>
        <c:dLbls>
          <c:showLegendKey val="0"/>
          <c:showVal val="0"/>
          <c:showCatName val="0"/>
          <c:showSerName val="0"/>
          <c:showPercent val="0"/>
          <c:showBubbleSize val="0"/>
        </c:dLbls>
        <c:marker val="1"/>
        <c:smooth val="0"/>
        <c:axId val="957595680"/>
        <c:axId val="957596008"/>
      </c:lineChart>
      <c:catAx>
        <c:axId val="957595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957596008"/>
        <c:crosses val="autoZero"/>
        <c:auto val="1"/>
        <c:lblAlgn val="ctr"/>
        <c:lblOffset val="100"/>
        <c:noMultiLvlLbl val="0"/>
      </c:catAx>
      <c:valAx>
        <c:axId val="957596008"/>
        <c:scaling>
          <c:orientation val="minMax"/>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a:t>£m, 2019/20 prices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957595680"/>
        <c:crosses val="autoZero"/>
        <c:crossBetween val="between"/>
      </c:valAx>
      <c:spPr>
        <a:noFill/>
        <a:ln>
          <a:noFill/>
        </a:ln>
        <a:effectLst/>
      </c:spPr>
    </c:plotArea>
    <c:legend>
      <c:legendPos val="b"/>
      <c:layout>
        <c:manualLayout>
          <c:xMode val="edge"/>
          <c:yMode val="edge"/>
          <c:x val="0.13179463300356528"/>
          <c:y val="0.87049458796108281"/>
          <c:w val="0.61946258417796474"/>
          <c:h val="0.12950541203891724"/>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'8-year TO forecast'!$BM$32</c:f>
              <c:strCache>
                <c:ptCount val="1"/>
                <c:pt idx="0">
                  <c:v>Actual expenditure</c:v>
                </c:pt>
              </c:strCache>
            </c:strRef>
          </c:tx>
          <c:spPr>
            <a:solidFill>
              <a:schemeClr val="accent1"/>
            </a:solidFill>
            <a:ln>
              <a:noFill/>
            </a:ln>
            <a:effectLst/>
          </c:spPr>
          <c:invertIfNegative val="0"/>
          <c:dPt>
            <c:idx val="0"/>
            <c:invertIfNegative val="0"/>
            <c:bubble3D val="0"/>
            <c:spPr>
              <a:solidFill>
                <a:srgbClr val="F57F29"/>
              </a:solidFill>
              <a:ln>
                <a:noFill/>
              </a:ln>
              <a:effectLst/>
            </c:spPr>
            <c:extLst>
              <c:ext xmlns:c16="http://schemas.microsoft.com/office/drawing/2014/chart" uri="{C3380CC4-5D6E-409C-BE32-E72D297353CC}">
                <c16:uniqueId val="{00000001-70B0-4235-BB65-C3FC80DD58AD}"/>
              </c:ext>
            </c:extLst>
          </c:dPt>
          <c:dPt>
            <c:idx val="1"/>
            <c:invertIfNegative val="0"/>
            <c:bubble3D val="0"/>
            <c:spPr>
              <a:solidFill>
                <a:srgbClr val="45216F"/>
              </a:solidFill>
              <a:ln>
                <a:noFill/>
              </a:ln>
              <a:effectLst/>
            </c:spPr>
            <c:extLst>
              <c:ext xmlns:c16="http://schemas.microsoft.com/office/drawing/2014/chart" uri="{C3380CC4-5D6E-409C-BE32-E72D297353CC}">
                <c16:uniqueId val="{00000003-70B0-4235-BB65-C3FC80DD58AD}"/>
              </c:ext>
            </c:extLst>
          </c:dPt>
          <c:dPt>
            <c:idx val="2"/>
            <c:invertIfNegative val="0"/>
            <c:bubble3D val="0"/>
            <c:spPr>
              <a:solidFill>
                <a:srgbClr val="D0B00E"/>
              </a:solidFill>
              <a:ln>
                <a:noFill/>
              </a:ln>
              <a:effectLst/>
            </c:spPr>
            <c:extLst>
              <c:ext xmlns:c16="http://schemas.microsoft.com/office/drawing/2014/chart" uri="{C3380CC4-5D6E-409C-BE32-E72D297353CC}">
                <c16:uniqueId val="{00000005-70B0-4235-BB65-C3FC80DD58AD}"/>
              </c:ext>
            </c:extLst>
          </c:dPt>
          <c:dPt>
            <c:idx val="3"/>
            <c:invertIfNegative val="0"/>
            <c:bubble3D val="0"/>
            <c:spPr>
              <a:solidFill>
                <a:srgbClr val="CD151B"/>
              </a:solidFill>
              <a:ln>
                <a:noFill/>
              </a:ln>
              <a:effectLst/>
            </c:spPr>
            <c:extLst>
              <c:ext xmlns:c16="http://schemas.microsoft.com/office/drawing/2014/chart" uri="{C3380CC4-5D6E-409C-BE32-E72D297353CC}">
                <c16:uniqueId val="{00000007-70B0-4235-BB65-C3FC80DD58AD}"/>
              </c:ext>
            </c:extLst>
          </c:dPt>
          <c:dPt>
            <c:idx val="4"/>
            <c:invertIfNegative val="0"/>
            <c:bubble3D val="0"/>
            <c:spPr>
              <a:solidFill>
                <a:srgbClr val="2062AF"/>
              </a:solidFill>
              <a:ln>
                <a:noFill/>
              </a:ln>
              <a:effectLst/>
            </c:spPr>
            <c:extLst>
              <c:ext xmlns:c16="http://schemas.microsoft.com/office/drawing/2014/chart" uri="{C3380CC4-5D6E-409C-BE32-E72D297353CC}">
                <c16:uniqueId val="{00000009-70B0-4235-BB65-C3FC80DD58AD}"/>
              </c:ext>
            </c:extLst>
          </c:dPt>
          <c:dPt>
            <c:idx val="5"/>
            <c:invertIfNegative val="0"/>
            <c:bubble3D val="0"/>
            <c:spPr>
              <a:solidFill>
                <a:srgbClr val="00B2BF"/>
              </a:solidFill>
              <a:ln>
                <a:noFill/>
              </a:ln>
              <a:effectLst/>
            </c:spPr>
            <c:extLst>
              <c:ext xmlns:c16="http://schemas.microsoft.com/office/drawing/2014/chart" uri="{C3380CC4-5D6E-409C-BE32-E72D297353CC}">
                <c16:uniqueId val="{0000000B-70B0-4235-BB65-C3FC80DD58AD}"/>
              </c:ext>
            </c:extLst>
          </c:dPt>
          <c:dPt>
            <c:idx val="6"/>
            <c:invertIfNegative val="0"/>
            <c:bubble3D val="0"/>
            <c:spPr>
              <a:solidFill>
                <a:srgbClr val="A1ABB2"/>
              </a:solidFill>
              <a:ln>
                <a:noFill/>
              </a:ln>
              <a:effectLst/>
            </c:spPr>
            <c:extLst>
              <c:ext xmlns:c16="http://schemas.microsoft.com/office/drawing/2014/chart" uri="{C3380CC4-5D6E-409C-BE32-E72D297353CC}">
                <c16:uniqueId val="{00000011-FA9C-40ED-BEEC-5E1EB0A1071D}"/>
              </c:ext>
            </c:extLst>
          </c:dPt>
          <c:cat>
            <c:numRef>
              <c:f>'8-year TO forecast'!$AU$31:$BB$31</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forecast'!$BN$32:$BU$32</c:f>
              <c:numCache>
                <c:formatCode>0</c:formatCode>
                <c:ptCount val="8"/>
                <c:pt idx="0">
                  <c:v>2100.6577685277466</c:v>
                </c:pt>
                <c:pt idx="1">
                  <c:v>1918.3917908358089</c:v>
                </c:pt>
                <c:pt idx="2">
                  <c:v>2294.2176475898259</c:v>
                </c:pt>
                <c:pt idx="3">
                  <c:v>2110.8965863504018</c:v>
                </c:pt>
                <c:pt idx="4">
                  <c:v>1836.1191422078159</c:v>
                </c:pt>
                <c:pt idx="5">
                  <c:v>1630.3618667036617</c:v>
                </c:pt>
                <c:pt idx="6">
                  <c:v>1637.2768313649908</c:v>
                </c:pt>
                <c:pt idx="7">
                  <c:v>0</c:v>
                </c:pt>
              </c:numCache>
            </c:numRef>
          </c:val>
          <c:extLst>
            <c:ext xmlns:c16="http://schemas.microsoft.com/office/drawing/2014/chart" uri="{C3380CC4-5D6E-409C-BE32-E72D297353CC}">
              <c16:uniqueId val="{0000000C-70B0-4235-BB65-C3FC80DD58AD}"/>
            </c:ext>
          </c:extLst>
        </c:ser>
        <c:ser>
          <c:idx val="1"/>
          <c:order val="1"/>
          <c:tx>
            <c:strRef>
              <c:f>'8-year TO forecast'!$BM$33</c:f>
              <c:strCache>
                <c:ptCount val="1"/>
                <c:pt idx="0">
                  <c:v>Forecast expenditure</c:v>
                </c:pt>
              </c:strCache>
            </c:strRef>
          </c:tx>
          <c:spPr>
            <a:solidFill>
              <a:schemeClr val="accent2"/>
            </a:solidFill>
            <a:ln>
              <a:noFill/>
            </a:ln>
            <a:effectLst/>
          </c:spPr>
          <c:invertIfNegative val="0"/>
          <c:dPt>
            <c:idx val="6"/>
            <c:invertIfNegative val="0"/>
            <c:bubble3D val="0"/>
            <c:spPr>
              <a:solidFill>
                <a:srgbClr val="A1ABA8"/>
              </a:solidFill>
              <a:ln>
                <a:noFill/>
              </a:ln>
              <a:effectLst/>
            </c:spPr>
            <c:extLst>
              <c:ext xmlns:c16="http://schemas.microsoft.com/office/drawing/2014/chart" uri="{C3380CC4-5D6E-409C-BE32-E72D297353CC}">
                <c16:uniqueId val="{0000000E-70B0-4235-BB65-C3FC80DD58AD}"/>
              </c:ext>
            </c:extLst>
          </c:dPt>
          <c:dPt>
            <c:idx val="7"/>
            <c:invertIfNegative val="0"/>
            <c:bubble3D val="0"/>
            <c:spPr>
              <a:solidFill>
                <a:srgbClr val="A28F5C"/>
              </a:solidFill>
              <a:ln>
                <a:noFill/>
              </a:ln>
              <a:effectLst/>
            </c:spPr>
            <c:extLst>
              <c:ext xmlns:c16="http://schemas.microsoft.com/office/drawing/2014/chart" uri="{C3380CC4-5D6E-409C-BE32-E72D297353CC}">
                <c16:uniqueId val="{00000010-70B0-4235-BB65-C3FC80DD58AD}"/>
              </c:ext>
            </c:extLst>
          </c:dPt>
          <c:cat>
            <c:numRef>
              <c:f>'8-year TO forecast'!$AU$31:$BB$31</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forecast'!$BN$33:$BU$33</c:f>
              <c:numCache>
                <c:formatCode>0</c:formatCode>
                <c:ptCount val="8"/>
                <c:pt idx="0">
                  <c:v>0</c:v>
                </c:pt>
                <c:pt idx="1">
                  <c:v>0</c:v>
                </c:pt>
                <c:pt idx="2">
                  <c:v>0</c:v>
                </c:pt>
                <c:pt idx="3">
                  <c:v>0</c:v>
                </c:pt>
                <c:pt idx="4">
                  <c:v>0</c:v>
                </c:pt>
                <c:pt idx="5">
                  <c:v>0</c:v>
                </c:pt>
                <c:pt idx="6">
                  <c:v>0</c:v>
                </c:pt>
                <c:pt idx="7">
                  <c:v>2237.0415968711504</c:v>
                </c:pt>
              </c:numCache>
            </c:numRef>
          </c:val>
          <c:extLst>
            <c:ext xmlns:c16="http://schemas.microsoft.com/office/drawing/2014/chart" uri="{C3380CC4-5D6E-409C-BE32-E72D297353CC}">
              <c16:uniqueId val="{00000011-70B0-4235-BB65-C3FC80DD58AD}"/>
            </c:ext>
          </c:extLst>
        </c:ser>
        <c:dLbls>
          <c:showLegendKey val="0"/>
          <c:showVal val="0"/>
          <c:showCatName val="0"/>
          <c:showSerName val="0"/>
          <c:showPercent val="0"/>
          <c:showBubbleSize val="0"/>
        </c:dLbls>
        <c:gapWidth val="219"/>
        <c:overlap val="-27"/>
        <c:axId val="813276416"/>
        <c:axId val="813278384"/>
      </c:barChart>
      <c:lineChart>
        <c:grouping val="standard"/>
        <c:varyColors val="0"/>
        <c:ser>
          <c:idx val="2"/>
          <c:order val="2"/>
          <c:tx>
            <c:strRef>
              <c:f>'8-year TO forecast'!$AT$34</c:f>
              <c:strCache>
                <c:ptCount val="1"/>
                <c:pt idx="0">
                  <c:v>Forecast adjusted allowance</c:v>
                </c:pt>
              </c:strCache>
            </c:strRef>
          </c:tx>
          <c:spPr>
            <a:ln w="28575" cap="rnd">
              <a:solidFill>
                <a:schemeClr val="tx1"/>
              </a:solidFill>
              <a:round/>
            </a:ln>
            <a:effectLst/>
          </c:spPr>
          <c:marker>
            <c:symbol val="none"/>
          </c:marker>
          <c:cat>
            <c:numRef>
              <c:f>'8-year TO forecast'!$AU$31:$BB$31</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forecast'!$BN$34:$BU$34</c:f>
              <c:numCache>
                <c:formatCode>0</c:formatCode>
                <c:ptCount val="8"/>
                <c:pt idx="0">
                  <c:v>2841.4394237146621</c:v>
                </c:pt>
                <c:pt idx="1">
                  <c:v>2851.8823269489521</c:v>
                </c:pt>
                <c:pt idx="2">
                  <c:v>2834.6860219556374</c:v>
                </c:pt>
                <c:pt idx="3">
                  <c:v>2349.148935423219</c:v>
                </c:pt>
                <c:pt idx="4">
                  <c:v>2105.879246874887</c:v>
                </c:pt>
                <c:pt idx="5">
                  <c:v>2150.838114756395</c:v>
                </c:pt>
                <c:pt idx="6">
                  <c:v>1982.7253079717389</c:v>
                </c:pt>
                <c:pt idx="7">
                  <c:v>1903.2228909255055</c:v>
                </c:pt>
              </c:numCache>
            </c:numRef>
          </c:val>
          <c:smooth val="0"/>
          <c:extLst>
            <c:ext xmlns:c16="http://schemas.microsoft.com/office/drawing/2014/chart" uri="{C3380CC4-5D6E-409C-BE32-E72D297353CC}">
              <c16:uniqueId val="{00000012-70B0-4235-BB65-C3FC80DD58AD}"/>
            </c:ext>
          </c:extLst>
        </c:ser>
        <c:dLbls>
          <c:showLegendKey val="0"/>
          <c:showVal val="0"/>
          <c:showCatName val="0"/>
          <c:showSerName val="0"/>
          <c:showPercent val="0"/>
          <c:showBubbleSize val="0"/>
        </c:dLbls>
        <c:marker val="1"/>
        <c:smooth val="0"/>
        <c:axId val="813276416"/>
        <c:axId val="813278384"/>
      </c:lineChart>
      <c:catAx>
        <c:axId val="813276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3278384"/>
        <c:crosses val="autoZero"/>
        <c:auto val="1"/>
        <c:lblAlgn val="ctr"/>
        <c:lblOffset val="100"/>
        <c:noMultiLvlLbl val="0"/>
      </c:catAx>
      <c:valAx>
        <c:axId val="8132783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 2019/20 prices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3276416"/>
        <c:crosses val="autoZero"/>
        <c:crossBetween val="between"/>
      </c:valAx>
      <c:spPr>
        <a:noFill/>
        <a:ln>
          <a:noFill/>
        </a:ln>
        <a:effectLst/>
      </c:spPr>
    </c:plotArea>
    <c:legend>
      <c:legendPos val="b"/>
      <c:layout>
        <c:manualLayout>
          <c:xMode val="edge"/>
          <c:yMode val="edge"/>
          <c:x val="6.2927048277997305E-2"/>
          <c:y val="0.91371366100014617"/>
          <c:w val="0.66034408536275868"/>
          <c:h val="6.975252327834320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'8-year TO forecast'!$BM$32</c:f>
              <c:strCache>
                <c:ptCount val="1"/>
                <c:pt idx="0">
                  <c:v>Actual expenditure</c:v>
                </c:pt>
              </c:strCache>
            </c:strRef>
          </c:tx>
          <c:spPr>
            <a:solidFill>
              <a:schemeClr val="accent1"/>
            </a:solidFill>
            <a:ln>
              <a:noFill/>
            </a:ln>
            <a:effectLst/>
          </c:spPr>
          <c:invertIfNegative val="0"/>
          <c:dPt>
            <c:idx val="0"/>
            <c:invertIfNegative val="0"/>
            <c:bubble3D val="0"/>
            <c:spPr>
              <a:solidFill>
                <a:srgbClr val="F57F29"/>
              </a:solidFill>
              <a:ln>
                <a:noFill/>
              </a:ln>
              <a:effectLst/>
            </c:spPr>
            <c:extLst>
              <c:ext xmlns:c16="http://schemas.microsoft.com/office/drawing/2014/chart" uri="{C3380CC4-5D6E-409C-BE32-E72D297353CC}">
                <c16:uniqueId val="{00000001-2271-4FFC-BFE8-5B0DE168C1B3}"/>
              </c:ext>
            </c:extLst>
          </c:dPt>
          <c:dPt>
            <c:idx val="1"/>
            <c:invertIfNegative val="0"/>
            <c:bubble3D val="0"/>
            <c:spPr>
              <a:solidFill>
                <a:srgbClr val="45216F"/>
              </a:solidFill>
              <a:ln>
                <a:noFill/>
              </a:ln>
              <a:effectLst/>
            </c:spPr>
            <c:extLst>
              <c:ext xmlns:c16="http://schemas.microsoft.com/office/drawing/2014/chart" uri="{C3380CC4-5D6E-409C-BE32-E72D297353CC}">
                <c16:uniqueId val="{00000003-2271-4FFC-BFE8-5B0DE168C1B3}"/>
              </c:ext>
            </c:extLst>
          </c:dPt>
          <c:dPt>
            <c:idx val="2"/>
            <c:invertIfNegative val="0"/>
            <c:bubble3D val="0"/>
            <c:spPr>
              <a:solidFill>
                <a:srgbClr val="D0B00E"/>
              </a:solidFill>
              <a:ln>
                <a:noFill/>
              </a:ln>
              <a:effectLst/>
            </c:spPr>
            <c:extLst>
              <c:ext xmlns:c16="http://schemas.microsoft.com/office/drawing/2014/chart" uri="{C3380CC4-5D6E-409C-BE32-E72D297353CC}">
                <c16:uniqueId val="{00000005-2271-4FFC-BFE8-5B0DE168C1B3}"/>
              </c:ext>
            </c:extLst>
          </c:dPt>
          <c:dPt>
            <c:idx val="3"/>
            <c:invertIfNegative val="0"/>
            <c:bubble3D val="0"/>
            <c:spPr>
              <a:solidFill>
                <a:srgbClr val="CD151B"/>
              </a:solidFill>
              <a:ln>
                <a:noFill/>
              </a:ln>
              <a:effectLst/>
            </c:spPr>
            <c:extLst>
              <c:ext xmlns:c16="http://schemas.microsoft.com/office/drawing/2014/chart" uri="{C3380CC4-5D6E-409C-BE32-E72D297353CC}">
                <c16:uniqueId val="{00000007-2271-4FFC-BFE8-5B0DE168C1B3}"/>
              </c:ext>
            </c:extLst>
          </c:dPt>
          <c:dPt>
            <c:idx val="4"/>
            <c:invertIfNegative val="0"/>
            <c:bubble3D val="0"/>
            <c:spPr>
              <a:solidFill>
                <a:srgbClr val="2062AF"/>
              </a:solidFill>
              <a:ln>
                <a:noFill/>
              </a:ln>
              <a:effectLst/>
            </c:spPr>
            <c:extLst>
              <c:ext xmlns:c16="http://schemas.microsoft.com/office/drawing/2014/chart" uri="{C3380CC4-5D6E-409C-BE32-E72D297353CC}">
                <c16:uniqueId val="{00000009-2271-4FFC-BFE8-5B0DE168C1B3}"/>
              </c:ext>
            </c:extLst>
          </c:dPt>
          <c:dPt>
            <c:idx val="5"/>
            <c:invertIfNegative val="0"/>
            <c:bubble3D val="0"/>
            <c:spPr>
              <a:solidFill>
                <a:srgbClr val="00B2BF"/>
              </a:solidFill>
              <a:ln>
                <a:noFill/>
              </a:ln>
              <a:effectLst/>
            </c:spPr>
            <c:extLst>
              <c:ext xmlns:c16="http://schemas.microsoft.com/office/drawing/2014/chart" uri="{C3380CC4-5D6E-409C-BE32-E72D297353CC}">
                <c16:uniqueId val="{0000000B-2271-4FFC-BFE8-5B0DE168C1B3}"/>
              </c:ext>
            </c:extLst>
          </c:dPt>
          <c:dPt>
            <c:idx val="6"/>
            <c:invertIfNegative val="0"/>
            <c:bubble3D val="0"/>
            <c:spPr>
              <a:solidFill>
                <a:srgbClr val="A1ABB2"/>
              </a:solidFill>
              <a:ln>
                <a:noFill/>
              </a:ln>
              <a:effectLst/>
            </c:spPr>
            <c:extLst>
              <c:ext xmlns:c16="http://schemas.microsoft.com/office/drawing/2014/chart" uri="{C3380CC4-5D6E-409C-BE32-E72D297353CC}">
                <c16:uniqueId val="{00000011-50A1-4DD2-B0C2-BE6CC4482207}"/>
              </c:ext>
            </c:extLst>
          </c:dPt>
          <c:cat>
            <c:numRef>
              <c:f>'8-year TO forecast'!$AU$31:$BB$31</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forecast'!$BN$59:$BU$59</c:f>
              <c:numCache>
                <c:formatCode>0</c:formatCode>
                <c:ptCount val="8"/>
                <c:pt idx="0">
                  <c:v>2100.6577685277466</c:v>
                </c:pt>
                <c:pt idx="1">
                  <c:v>1918.3917908358089</c:v>
                </c:pt>
                <c:pt idx="2">
                  <c:v>2294.2176475898259</c:v>
                </c:pt>
                <c:pt idx="3">
                  <c:v>2110.8965863504018</c:v>
                </c:pt>
                <c:pt idx="4">
                  <c:v>1836.1191422078159</c:v>
                </c:pt>
                <c:pt idx="5">
                  <c:v>1630.3618667036617</c:v>
                </c:pt>
                <c:pt idx="6">
                  <c:v>1637.2768313649908</c:v>
                </c:pt>
                <c:pt idx="7">
                  <c:v>0</c:v>
                </c:pt>
              </c:numCache>
            </c:numRef>
          </c:val>
          <c:extLst>
            <c:ext xmlns:c16="http://schemas.microsoft.com/office/drawing/2014/chart" uri="{C3380CC4-5D6E-409C-BE32-E72D297353CC}">
              <c16:uniqueId val="{0000000C-2271-4FFC-BFE8-5B0DE168C1B3}"/>
            </c:ext>
          </c:extLst>
        </c:ser>
        <c:ser>
          <c:idx val="1"/>
          <c:order val="1"/>
          <c:tx>
            <c:strRef>
              <c:f>'8-year TO forecast'!$BM$33</c:f>
              <c:strCache>
                <c:ptCount val="1"/>
                <c:pt idx="0">
                  <c:v>Forecast expenditure</c:v>
                </c:pt>
              </c:strCache>
            </c:strRef>
          </c:tx>
          <c:spPr>
            <a:solidFill>
              <a:schemeClr val="accent2"/>
            </a:solidFill>
            <a:ln>
              <a:noFill/>
            </a:ln>
            <a:effectLst/>
          </c:spPr>
          <c:invertIfNegative val="0"/>
          <c:dPt>
            <c:idx val="6"/>
            <c:invertIfNegative val="0"/>
            <c:bubble3D val="0"/>
            <c:spPr>
              <a:solidFill>
                <a:srgbClr val="A1ABA8"/>
              </a:solidFill>
              <a:ln>
                <a:noFill/>
              </a:ln>
              <a:effectLst/>
            </c:spPr>
            <c:extLst>
              <c:ext xmlns:c16="http://schemas.microsoft.com/office/drawing/2014/chart" uri="{C3380CC4-5D6E-409C-BE32-E72D297353CC}">
                <c16:uniqueId val="{0000000E-2271-4FFC-BFE8-5B0DE168C1B3}"/>
              </c:ext>
            </c:extLst>
          </c:dPt>
          <c:dPt>
            <c:idx val="7"/>
            <c:invertIfNegative val="0"/>
            <c:bubble3D val="0"/>
            <c:spPr>
              <a:solidFill>
                <a:srgbClr val="A28F5C"/>
              </a:solidFill>
              <a:ln>
                <a:noFill/>
              </a:ln>
              <a:effectLst/>
            </c:spPr>
            <c:extLst>
              <c:ext xmlns:c16="http://schemas.microsoft.com/office/drawing/2014/chart" uri="{C3380CC4-5D6E-409C-BE32-E72D297353CC}">
                <c16:uniqueId val="{00000010-2271-4FFC-BFE8-5B0DE168C1B3}"/>
              </c:ext>
            </c:extLst>
          </c:dPt>
          <c:cat>
            <c:numRef>
              <c:f>'8-year TO forecast'!$AU$31:$BB$31</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forecast'!$BN$60:$BU$60</c:f>
              <c:numCache>
                <c:formatCode>0</c:formatCode>
                <c:ptCount val="8"/>
                <c:pt idx="0">
                  <c:v>0</c:v>
                </c:pt>
                <c:pt idx="1">
                  <c:v>0</c:v>
                </c:pt>
                <c:pt idx="2">
                  <c:v>0</c:v>
                </c:pt>
                <c:pt idx="3">
                  <c:v>0</c:v>
                </c:pt>
                <c:pt idx="4">
                  <c:v>0</c:v>
                </c:pt>
                <c:pt idx="5">
                  <c:v>0</c:v>
                </c:pt>
                <c:pt idx="6">
                  <c:v>0</c:v>
                </c:pt>
                <c:pt idx="7">
                  <c:v>2237.0415968711504</c:v>
                </c:pt>
              </c:numCache>
            </c:numRef>
          </c:val>
          <c:extLst>
            <c:ext xmlns:c16="http://schemas.microsoft.com/office/drawing/2014/chart" uri="{C3380CC4-5D6E-409C-BE32-E72D297353CC}">
              <c16:uniqueId val="{00000011-2271-4FFC-BFE8-5B0DE168C1B3}"/>
            </c:ext>
          </c:extLst>
        </c:ser>
        <c:dLbls>
          <c:showLegendKey val="0"/>
          <c:showVal val="0"/>
          <c:showCatName val="0"/>
          <c:showSerName val="0"/>
          <c:showPercent val="0"/>
          <c:showBubbleSize val="0"/>
        </c:dLbls>
        <c:gapWidth val="219"/>
        <c:overlap val="-27"/>
        <c:axId val="813276416"/>
        <c:axId val="813278384"/>
      </c:barChart>
      <c:lineChart>
        <c:grouping val="standard"/>
        <c:varyColors val="0"/>
        <c:ser>
          <c:idx val="2"/>
          <c:order val="2"/>
          <c:tx>
            <c:strRef>
              <c:f>'8-year TO forecast'!$AT$34</c:f>
              <c:strCache>
                <c:ptCount val="1"/>
                <c:pt idx="0">
                  <c:v>Forecast adjusted allowance</c:v>
                </c:pt>
              </c:strCache>
            </c:strRef>
          </c:tx>
          <c:spPr>
            <a:ln w="28575" cap="rnd">
              <a:solidFill>
                <a:schemeClr val="tx1"/>
              </a:solidFill>
              <a:round/>
            </a:ln>
            <a:effectLst/>
          </c:spPr>
          <c:marker>
            <c:symbol val="none"/>
          </c:marker>
          <c:cat>
            <c:numRef>
              <c:f>'8-year TO forecast'!$AU$31:$BB$31</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forecast'!$BN$61:$BU$61</c:f>
              <c:numCache>
                <c:formatCode>0</c:formatCode>
                <c:ptCount val="8"/>
                <c:pt idx="0">
                  <c:v>2841.4394237146621</c:v>
                </c:pt>
                <c:pt idx="1">
                  <c:v>2851.8823269489521</c:v>
                </c:pt>
                <c:pt idx="2">
                  <c:v>2834.6860219556374</c:v>
                </c:pt>
                <c:pt idx="3">
                  <c:v>2349.148935423219</c:v>
                </c:pt>
                <c:pt idx="4">
                  <c:v>2105.879246874887</c:v>
                </c:pt>
                <c:pt idx="5">
                  <c:v>2150.838114756395</c:v>
                </c:pt>
                <c:pt idx="6">
                  <c:v>1982.7253079717389</c:v>
                </c:pt>
                <c:pt idx="7">
                  <c:v>1903.2228909255055</c:v>
                </c:pt>
              </c:numCache>
            </c:numRef>
          </c:val>
          <c:smooth val="0"/>
          <c:extLst>
            <c:ext xmlns:c16="http://schemas.microsoft.com/office/drawing/2014/chart" uri="{C3380CC4-5D6E-409C-BE32-E72D297353CC}">
              <c16:uniqueId val="{00000012-2271-4FFC-BFE8-5B0DE168C1B3}"/>
            </c:ext>
          </c:extLst>
        </c:ser>
        <c:dLbls>
          <c:showLegendKey val="0"/>
          <c:showVal val="0"/>
          <c:showCatName val="0"/>
          <c:showSerName val="0"/>
          <c:showPercent val="0"/>
          <c:showBubbleSize val="0"/>
        </c:dLbls>
        <c:marker val="1"/>
        <c:smooth val="0"/>
        <c:axId val="813276416"/>
        <c:axId val="813278384"/>
      </c:lineChart>
      <c:catAx>
        <c:axId val="813276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3278384"/>
        <c:crosses val="autoZero"/>
        <c:auto val="1"/>
        <c:lblAlgn val="ctr"/>
        <c:lblOffset val="100"/>
        <c:noMultiLvlLbl val="0"/>
      </c:catAx>
      <c:valAx>
        <c:axId val="8132783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 2019/20 prices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3276416"/>
        <c:crosses val="autoZero"/>
        <c:crossBetween val="between"/>
      </c:valAx>
      <c:spPr>
        <a:noFill/>
        <a:ln>
          <a:noFill/>
        </a:ln>
        <a:effectLst/>
      </c:spPr>
    </c:plotArea>
    <c:legend>
      <c:legendPos val="b"/>
      <c:layout>
        <c:manualLayout>
          <c:xMode val="edge"/>
          <c:yMode val="edge"/>
          <c:x val="2.8064017963911139E-2"/>
          <c:y val="0.9093793410848473"/>
          <c:w val="0.70689279254619408"/>
          <c:h val="7.325631952572109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RORE!$H$7</c:f>
              <c:strCache>
                <c:ptCount val="1"/>
                <c:pt idx="0">
                  <c:v>Allowed Equity Return + IQI</c:v>
                </c:pt>
              </c:strCache>
            </c:strRef>
          </c:tx>
          <c:spPr>
            <a:solidFill>
              <a:srgbClr val="45216F"/>
            </a:solidFill>
            <a:ln>
              <a:noFill/>
            </a:ln>
            <a:effectLst/>
          </c:spPr>
          <c:invertIfNegative val="0"/>
          <c:cat>
            <c:multiLvlStrRef>
              <c:f>RORE!$I$5:$S$6</c:f>
              <c:multiLvlStrCache>
                <c:ptCount val="11"/>
                <c:lvl>
                  <c:pt idx="0">
                    <c:v>2018</c:v>
                  </c:pt>
                  <c:pt idx="1">
                    <c:v>2019</c:v>
                  </c:pt>
                  <c:pt idx="2">
                    <c:v>2020</c:v>
                  </c:pt>
                  <c:pt idx="4">
                    <c:v>2018</c:v>
                  </c:pt>
                  <c:pt idx="5">
                    <c:v>2019</c:v>
                  </c:pt>
                  <c:pt idx="6">
                    <c:v>2020</c:v>
                  </c:pt>
                  <c:pt idx="8">
                    <c:v>2018</c:v>
                  </c:pt>
                  <c:pt idx="9">
                    <c:v>2019</c:v>
                  </c:pt>
                  <c:pt idx="10">
                    <c:v>2020</c:v>
                  </c:pt>
                </c:lvl>
                <c:lvl>
                  <c:pt idx="0">
                    <c:v>NGET (TO)</c:v>
                  </c:pt>
                  <c:pt idx="4">
                    <c:v>SPT</c:v>
                  </c:pt>
                  <c:pt idx="8">
                    <c:v>SHET</c:v>
                  </c:pt>
                </c:lvl>
              </c:multiLvlStrCache>
            </c:multiLvlStrRef>
          </c:cat>
          <c:val>
            <c:numRef>
              <c:f>RORE!$I$7:$S$7</c:f>
              <c:numCache>
                <c:formatCode>0%</c:formatCode>
                <c:ptCount val="11"/>
                <c:pt idx="0">
                  <c:v>7.2834936913310444E-2</c:v>
                </c:pt>
                <c:pt idx="1">
                  <c:v>7.2851506960787432E-2</c:v>
                </c:pt>
                <c:pt idx="2">
                  <c:v>7.2856229341846948E-2</c:v>
                </c:pt>
                <c:pt idx="4">
                  <c:v>7.9766109337125773E-2</c:v>
                </c:pt>
                <c:pt idx="5">
                  <c:v>7.9768873005658769E-2</c:v>
                </c:pt>
                <c:pt idx="6">
                  <c:v>7.9721920748207803E-2</c:v>
                </c:pt>
                <c:pt idx="8">
                  <c:v>7.4384705057886011E-2</c:v>
                </c:pt>
                <c:pt idx="9">
                  <c:v>7.4438984162974342E-2</c:v>
                </c:pt>
                <c:pt idx="10">
                  <c:v>7.4511077910388968E-2</c:v>
                </c:pt>
              </c:numCache>
            </c:numRef>
          </c:val>
          <c:extLst>
            <c:ext xmlns:c16="http://schemas.microsoft.com/office/drawing/2014/chart" uri="{C3380CC4-5D6E-409C-BE32-E72D297353CC}">
              <c16:uniqueId val="{00000000-0DA6-4A53-89AD-FA718590DA59}"/>
            </c:ext>
          </c:extLst>
        </c:ser>
        <c:ser>
          <c:idx val="1"/>
          <c:order val="1"/>
          <c:tx>
            <c:strRef>
              <c:f>RORE!$H$8</c:f>
              <c:strCache>
                <c:ptCount val="1"/>
                <c:pt idx="0">
                  <c:v>Operational performance - Totex</c:v>
                </c:pt>
              </c:strCache>
            </c:strRef>
          </c:tx>
          <c:spPr>
            <a:solidFill>
              <a:srgbClr val="FFC000"/>
            </a:solidFill>
            <a:ln>
              <a:noFill/>
            </a:ln>
            <a:effectLst/>
          </c:spPr>
          <c:invertIfNegative val="0"/>
          <c:cat>
            <c:multiLvlStrRef>
              <c:f>RORE!$I$5:$S$6</c:f>
              <c:multiLvlStrCache>
                <c:ptCount val="11"/>
                <c:lvl>
                  <c:pt idx="0">
                    <c:v>2018</c:v>
                  </c:pt>
                  <c:pt idx="1">
                    <c:v>2019</c:v>
                  </c:pt>
                  <c:pt idx="2">
                    <c:v>2020</c:v>
                  </c:pt>
                  <c:pt idx="4">
                    <c:v>2018</c:v>
                  </c:pt>
                  <c:pt idx="5">
                    <c:v>2019</c:v>
                  </c:pt>
                  <c:pt idx="6">
                    <c:v>2020</c:v>
                  </c:pt>
                  <c:pt idx="8">
                    <c:v>2018</c:v>
                  </c:pt>
                  <c:pt idx="9">
                    <c:v>2019</c:v>
                  </c:pt>
                  <c:pt idx="10">
                    <c:v>2020</c:v>
                  </c:pt>
                </c:lvl>
                <c:lvl>
                  <c:pt idx="0">
                    <c:v>NGET (TO)</c:v>
                  </c:pt>
                  <c:pt idx="4">
                    <c:v>SPT</c:v>
                  </c:pt>
                  <c:pt idx="8">
                    <c:v>SHET</c:v>
                  </c:pt>
                </c:lvl>
              </c:multiLvlStrCache>
            </c:multiLvlStrRef>
          </c:cat>
          <c:val>
            <c:numRef>
              <c:f>RORE!$I$8:$S$8</c:f>
              <c:numCache>
                <c:formatCode>0%</c:formatCode>
                <c:ptCount val="11"/>
                <c:pt idx="0">
                  <c:v>1.8325000220130616E-2</c:v>
                </c:pt>
                <c:pt idx="1">
                  <c:v>1.9403959387716163E-2</c:v>
                </c:pt>
                <c:pt idx="2">
                  <c:v>2.0290297929708111E-2</c:v>
                </c:pt>
                <c:pt idx="4">
                  <c:v>3.5634622654694909E-3</c:v>
                </c:pt>
                <c:pt idx="5">
                  <c:v>5.048565853257689E-3</c:v>
                </c:pt>
                <c:pt idx="6">
                  <c:v>8.8939798883044732E-3</c:v>
                </c:pt>
                <c:pt idx="8">
                  <c:v>1.5910850614883742E-2</c:v>
                </c:pt>
                <c:pt idx="9">
                  <c:v>1.1793981047455973E-2</c:v>
                </c:pt>
                <c:pt idx="10">
                  <c:v>8.092202463507326E-3</c:v>
                </c:pt>
              </c:numCache>
            </c:numRef>
          </c:val>
          <c:extLst>
            <c:ext xmlns:c16="http://schemas.microsoft.com/office/drawing/2014/chart" uri="{C3380CC4-5D6E-409C-BE32-E72D297353CC}">
              <c16:uniqueId val="{00000001-0DA6-4A53-89AD-FA718590DA59}"/>
            </c:ext>
          </c:extLst>
        </c:ser>
        <c:ser>
          <c:idx val="2"/>
          <c:order val="2"/>
          <c:tx>
            <c:strRef>
              <c:f>RORE!$H$9</c:f>
              <c:strCache>
                <c:ptCount val="1"/>
                <c:pt idx="0">
                  <c:v>Operational performance - other</c:v>
                </c:pt>
              </c:strCache>
            </c:strRef>
          </c:tx>
          <c:spPr>
            <a:solidFill>
              <a:srgbClr val="CD151B"/>
            </a:solidFill>
            <a:ln>
              <a:noFill/>
            </a:ln>
            <a:effectLst/>
          </c:spPr>
          <c:invertIfNegative val="0"/>
          <c:cat>
            <c:multiLvlStrRef>
              <c:f>RORE!$I$5:$S$6</c:f>
              <c:multiLvlStrCache>
                <c:ptCount val="11"/>
                <c:lvl>
                  <c:pt idx="0">
                    <c:v>2018</c:v>
                  </c:pt>
                  <c:pt idx="1">
                    <c:v>2019</c:v>
                  </c:pt>
                  <c:pt idx="2">
                    <c:v>2020</c:v>
                  </c:pt>
                  <c:pt idx="4">
                    <c:v>2018</c:v>
                  </c:pt>
                  <c:pt idx="5">
                    <c:v>2019</c:v>
                  </c:pt>
                  <c:pt idx="6">
                    <c:v>2020</c:v>
                  </c:pt>
                  <c:pt idx="8">
                    <c:v>2018</c:v>
                  </c:pt>
                  <c:pt idx="9">
                    <c:v>2019</c:v>
                  </c:pt>
                  <c:pt idx="10">
                    <c:v>2020</c:v>
                  </c:pt>
                </c:lvl>
                <c:lvl>
                  <c:pt idx="0">
                    <c:v>NGET (TO)</c:v>
                  </c:pt>
                  <c:pt idx="4">
                    <c:v>SPT</c:v>
                  </c:pt>
                  <c:pt idx="8">
                    <c:v>SHET</c:v>
                  </c:pt>
                </c:lvl>
              </c:multiLvlStrCache>
            </c:multiLvlStrRef>
          </c:cat>
          <c:val>
            <c:numRef>
              <c:f>RORE!$I$9:$S$9</c:f>
              <c:numCache>
                <c:formatCode>0%</c:formatCode>
                <c:ptCount val="11"/>
                <c:pt idx="0">
                  <c:v>1.9635809517121465E-3</c:v>
                </c:pt>
                <c:pt idx="1">
                  <c:v>2.2809228014581632E-3</c:v>
                </c:pt>
                <c:pt idx="2">
                  <c:v>2.091383798175468E-3</c:v>
                </c:pt>
                <c:pt idx="4">
                  <c:v>3.8765730675260259E-3</c:v>
                </c:pt>
                <c:pt idx="5">
                  <c:v>4.0823286891733899E-3</c:v>
                </c:pt>
                <c:pt idx="6">
                  <c:v>4.3799218994852755E-3</c:v>
                </c:pt>
                <c:pt idx="8">
                  <c:v>1.5155700562822832E-3</c:v>
                </c:pt>
                <c:pt idx="9">
                  <c:v>2.394123489602312E-3</c:v>
                </c:pt>
                <c:pt idx="10">
                  <c:v>2.6870777303187781E-3</c:v>
                </c:pt>
              </c:numCache>
            </c:numRef>
          </c:val>
          <c:extLst>
            <c:ext xmlns:c16="http://schemas.microsoft.com/office/drawing/2014/chart" uri="{C3380CC4-5D6E-409C-BE32-E72D297353CC}">
              <c16:uniqueId val="{00000002-0DA6-4A53-89AD-FA718590DA59}"/>
            </c:ext>
          </c:extLst>
        </c:ser>
        <c:ser>
          <c:idx val="4"/>
          <c:order val="4"/>
          <c:tx>
            <c:strRef>
              <c:f>RORE!$H$11</c:f>
              <c:strCache>
                <c:ptCount val="1"/>
                <c:pt idx="0">
                  <c:v>Financing and tax performance</c:v>
                </c:pt>
              </c:strCache>
            </c:strRef>
          </c:tx>
          <c:spPr>
            <a:solidFill>
              <a:srgbClr val="F57F29"/>
            </a:solidFill>
            <a:ln>
              <a:noFill/>
            </a:ln>
            <a:effectLst/>
          </c:spPr>
          <c:invertIfNegative val="0"/>
          <c:cat>
            <c:multiLvlStrRef>
              <c:f>RORE!$I$5:$S$6</c:f>
              <c:multiLvlStrCache>
                <c:ptCount val="11"/>
                <c:lvl>
                  <c:pt idx="0">
                    <c:v>2018</c:v>
                  </c:pt>
                  <c:pt idx="1">
                    <c:v>2019</c:v>
                  </c:pt>
                  <c:pt idx="2">
                    <c:v>2020</c:v>
                  </c:pt>
                  <c:pt idx="4">
                    <c:v>2018</c:v>
                  </c:pt>
                  <c:pt idx="5">
                    <c:v>2019</c:v>
                  </c:pt>
                  <c:pt idx="6">
                    <c:v>2020</c:v>
                  </c:pt>
                  <c:pt idx="8">
                    <c:v>2018</c:v>
                  </c:pt>
                  <c:pt idx="9">
                    <c:v>2019</c:v>
                  </c:pt>
                  <c:pt idx="10">
                    <c:v>2020</c:v>
                  </c:pt>
                </c:lvl>
                <c:lvl>
                  <c:pt idx="0">
                    <c:v>NGET (TO)</c:v>
                  </c:pt>
                  <c:pt idx="4">
                    <c:v>SPT</c:v>
                  </c:pt>
                  <c:pt idx="8">
                    <c:v>SHET</c:v>
                  </c:pt>
                </c:lvl>
              </c:multiLvlStrCache>
            </c:multiLvlStrRef>
          </c:cat>
          <c:val>
            <c:numRef>
              <c:f>RORE!$I$11:$S$11</c:f>
              <c:numCache>
                <c:formatCode>0%</c:formatCode>
                <c:ptCount val="11"/>
                <c:pt idx="0">
                  <c:v>1.0942385146689902E-2</c:v>
                </c:pt>
                <c:pt idx="1">
                  <c:v>1.0639648694885961E-2</c:v>
                </c:pt>
                <c:pt idx="2">
                  <c:v>1.1507125603644731E-2</c:v>
                </c:pt>
                <c:pt idx="4">
                  <c:v>1.6843462882764199E-2</c:v>
                </c:pt>
                <c:pt idx="5">
                  <c:v>1.9726744208118357E-2</c:v>
                </c:pt>
                <c:pt idx="6">
                  <c:v>1.9557091785461708E-2</c:v>
                </c:pt>
                <c:pt idx="8">
                  <c:v>-1.1434551253278642E-2</c:v>
                </c:pt>
                <c:pt idx="9">
                  <c:v>2.6404698348117834E-3</c:v>
                </c:pt>
                <c:pt idx="10">
                  <c:v>8.6695616581819387E-3</c:v>
                </c:pt>
              </c:numCache>
            </c:numRef>
          </c:val>
          <c:extLst>
            <c:ext xmlns:c16="http://schemas.microsoft.com/office/drawing/2014/chart" uri="{C3380CC4-5D6E-409C-BE32-E72D297353CC}">
              <c16:uniqueId val="{00000003-0DA6-4A53-89AD-FA718590DA59}"/>
            </c:ext>
          </c:extLst>
        </c:ser>
        <c:dLbls>
          <c:showLegendKey val="0"/>
          <c:showVal val="0"/>
          <c:showCatName val="0"/>
          <c:showSerName val="0"/>
          <c:showPercent val="0"/>
          <c:showBubbleSize val="0"/>
        </c:dLbls>
        <c:gapWidth val="219"/>
        <c:overlap val="100"/>
        <c:axId val="1590444511"/>
        <c:axId val="1590443263"/>
      </c:barChart>
      <c:lineChart>
        <c:grouping val="standard"/>
        <c:varyColors val="0"/>
        <c:ser>
          <c:idx val="3"/>
          <c:order val="3"/>
          <c:tx>
            <c:strRef>
              <c:f>RORE!$H$10</c:f>
              <c:strCache>
                <c:ptCount val="1"/>
                <c:pt idx="0">
                  <c:v>Operational RoRE</c:v>
                </c:pt>
              </c:strCache>
            </c:strRef>
          </c:tx>
          <c:spPr>
            <a:ln w="28575" cap="rnd">
              <a:solidFill>
                <a:srgbClr val="00B2BF"/>
              </a:solidFill>
              <a:round/>
            </a:ln>
            <a:effectLst/>
          </c:spPr>
          <c:marker>
            <c:symbol val="circle"/>
            <c:size val="5"/>
            <c:spPr>
              <a:solidFill>
                <a:srgbClr val="00B2BF"/>
              </a:solidFill>
              <a:ln w="9525">
                <a:solidFill>
                  <a:schemeClr val="accent4"/>
                </a:solidFill>
              </a:ln>
              <a:effectLst/>
            </c:spPr>
          </c:marker>
          <c:cat>
            <c:multiLvlStrRef>
              <c:f>'[10]RoRE comparison 1718 -1819'!$C$44:$H$45</c:f>
              <c:multiLvlStrCache>
                <c:ptCount val="6"/>
                <c:lvl>
                  <c:pt idx="0">
                    <c:v>2018</c:v>
                  </c:pt>
                  <c:pt idx="1">
                    <c:v>2019</c:v>
                  </c:pt>
                  <c:pt idx="2">
                    <c:v>2018</c:v>
                  </c:pt>
                  <c:pt idx="3">
                    <c:v>2019</c:v>
                  </c:pt>
                  <c:pt idx="4">
                    <c:v>2018</c:v>
                  </c:pt>
                  <c:pt idx="5">
                    <c:v>2019</c:v>
                  </c:pt>
                </c:lvl>
                <c:lvl>
                  <c:pt idx="0">
                    <c:v>NGET (TO)</c:v>
                  </c:pt>
                  <c:pt idx="2">
                    <c:v>SPT</c:v>
                  </c:pt>
                  <c:pt idx="4">
                    <c:v>SHET</c:v>
                  </c:pt>
                </c:lvl>
              </c:multiLvlStrCache>
            </c:multiLvlStrRef>
          </c:cat>
          <c:val>
            <c:numRef>
              <c:f>RORE!$I$10:$S$10</c:f>
              <c:numCache>
                <c:formatCode>0.0%</c:formatCode>
                <c:ptCount val="11"/>
                <c:pt idx="0">
                  <c:v>9.3123518085153206E-2</c:v>
                </c:pt>
                <c:pt idx="1">
                  <c:v>9.4536389149961764E-2</c:v>
                </c:pt>
                <c:pt idx="2">
                  <c:v>9.5237911069730535E-2</c:v>
                </c:pt>
                <c:pt idx="4">
                  <c:v>8.7206144670121291E-2</c:v>
                </c:pt>
                <c:pt idx="5">
                  <c:v>8.8899767548089856E-2</c:v>
                </c:pt>
                <c:pt idx="6">
                  <c:v>9.2995822535997544E-2</c:v>
                </c:pt>
                <c:pt idx="8">
                  <c:v>9.1811125729052034E-2</c:v>
                </c:pt>
                <c:pt idx="9">
                  <c:v>8.8627088700032636E-2</c:v>
                </c:pt>
                <c:pt idx="10">
                  <c:v>8.5290358104215064E-2</c:v>
                </c:pt>
              </c:numCache>
            </c:numRef>
          </c:val>
          <c:smooth val="0"/>
          <c:extLst>
            <c:ext xmlns:c16="http://schemas.microsoft.com/office/drawing/2014/chart" uri="{C3380CC4-5D6E-409C-BE32-E72D297353CC}">
              <c16:uniqueId val="{00000004-0DA6-4A53-89AD-FA718590DA59}"/>
            </c:ext>
          </c:extLst>
        </c:ser>
        <c:ser>
          <c:idx val="5"/>
          <c:order val="5"/>
          <c:tx>
            <c:strRef>
              <c:f>RORE!$H$12</c:f>
              <c:strCache>
                <c:ptCount val="1"/>
                <c:pt idx="0">
                  <c:v>Total RoRE - with financing and tax</c:v>
                </c:pt>
              </c:strCache>
            </c:strRef>
          </c:tx>
          <c:spPr>
            <a:ln w="28575" cap="rnd">
              <a:solidFill>
                <a:srgbClr val="2062AF"/>
              </a:solidFill>
              <a:round/>
            </a:ln>
            <a:effectLst/>
          </c:spPr>
          <c:marker>
            <c:symbol val="circle"/>
            <c:size val="5"/>
            <c:spPr>
              <a:solidFill>
                <a:srgbClr val="2062AF"/>
              </a:solidFill>
              <a:ln w="9525">
                <a:solidFill>
                  <a:schemeClr val="accent6"/>
                </a:solidFill>
              </a:ln>
              <a:effectLst/>
            </c:spPr>
          </c:marker>
          <c:cat>
            <c:multiLvlStrRef>
              <c:f>'[10]RoRE comparison 1718 -1819'!$C$44:$H$45</c:f>
              <c:multiLvlStrCache>
                <c:ptCount val="6"/>
                <c:lvl>
                  <c:pt idx="0">
                    <c:v>2018</c:v>
                  </c:pt>
                  <c:pt idx="1">
                    <c:v>2019</c:v>
                  </c:pt>
                  <c:pt idx="2">
                    <c:v>2018</c:v>
                  </c:pt>
                  <c:pt idx="3">
                    <c:v>2019</c:v>
                  </c:pt>
                  <c:pt idx="4">
                    <c:v>2018</c:v>
                  </c:pt>
                  <c:pt idx="5">
                    <c:v>2019</c:v>
                  </c:pt>
                </c:lvl>
                <c:lvl>
                  <c:pt idx="0">
                    <c:v>NGET (TO)</c:v>
                  </c:pt>
                  <c:pt idx="2">
                    <c:v>SPT</c:v>
                  </c:pt>
                  <c:pt idx="4">
                    <c:v>SHET</c:v>
                  </c:pt>
                </c:lvl>
              </c:multiLvlStrCache>
            </c:multiLvlStrRef>
          </c:cat>
          <c:val>
            <c:numRef>
              <c:f>RORE!$I$12:$S$12</c:f>
              <c:numCache>
                <c:formatCode>0.0%</c:formatCode>
                <c:ptCount val="11"/>
                <c:pt idx="0">
                  <c:v>0.10406590323184312</c:v>
                </c:pt>
                <c:pt idx="1">
                  <c:v>0.10517603784484772</c:v>
                </c:pt>
                <c:pt idx="2">
                  <c:v>0.10674503667337526</c:v>
                </c:pt>
                <c:pt idx="4">
                  <c:v>0.10404960755288549</c:v>
                </c:pt>
                <c:pt idx="5">
                  <c:v>0.10862651175620822</c:v>
                </c:pt>
                <c:pt idx="6">
                  <c:v>0.11255291432145925</c:v>
                </c:pt>
                <c:pt idx="8">
                  <c:v>8.0376574475773399E-2</c:v>
                </c:pt>
                <c:pt idx="9">
                  <c:v>9.1267558534844417E-2</c:v>
                </c:pt>
                <c:pt idx="10">
                  <c:v>9.3959919762397009E-2</c:v>
                </c:pt>
              </c:numCache>
            </c:numRef>
          </c:val>
          <c:smooth val="0"/>
          <c:extLst>
            <c:ext xmlns:c16="http://schemas.microsoft.com/office/drawing/2014/chart" uri="{C3380CC4-5D6E-409C-BE32-E72D297353CC}">
              <c16:uniqueId val="{00000005-0DA6-4A53-89AD-FA718590DA59}"/>
            </c:ext>
          </c:extLst>
        </c:ser>
        <c:dLbls>
          <c:showLegendKey val="0"/>
          <c:showVal val="0"/>
          <c:showCatName val="0"/>
          <c:showSerName val="0"/>
          <c:showPercent val="0"/>
          <c:showBubbleSize val="0"/>
        </c:dLbls>
        <c:marker val="1"/>
        <c:smooth val="0"/>
        <c:axId val="1590444511"/>
        <c:axId val="1590443263"/>
      </c:lineChart>
      <c:catAx>
        <c:axId val="159044451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590443263"/>
        <c:crosses val="autoZero"/>
        <c:auto val="1"/>
        <c:lblAlgn val="ctr"/>
        <c:lblOffset val="100"/>
        <c:noMultiLvlLbl val="0"/>
      </c:catAx>
      <c:valAx>
        <c:axId val="159044326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5904445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sz="1400" b="1" i="0" baseline="0">
                <a:solidFill>
                  <a:schemeClr val="tx1"/>
                </a:solidFill>
                <a:effectLst/>
              </a:rPr>
              <a:t>SF6 leakage: SPT and SHET</a:t>
            </a:r>
            <a:endParaRPr lang="en-GB" sz="1400" b="1">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'Incentives - charts '!$B$51</c:f>
              <c:strCache>
                <c:ptCount val="1"/>
                <c:pt idx="0">
                  <c:v>2014-15</c:v>
                </c:pt>
              </c:strCache>
            </c:strRef>
          </c:tx>
          <c:spPr>
            <a:solidFill>
              <a:srgbClr val="45216F"/>
            </a:solidFill>
            <a:ln>
              <a:noFill/>
            </a:ln>
            <a:effectLst/>
          </c:spPr>
          <c:invertIfNegative val="0"/>
          <c:cat>
            <c:strRef>
              <c:f>'Incentives - charts '!$C$49:$D$49</c:f>
              <c:strCache>
                <c:ptCount val="2"/>
                <c:pt idx="0">
                  <c:v>SPT</c:v>
                </c:pt>
                <c:pt idx="1">
                  <c:v>SHET</c:v>
                </c:pt>
              </c:strCache>
            </c:strRef>
          </c:cat>
          <c:val>
            <c:numRef>
              <c:f>'Incentives - charts '!$C$51:$D$51</c:f>
              <c:numCache>
                <c:formatCode>General</c:formatCode>
                <c:ptCount val="2"/>
                <c:pt idx="0">
                  <c:v>-97.171374999999898</c:v>
                </c:pt>
                <c:pt idx="1">
                  <c:v>166.1</c:v>
                </c:pt>
              </c:numCache>
            </c:numRef>
          </c:val>
          <c:extLst>
            <c:ext xmlns:c16="http://schemas.microsoft.com/office/drawing/2014/chart" uri="{C3380CC4-5D6E-409C-BE32-E72D297353CC}">
              <c16:uniqueId val="{00000000-7AD0-4109-A9F4-5CD971C6EA05}"/>
            </c:ext>
          </c:extLst>
        </c:ser>
        <c:ser>
          <c:idx val="1"/>
          <c:order val="1"/>
          <c:tx>
            <c:strRef>
              <c:f>'Incentives - charts '!$B$52</c:f>
              <c:strCache>
                <c:ptCount val="1"/>
                <c:pt idx="0">
                  <c:v>2015-16</c:v>
                </c:pt>
              </c:strCache>
            </c:strRef>
          </c:tx>
          <c:spPr>
            <a:solidFill>
              <a:srgbClr val="D0B00E"/>
            </a:solidFill>
            <a:ln>
              <a:noFill/>
            </a:ln>
            <a:effectLst/>
          </c:spPr>
          <c:invertIfNegative val="0"/>
          <c:cat>
            <c:strRef>
              <c:f>'Incentives - charts '!$C$49:$D$49</c:f>
              <c:strCache>
                <c:ptCount val="2"/>
                <c:pt idx="0">
                  <c:v>SPT</c:v>
                </c:pt>
                <c:pt idx="1">
                  <c:v>SHET</c:v>
                </c:pt>
              </c:strCache>
            </c:strRef>
          </c:cat>
          <c:val>
            <c:numRef>
              <c:f>'Incentives - charts '!$C$52:$D$52</c:f>
              <c:numCache>
                <c:formatCode>General</c:formatCode>
                <c:ptCount val="2"/>
                <c:pt idx="0">
                  <c:v>-177.86715000000004</c:v>
                </c:pt>
                <c:pt idx="1">
                  <c:v>48.574000000000012</c:v>
                </c:pt>
              </c:numCache>
            </c:numRef>
          </c:val>
          <c:extLst>
            <c:ext xmlns:c16="http://schemas.microsoft.com/office/drawing/2014/chart" uri="{C3380CC4-5D6E-409C-BE32-E72D297353CC}">
              <c16:uniqueId val="{00000001-7AD0-4109-A9F4-5CD971C6EA05}"/>
            </c:ext>
          </c:extLst>
        </c:ser>
        <c:ser>
          <c:idx val="2"/>
          <c:order val="2"/>
          <c:tx>
            <c:strRef>
              <c:f>'Incentives - charts '!$B$53</c:f>
              <c:strCache>
                <c:ptCount val="1"/>
                <c:pt idx="0">
                  <c:v>2016-17</c:v>
                </c:pt>
              </c:strCache>
            </c:strRef>
          </c:tx>
          <c:spPr>
            <a:solidFill>
              <a:srgbClr val="CD1543"/>
            </a:solidFill>
            <a:ln>
              <a:noFill/>
            </a:ln>
            <a:effectLst/>
          </c:spPr>
          <c:invertIfNegative val="0"/>
          <c:cat>
            <c:strRef>
              <c:f>'Incentives - charts '!$C$49:$D$49</c:f>
              <c:strCache>
                <c:ptCount val="2"/>
                <c:pt idx="0">
                  <c:v>SPT</c:v>
                </c:pt>
                <c:pt idx="1">
                  <c:v>SHET</c:v>
                </c:pt>
              </c:strCache>
            </c:strRef>
          </c:cat>
          <c:val>
            <c:numRef>
              <c:f>'Incentives - charts '!$C$53:$D$53</c:f>
              <c:numCache>
                <c:formatCode>General</c:formatCode>
                <c:ptCount val="2"/>
                <c:pt idx="0">
                  <c:v>-319.30882500000007</c:v>
                </c:pt>
                <c:pt idx="1">
                  <c:v>7.9000000000007731E-2</c:v>
                </c:pt>
              </c:numCache>
            </c:numRef>
          </c:val>
          <c:extLst>
            <c:ext xmlns:c16="http://schemas.microsoft.com/office/drawing/2014/chart" uri="{C3380CC4-5D6E-409C-BE32-E72D297353CC}">
              <c16:uniqueId val="{00000002-7AD0-4109-A9F4-5CD971C6EA05}"/>
            </c:ext>
          </c:extLst>
        </c:ser>
        <c:ser>
          <c:idx val="3"/>
          <c:order val="3"/>
          <c:tx>
            <c:strRef>
              <c:f>'Incentives - charts '!$B$54</c:f>
              <c:strCache>
                <c:ptCount val="1"/>
                <c:pt idx="0">
                  <c:v>2017-18</c:v>
                </c:pt>
              </c:strCache>
            </c:strRef>
          </c:tx>
          <c:spPr>
            <a:solidFill>
              <a:srgbClr val="2062AF"/>
            </a:solidFill>
            <a:ln>
              <a:noFill/>
            </a:ln>
            <a:effectLst/>
          </c:spPr>
          <c:invertIfNegative val="0"/>
          <c:cat>
            <c:strRef>
              <c:f>'Incentives - charts '!$C$49:$D$49</c:f>
              <c:strCache>
                <c:ptCount val="2"/>
                <c:pt idx="0">
                  <c:v>SPT</c:v>
                </c:pt>
                <c:pt idx="1">
                  <c:v>SHET</c:v>
                </c:pt>
              </c:strCache>
            </c:strRef>
          </c:cat>
          <c:val>
            <c:numRef>
              <c:f>'Incentives - charts '!$C$54:$D$54</c:f>
              <c:numCache>
                <c:formatCode>General</c:formatCode>
                <c:ptCount val="2"/>
                <c:pt idx="0">
                  <c:v>-322.09209999999996</c:v>
                </c:pt>
                <c:pt idx="1">
                  <c:v>-13.31475000000006</c:v>
                </c:pt>
              </c:numCache>
            </c:numRef>
          </c:val>
          <c:extLst>
            <c:ext xmlns:c16="http://schemas.microsoft.com/office/drawing/2014/chart" uri="{C3380CC4-5D6E-409C-BE32-E72D297353CC}">
              <c16:uniqueId val="{00000000-4890-4076-B0B8-A2299F7A36EC}"/>
            </c:ext>
          </c:extLst>
        </c:ser>
        <c:ser>
          <c:idx val="4"/>
          <c:order val="4"/>
          <c:tx>
            <c:strRef>
              <c:f>'Incentives - charts '!$B$55</c:f>
              <c:strCache>
                <c:ptCount val="1"/>
                <c:pt idx="0">
                  <c:v>2018-19</c:v>
                </c:pt>
              </c:strCache>
            </c:strRef>
          </c:tx>
          <c:spPr>
            <a:solidFill>
              <a:srgbClr val="00B2BF"/>
            </a:solidFill>
            <a:ln>
              <a:noFill/>
            </a:ln>
            <a:effectLst/>
          </c:spPr>
          <c:invertIfNegative val="0"/>
          <c:cat>
            <c:strRef>
              <c:f>'Incentives - charts '!$C$49:$D$49</c:f>
              <c:strCache>
                <c:ptCount val="2"/>
                <c:pt idx="0">
                  <c:v>SPT</c:v>
                </c:pt>
                <c:pt idx="1">
                  <c:v>SHET</c:v>
                </c:pt>
              </c:strCache>
            </c:strRef>
          </c:cat>
          <c:val>
            <c:numRef>
              <c:f>'Incentives - charts '!$C$55:$D$55</c:f>
              <c:numCache>
                <c:formatCode>General</c:formatCode>
                <c:ptCount val="2"/>
                <c:pt idx="0">
                  <c:v>-92.708150000000046</c:v>
                </c:pt>
                <c:pt idx="1">
                  <c:v>-5.0717500000000086</c:v>
                </c:pt>
              </c:numCache>
            </c:numRef>
          </c:val>
          <c:extLst>
            <c:ext xmlns:c16="http://schemas.microsoft.com/office/drawing/2014/chart" uri="{C3380CC4-5D6E-409C-BE32-E72D297353CC}">
              <c16:uniqueId val="{00000001-4890-4076-B0B8-A2299F7A36EC}"/>
            </c:ext>
          </c:extLst>
        </c:ser>
        <c:ser>
          <c:idx val="5"/>
          <c:order val="5"/>
          <c:tx>
            <c:strRef>
              <c:f>'Incentives - charts '!$B$56</c:f>
              <c:strCache>
                <c:ptCount val="1"/>
                <c:pt idx="0">
                  <c:v>2019-20</c:v>
                </c:pt>
              </c:strCache>
            </c:strRef>
          </c:tx>
          <c:spPr>
            <a:solidFill>
              <a:srgbClr val="A1ABC6"/>
            </a:solidFill>
            <a:ln>
              <a:noFill/>
            </a:ln>
            <a:effectLst/>
          </c:spPr>
          <c:invertIfNegative val="0"/>
          <c:cat>
            <c:strRef>
              <c:f>'Incentives - charts '!$C$49:$D$49</c:f>
              <c:strCache>
                <c:ptCount val="2"/>
                <c:pt idx="0">
                  <c:v>SPT</c:v>
                </c:pt>
                <c:pt idx="1">
                  <c:v>SHET</c:v>
                </c:pt>
              </c:strCache>
            </c:strRef>
          </c:cat>
          <c:val>
            <c:numRef>
              <c:f>'Incentives - charts '!$C$56:$D$56</c:f>
              <c:numCache>
                <c:formatCode>General</c:formatCode>
                <c:ptCount val="2"/>
                <c:pt idx="0">
                  <c:v>-360.15935000000047</c:v>
                </c:pt>
                <c:pt idx="1">
                  <c:v>45.938249999999982</c:v>
                </c:pt>
              </c:numCache>
            </c:numRef>
          </c:val>
          <c:extLst>
            <c:ext xmlns:c16="http://schemas.microsoft.com/office/drawing/2014/chart" uri="{C3380CC4-5D6E-409C-BE32-E72D297353CC}">
              <c16:uniqueId val="{00000002-4890-4076-B0B8-A2299F7A36EC}"/>
            </c:ext>
          </c:extLst>
        </c:ser>
        <c:dLbls>
          <c:showLegendKey val="0"/>
          <c:showVal val="0"/>
          <c:showCatName val="0"/>
          <c:showSerName val="0"/>
          <c:showPercent val="0"/>
          <c:showBubbleSize val="0"/>
        </c:dLbls>
        <c:gapWidth val="219"/>
        <c:overlap val="-27"/>
        <c:axId val="861874448"/>
        <c:axId val="861873792"/>
      </c:barChart>
      <c:catAx>
        <c:axId val="86187444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861873792"/>
        <c:crosses val="autoZero"/>
        <c:auto val="1"/>
        <c:lblAlgn val="ctr"/>
        <c:lblOffset val="100"/>
        <c:noMultiLvlLbl val="0"/>
      </c:catAx>
      <c:valAx>
        <c:axId val="861873792"/>
        <c:scaling>
          <c:orientation val="minMax"/>
        </c:scaling>
        <c:delete val="0"/>
        <c:axPos val="l"/>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Annual leakage kg</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61874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sz="1400" b="1" i="0" baseline="0">
                <a:solidFill>
                  <a:schemeClr val="tx1"/>
                </a:solidFill>
                <a:effectLst/>
              </a:rPr>
              <a:t>BCF: SPT and SHET</a:t>
            </a:r>
            <a:endParaRPr lang="en-GB" sz="1400" b="1">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0188817626417407"/>
          <c:y val="0.1584453798393442"/>
          <c:w val="0.87501471469366321"/>
          <c:h val="0.62448406223856456"/>
        </c:manualLayout>
      </c:layout>
      <c:barChart>
        <c:barDir val="col"/>
        <c:grouping val="clustered"/>
        <c:varyColors val="0"/>
        <c:ser>
          <c:idx val="1"/>
          <c:order val="0"/>
          <c:tx>
            <c:strRef>
              <c:f>'Incentives - charts '!$B$69</c:f>
              <c:strCache>
                <c:ptCount val="1"/>
                <c:pt idx="0">
                  <c:v>2014-15</c:v>
                </c:pt>
              </c:strCache>
            </c:strRef>
          </c:tx>
          <c:spPr>
            <a:solidFill>
              <a:srgbClr val="45216F"/>
            </a:solidFill>
            <a:ln>
              <a:noFill/>
            </a:ln>
            <a:effectLst/>
          </c:spPr>
          <c:invertIfNegative val="0"/>
          <c:cat>
            <c:strRef>
              <c:f>'Incentives - charts '!$D$68:$E$68</c:f>
              <c:strCache>
                <c:ptCount val="2"/>
                <c:pt idx="0">
                  <c:v>SHET</c:v>
                </c:pt>
                <c:pt idx="1">
                  <c:v>SPT</c:v>
                </c:pt>
              </c:strCache>
            </c:strRef>
          </c:cat>
          <c:val>
            <c:numRef>
              <c:f>'Incentives - charts '!$D$69:$E$69</c:f>
              <c:numCache>
                <c:formatCode>_-* #,##0_-;\-* #,##0_-;_-* "-"??_-;_-@_-</c:formatCode>
                <c:ptCount val="2"/>
                <c:pt idx="0">
                  <c:v>346188</c:v>
                </c:pt>
                <c:pt idx="1">
                  <c:v>258498.06617693813</c:v>
                </c:pt>
              </c:numCache>
            </c:numRef>
          </c:val>
          <c:extLst>
            <c:ext xmlns:c16="http://schemas.microsoft.com/office/drawing/2014/chart" uri="{C3380CC4-5D6E-409C-BE32-E72D297353CC}">
              <c16:uniqueId val="{00000001-0C90-4922-9F40-DFB6E6E28519}"/>
            </c:ext>
          </c:extLst>
        </c:ser>
        <c:ser>
          <c:idx val="2"/>
          <c:order val="1"/>
          <c:tx>
            <c:strRef>
              <c:f>'Incentives - charts '!$B$70</c:f>
              <c:strCache>
                <c:ptCount val="1"/>
                <c:pt idx="0">
                  <c:v>2015-16</c:v>
                </c:pt>
              </c:strCache>
            </c:strRef>
          </c:tx>
          <c:spPr>
            <a:solidFill>
              <a:srgbClr val="D0B00E"/>
            </a:solidFill>
            <a:ln>
              <a:noFill/>
            </a:ln>
            <a:effectLst/>
          </c:spPr>
          <c:invertIfNegative val="0"/>
          <c:cat>
            <c:strRef>
              <c:f>'Incentives - charts '!$D$68:$E$68</c:f>
              <c:strCache>
                <c:ptCount val="2"/>
                <c:pt idx="0">
                  <c:v>SHET</c:v>
                </c:pt>
                <c:pt idx="1">
                  <c:v>SPT</c:v>
                </c:pt>
              </c:strCache>
            </c:strRef>
          </c:cat>
          <c:val>
            <c:numRef>
              <c:f>'Incentives - charts '!$D$70:$E$70</c:f>
              <c:numCache>
                <c:formatCode>_-* #,##0_-;\-* #,##0_-;_-* "-"??_-;_-@_-</c:formatCode>
                <c:ptCount val="2"/>
                <c:pt idx="0">
                  <c:v>306158</c:v>
                </c:pt>
                <c:pt idx="1">
                  <c:v>210090.54150672312</c:v>
                </c:pt>
              </c:numCache>
            </c:numRef>
          </c:val>
          <c:extLst>
            <c:ext xmlns:c16="http://schemas.microsoft.com/office/drawing/2014/chart" uri="{C3380CC4-5D6E-409C-BE32-E72D297353CC}">
              <c16:uniqueId val="{00000002-822B-4170-B4B2-664CE27231C2}"/>
            </c:ext>
          </c:extLst>
        </c:ser>
        <c:ser>
          <c:idx val="0"/>
          <c:order val="2"/>
          <c:tx>
            <c:strRef>
              <c:f>'Incentives - charts '!$B$71</c:f>
              <c:strCache>
                <c:ptCount val="1"/>
                <c:pt idx="0">
                  <c:v>2016-17</c:v>
                </c:pt>
              </c:strCache>
            </c:strRef>
          </c:tx>
          <c:spPr>
            <a:solidFill>
              <a:srgbClr val="CD1525"/>
            </a:solidFill>
            <a:ln>
              <a:noFill/>
            </a:ln>
            <a:effectLst/>
          </c:spPr>
          <c:invertIfNegative val="0"/>
          <c:cat>
            <c:strRef>
              <c:f>'Incentives - charts '!$D$68:$E$68</c:f>
              <c:strCache>
                <c:ptCount val="2"/>
                <c:pt idx="0">
                  <c:v>SHET</c:v>
                </c:pt>
                <c:pt idx="1">
                  <c:v>SPT</c:v>
                </c:pt>
              </c:strCache>
            </c:strRef>
          </c:cat>
          <c:val>
            <c:numRef>
              <c:f>'Incentives - charts '!$D$71:$E$71</c:f>
              <c:numCache>
                <c:formatCode>_-* #,##0_-;\-* #,##0_-;_-* "-"??_-;_-@_-</c:formatCode>
                <c:ptCount val="2"/>
                <c:pt idx="0">
                  <c:v>124173</c:v>
                </c:pt>
                <c:pt idx="1">
                  <c:v>278778.14340608648</c:v>
                </c:pt>
              </c:numCache>
            </c:numRef>
          </c:val>
          <c:extLst>
            <c:ext xmlns:c16="http://schemas.microsoft.com/office/drawing/2014/chart" uri="{C3380CC4-5D6E-409C-BE32-E72D297353CC}">
              <c16:uniqueId val="{00000000-5239-4141-9C98-B2AB34976ADA}"/>
            </c:ext>
          </c:extLst>
        </c:ser>
        <c:ser>
          <c:idx val="3"/>
          <c:order val="3"/>
          <c:tx>
            <c:strRef>
              <c:f>'Incentives - charts '!$B$72</c:f>
              <c:strCache>
                <c:ptCount val="1"/>
                <c:pt idx="0">
                  <c:v>2017-18</c:v>
                </c:pt>
              </c:strCache>
            </c:strRef>
          </c:tx>
          <c:spPr>
            <a:solidFill>
              <a:srgbClr val="2062AF"/>
            </a:solidFill>
            <a:ln>
              <a:noFill/>
            </a:ln>
            <a:effectLst/>
          </c:spPr>
          <c:invertIfNegative val="0"/>
          <c:cat>
            <c:strRef>
              <c:f>'Incentives - charts '!$D$68:$E$68</c:f>
              <c:strCache>
                <c:ptCount val="2"/>
                <c:pt idx="0">
                  <c:v>SHET</c:v>
                </c:pt>
                <c:pt idx="1">
                  <c:v>SPT</c:v>
                </c:pt>
              </c:strCache>
            </c:strRef>
          </c:cat>
          <c:val>
            <c:numRef>
              <c:f>'Incentives - charts '!$D$72:$E$72</c:f>
              <c:numCache>
                <c:formatCode>_-* #,##0_-;\-* #,##0_-;_-* "-"??_-;_-@_-</c:formatCode>
                <c:ptCount val="2"/>
                <c:pt idx="0">
                  <c:v>122642</c:v>
                </c:pt>
                <c:pt idx="1">
                  <c:v>203164.27696665018</c:v>
                </c:pt>
              </c:numCache>
            </c:numRef>
          </c:val>
          <c:extLst>
            <c:ext xmlns:c16="http://schemas.microsoft.com/office/drawing/2014/chart" uri="{C3380CC4-5D6E-409C-BE32-E72D297353CC}">
              <c16:uniqueId val="{00000001-5239-4141-9C98-B2AB34976ADA}"/>
            </c:ext>
          </c:extLst>
        </c:ser>
        <c:ser>
          <c:idx val="4"/>
          <c:order val="4"/>
          <c:tx>
            <c:strRef>
              <c:f>'Incentives - charts '!$B$73</c:f>
              <c:strCache>
                <c:ptCount val="1"/>
                <c:pt idx="0">
                  <c:v>2018-19</c:v>
                </c:pt>
              </c:strCache>
            </c:strRef>
          </c:tx>
          <c:spPr>
            <a:solidFill>
              <a:srgbClr val="00B2BF"/>
            </a:solidFill>
            <a:ln>
              <a:noFill/>
            </a:ln>
            <a:effectLst/>
          </c:spPr>
          <c:invertIfNegative val="0"/>
          <c:cat>
            <c:strRef>
              <c:f>'Incentives - charts '!$D$68:$E$68</c:f>
              <c:strCache>
                <c:ptCount val="2"/>
                <c:pt idx="0">
                  <c:v>SHET</c:v>
                </c:pt>
                <c:pt idx="1">
                  <c:v>SPT</c:v>
                </c:pt>
              </c:strCache>
            </c:strRef>
          </c:cat>
          <c:val>
            <c:numRef>
              <c:f>'Incentives - charts '!$D$73:$E$73</c:f>
              <c:numCache>
                <c:formatCode>_-* #,##0_-;\-* #,##0_-;_-* "-"??_-;_-@_-</c:formatCode>
                <c:ptCount val="2"/>
                <c:pt idx="0">
                  <c:v>122017</c:v>
                </c:pt>
                <c:pt idx="1">
                  <c:v>225588.52340744235</c:v>
                </c:pt>
              </c:numCache>
            </c:numRef>
          </c:val>
          <c:extLst>
            <c:ext xmlns:c16="http://schemas.microsoft.com/office/drawing/2014/chart" uri="{C3380CC4-5D6E-409C-BE32-E72D297353CC}">
              <c16:uniqueId val="{00000002-5239-4141-9C98-B2AB34976ADA}"/>
            </c:ext>
          </c:extLst>
        </c:ser>
        <c:ser>
          <c:idx val="5"/>
          <c:order val="5"/>
          <c:tx>
            <c:strRef>
              <c:f>'Incentives - charts '!$B$74</c:f>
              <c:strCache>
                <c:ptCount val="1"/>
                <c:pt idx="0">
                  <c:v>2019-20</c:v>
                </c:pt>
              </c:strCache>
            </c:strRef>
          </c:tx>
          <c:spPr>
            <a:solidFill>
              <a:srgbClr val="A1ABB2"/>
            </a:solidFill>
            <a:ln>
              <a:noFill/>
            </a:ln>
            <a:effectLst/>
          </c:spPr>
          <c:invertIfNegative val="0"/>
          <c:cat>
            <c:strRef>
              <c:f>'Incentives - charts '!$D$68:$E$68</c:f>
              <c:strCache>
                <c:ptCount val="2"/>
                <c:pt idx="0">
                  <c:v>SHET</c:v>
                </c:pt>
                <c:pt idx="1">
                  <c:v>SPT</c:v>
                </c:pt>
              </c:strCache>
            </c:strRef>
          </c:cat>
          <c:val>
            <c:numRef>
              <c:f>'Incentives - charts '!$D$74:$E$74</c:f>
              <c:numCache>
                <c:formatCode>_-* #,##0_-;\-* #,##0_-;_-* "-"??_-;_-@_-</c:formatCode>
                <c:ptCount val="2"/>
                <c:pt idx="0">
                  <c:v>129361</c:v>
                </c:pt>
                <c:pt idx="1">
                  <c:v>209156.92</c:v>
                </c:pt>
              </c:numCache>
            </c:numRef>
          </c:val>
          <c:extLst>
            <c:ext xmlns:c16="http://schemas.microsoft.com/office/drawing/2014/chart" uri="{C3380CC4-5D6E-409C-BE32-E72D297353CC}">
              <c16:uniqueId val="{00000003-5239-4141-9C98-B2AB34976ADA}"/>
            </c:ext>
          </c:extLst>
        </c:ser>
        <c:dLbls>
          <c:showLegendKey val="0"/>
          <c:showVal val="0"/>
          <c:showCatName val="0"/>
          <c:showSerName val="0"/>
          <c:showPercent val="0"/>
          <c:showBubbleSize val="0"/>
        </c:dLbls>
        <c:gapWidth val="219"/>
        <c:overlap val="-27"/>
        <c:axId val="861874448"/>
        <c:axId val="861873792"/>
      </c:barChart>
      <c:catAx>
        <c:axId val="86187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861873792"/>
        <c:crosses val="autoZero"/>
        <c:auto val="1"/>
        <c:lblAlgn val="ctr"/>
        <c:lblOffset val="100"/>
        <c:noMultiLvlLbl val="0"/>
      </c:catAx>
      <c:valAx>
        <c:axId val="861873792"/>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61874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'Incentives - charts '!$B$27</c:f>
              <c:strCache>
                <c:ptCount val="1"/>
                <c:pt idx="0">
                  <c:v>2014-15</c:v>
                </c:pt>
              </c:strCache>
            </c:strRef>
          </c:tx>
          <c:spPr>
            <a:solidFill>
              <a:srgbClr val="45216F"/>
            </a:solidFill>
            <a:ln>
              <a:noFill/>
            </a:ln>
            <a:effectLst/>
          </c:spPr>
          <c:invertIfNegative val="0"/>
          <c:cat>
            <c:strRef>
              <c:f>'Incentives - charts '!$C$25:$E$25</c:f>
              <c:strCache>
                <c:ptCount val="3"/>
                <c:pt idx="0">
                  <c:v>SPT</c:v>
                </c:pt>
                <c:pt idx="1">
                  <c:v>NGET</c:v>
                </c:pt>
                <c:pt idx="2">
                  <c:v>SHET</c:v>
                </c:pt>
              </c:strCache>
            </c:strRef>
          </c:cat>
          <c:val>
            <c:numRef>
              <c:f>'Incentives - charts '!$C$27:$E$27</c:f>
              <c:numCache>
                <c:formatCode>General</c:formatCode>
                <c:ptCount val="3"/>
                <c:pt idx="0" formatCode="0">
                  <c:v>2.8</c:v>
                </c:pt>
                <c:pt idx="1">
                  <c:v>8.6999999999999993</c:v>
                </c:pt>
                <c:pt idx="2">
                  <c:v>106.1</c:v>
                </c:pt>
              </c:numCache>
            </c:numRef>
          </c:val>
          <c:extLst>
            <c:ext xmlns:c16="http://schemas.microsoft.com/office/drawing/2014/chart" uri="{C3380CC4-5D6E-409C-BE32-E72D297353CC}">
              <c16:uniqueId val="{00000000-A177-414C-B0A3-8866CACB5798}"/>
            </c:ext>
          </c:extLst>
        </c:ser>
        <c:ser>
          <c:idx val="1"/>
          <c:order val="1"/>
          <c:tx>
            <c:strRef>
              <c:f>'Incentives - charts '!$B$28</c:f>
              <c:strCache>
                <c:ptCount val="1"/>
                <c:pt idx="0">
                  <c:v>2015-16</c:v>
                </c:pt>
              </c:strCache>
            </c:strRef>
          </c:tx>
          <c:spPr>
            <a:solidFill>
              <a:srgbClr val="D0B00E"/>
            </a:solidFill>
            <a:ln>
              <a:noFill/>
            </a:ln>
            <a:effectLst/>
          </c:spPr>
          <c:invertIfNegative val="0"/>
          <c:cat>
            <c:strRef>
              <c:f>'Incentives - charts '!$C$25:$E$25</c:f>
              <c:strCache>
                <c:ptCount val="3"/>
                <c:pt idx="0">
                  <c:v>SPT</c:v>
                </c:pt>
                <c:pt idx="1">
                  <c:v>NGET</c:v>
                </c:pt>
                <c:pt idx="2">
                  <c:v>SHET</c:v>
                </c:pt>
              </c:strCache>
            </c:strRef>
          </c:cat>
          <c:val>
            <c:numRef>
              <c:f>'Incentives - charts '!$C$28:$E$28</c:f>
              <c:numCache>
                <c:formatCode>General</c:formatCode>
                <c:ptCount val="3"/>
                <c:pt idx="0" formatCode="0">
                  <c:v>13.879999999999999</c:v>
                </c:pt>
                <c:pt idx="1">
                  <c:v>4.5</c:v>
                </c:pt>
                <c:pt idx="2">
                  <c:v>0</c:v>
                </c:pt>
              </c:numCache>
            </c:numRef>
          </c:val>
          <c:extLst>
            <c:ext xmlns:c16="http://schemas.microsoft.com/office/drawing/2014/chart" uri="{C3380CC4-5D6E-409C-BE32-E72D297353CC}">
              <c16:uniqueId val="{00000001-A177-414C-B0A3-8866CACB5798}"/>
            </c:ext>
          </c:extLst>
        </c:ser>
        <c:ser>
          <c:idx val="2"/>
          <c:order val="2"/>
          <c:tx>
            <c:strRef>
              <c:f>'Incentives - charts '!$B$29</c:f>
              <c:strCache>
                <c:ptCount val="1"/>
                <c:pt idx="0">
                  <c:v>2016-17</c:v>
                </c:pt>
              </c:strCache>
            </c:strRef>
          </c:tx>
          <c:spPr>
            <a:solidFill>
              <a:srgbClr val="CD1543"/>
            </a:solidFill>
            <a:ln>
              <a:noFill/>
            </a:ln>
            <a:effectLst/>
          </c:spPr>
          <c:invertIfNegative val="0"/>
          <c:cat>
            <c:strRef>
              <c:f>'Incentives - charts '!$C$25:$E$25</c:f>
              <c:strCache>
                <c:ptCount val="3"/>
                <c:pt idx="0">
                  <c:v>SPT</c:v>
                </c:pt>
                <c:pt idx="1">
                  <c:v>NGET</c:v>
                </c:pt>
                <c:pt idx="2">
                  <c:v>SHET</c:v>
                </c:pt>
              </c:strCache>
            </c:strRef>
          </c:cat>
          <c:val>
            <c:numRef>
              <c:f>'Incentives - charts '!$C$29:$E$29</c:f>
              <c:numCache>
                <c:formatCode>General</c:formatCode>
                <c:ptCount val="3"/>
                <c:pt idx="0" formatCode="0">
                  <c:v>10.315693333333332</c:v>
                </c:pt>
                <c:pt idx="1">
                  <c:v>6.8</c:v>
                </c:pt>
                <c:pt idx="2">
                  <c:v>4.4000000000000004</c:v>
                </c:pt>
              </c:numCache>
            </c:numRef>
          </c:val>
          <c:extLst>
            <c:ext xmlns:c16="http://schemas.microsoft.com/office/drawing/2014/chart" uri="{C3380CC4-5D6E-409C-BE32-E72D297353CC}">
              <c16:uniqueId val="{00000002-A177-414C-B0A3-8866CACB5798}"/>
            </c:ext>
          </c:extLst>
        </c:ser>
        <c:ser>
          <c:idx val="3"/>
          <c:order val="3"/>
          <c:tx>
            <c:strRef>
              <c:f>'Incentives - charts '!$B$30</c:f>
              <c:strCache>
                <c:ptCount val="1"/>
                <c:pt idx="0">
                  <c:v>2017-18</c:v>
                </c:pt>
              </c:strCache>
            </c:strRef>
          </c:tx>
          <c:spPr>
            <a:solidFill>
              <a:srgbClr val="2062AF"/>
            </a:solidFill>
            <a:ln>
              <a:noFill/>
            </a:ln>
            <a:effectLst/>
          </c:spPr>
          <c:invertIfNegative val="0"/>
          <c:cat>
            <c:strRef>
              <c:f>'Incentives - charts '!$C$25:$E$25</c:f>
              <c:strCache>
                <c:ptCount val="3"/>
                <c:pt idx="0">
                  <c:v>SPT</c:v>
                </c:pt>
                <c:pt idx="1">
                  <c:v>NGET</c:v>
                </c:pt>
                <c:pt idx="2">
                  <c:v>SHET</c:v>
                </c:pt>
              </c:strCache>
            </c:strRef>
          </c:cat>
          <c:val>
            <c:numRef>
              <c:f>'Incentives - charts '!$C$30:$E$30</c:f>
              <c:numCache>
                <c:formatCode>General</c:formatCode>
                <c:ptCount val="3"/>
                <c:pt idx="0" formatCode="0">
                  <c:v>3.04</c:v>
                </c:pt>
                <c:pt idx="1">
                  <c:v>39.700000000000003</c:v>
                </c:pt>
                <c:pt idx="2">
                  <c:v>24.3</c:v>
                </c:pt>
              </c:numCache>
            </c:numRef>
          </c:val>
          <c:extLst>
            <c:ext xmlns:c16="http://schemas.microsoft.com/office/drawing/2014/chart" uri="{C3380CC4-5D6E-409C-BE32-E72D297353CC}">
              <c16:uniqueId val="{00000000-5F64-4CED-A6F9-8B40CBB28717}"/>
            </c:ext>
          </c:extLst>
        </c:ser>
        <c:ser>
          <c:idx val="4"/>
          <c:order val="4"/>
          <c:tx>
            <c:strRef>
              <c:f>'Incentives - charts '!$B$31</c:f>
              <c:strCache>
                <c:ptCount val="1"/>
                <c:pt idx="0">
                  <c:v>2018-19</c:v>
                </c:pt>
              </c:strCache>
            </c:strRef>
          </c:tx>
          <c:spPr>
            <a:solidFill>
              <a:srgbClr val="00B2BF"/>
            </a:solidFill>
            <a:ln>
              <a:noFill/>
            </a:ln>
            <a:effectLst/>
          </c:spPr>
          <c:invertIfNegative val="0"/>
          <c:cat>
            <c:strRef>
              <c:f>'Incentives - charts '!$C$25:$E$25</c:f>
              <c:strCache>
                <c:ptCount val="3"/>
                <c:pt idx="0">
                  <c:v>SPT</c:v>
                </c:pt>
                <c:pt idx="1">
                  <c:v>NGET</c:v>
                </c:pt>
                <c:pt idx="2">
                  <c:v>SHET</c:v>
                </c:pt>
              </c:strCache>
            </c:strRef>
          </c:cat>
          <c:val>
            <c:numRef>
              <c:f>'Incentives - charts '!$C$31:$E$31</c:f>
              <c:numCache>
                <c:formatCode>General</c:formatCode>
                <c:ptCount val="3"/>
                <c:pt idx="0" formatCode="0">
                  <c:v>39.086958335678325</c:v>
                </c:pt>
                <c:pt idx="1">
                  <c:v>12</c:v>
                </c:pt>
                <c:pt idx="2">
                  <c:v>0</c:v>
                </c:pt>
              </c:numCache>
            </c:numRef>
          </c:val>
          <c:extLst>
            <c:ext xmlns:c16="http://schemas.microsoft.com/office/drawing/2014/chart" uri="{C3380CC4-5D6E-409C-BE32-E72D297353CC}">
              <c16:uniqueId val="{00000001-5F64-4CED-A6F9-8B40CBB28717}"/>
            </c:ext>
          </c:extLst>
        </c:ser>
        <c:ser>
          <c:idx val="5"/>
          <c:order val="5"/>
          <c:tx>
            <c:strRef>
              <c:f>'Incentives - charts '!$B$32</c:f>
              <c:strCache>
                <c:ptCount val="1"/>
                <c:pt idx="0">
                  <c:v>2019-20</c:v>
                </c:pt>
              </c:strCache>
            </c:strRef>
          </c:tx>
          <c:spPr>
            <a:solidFill>
              <a:srgbClr val="A1ABC6"/>
            </a:solidFill>
            <a:ln>
              <a:noFill/>
            </a:ln>
            <a:effectLst/>
          </c:spPr>
          <c:invertIfNegative val="0"/>
          <c:cat>
            <c:strRef>
              <c:f>'Incentives - charts '!$C$25:$E$25</c:f>
              <c:strCache>
                <c:ptCount val="3"/>
                <c:pt idx="0">
                  <c:v>SPT</c:v>
                </c:pt>
                <c:pt idx="1">
                  <c:v>NGET</c:v>
                </c:pt>
                <c:pt idx="2">
                  <c:v>SHET</c:v>
                </c:pt>
              </c:strCache>
            </c:strRef>
          </c:cat>
          <c:val>
            <c:numRef>
              <c:f>'Incentives - charts '!$C$32:$E$32</c:f>
              <c:numCache>
                <c:formatCode>General</c:formatCode>
                <c:ptCount val="3"/>
                <c:pt idx="0" formatCode="0">
                  <c:v>2</c:v>
                </c:pt>
                <c:pt idx="1">
                  <c:v>54.4</c:v>
                </c:pt>
                <c:pt idx="2">
                  <c:v>1.1499999999999999</c:v>
                </c:pt>
              </c:numCache>
            </c:numRef>
          </c:val>
          <c:extLst>
            <c:ext xmlns:c16="http://schemas.microsoft.com/office/drawing/2014/chart" uri="{C3380CC4-5D6E-409C-BE32-E72D297353CC}">
              <c16:uniqueId val="{00000002-5F64-4CED-A6F9-8B40CBB28717}"/>
            </c:ext>
          </c:extLst>
        </c:ser>
        <c:dLbls>
          <c:showLegendKey val="0"/>
          <c:showVal val="0"/>
          <c:showCatName val="0"/>
          <c:showSerName val="0"/>
          <c:showPercent val="0"/>
          <c:showBubbleSize val="0"/>
        </c:dLbls>
        <c:gapWidth val="219"/>
        <c:overlap val="-27"/>
        <c:axId val="861874448"/>
        <c:axId val="861873792"/>
      </c:barChart>
      <c:catAx>
        <c:axId val="86187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861873792"/>
        <c:crosses val="autoZero"/>
        <c:auto val="1"/>
        <c:lblAlgn val="ctr"/>
        <c:lblOffset val="100"/>
        <c:noMultiLvlLbl val="0"/>
      </c:catAx>
      <c:valAx>
        <c:axId val="861873792"/>
        <c:scaling>
          <c:orientation val="minMax"/>
          <c:max val="6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Annual MWh</a:t>
                </a:r>
                <a:r>
                  <a:rPr lang="en-US" baseline="0"/>
                  <a:t> lost</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6187444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sz="1400" b="1" i="0" baseline="0">
                <a:solidFill>
                  <a:schemeClr val="tx1"/>
                </a:solidFill>
                <a:effectLst/>
              </a:rPr>
              <a:t>SF6 leakage: NGET TO</a:t>
            </a:r>
            <a:endParaRPr lang="en-GB" sz="1400" b="1">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'Incentives - charts '!$F$51</c:f>
              <c:strCache>
                <c:ptCount val="1"/>
                <c:pt idx="0">
                  <c:v>2014-15</c:v>
                </c:pt>
              </c:strCache>
            </c:strRef>
          </c:tx>
          <c:spPr>
            <a:solidFill>
              <a:srgbClr val="45216F"/>
            </a:solidFill>
            <a:ln>
              <a:noFill/>
            </a:ln>
            <a:effectLst/>
          </c:spPr>
          <c:invertIfNegative val="0"/>
          <c:cat>
            <c:strRef>
              <c:f>'Incentives - charts '!$G$49</c:f>
              <c:strCache>
                <c:ptCount val="1"/>
                <c:pt idx="0">
                  <c:v>NGET TO</c:v>
                </c:pt>
              </c:strCache>
            </c:strRef>
          </c:cat>
          <c:val>
            <c:numRef>
              <c:f>'Incentives - charts '!$G$51</c:f>
              <c:numCache>
                <c:formatCode>General</c:formatCode>
                <c:ptCount val="1"/>
                <c:pt idx="0">
                  <c:v>-2615.1680500000002</c:v>
                </c:pt>
              </c:numCache>
            </c:numRef>
          </c:val>
          <c:extLst>
            <c:ext xmlns:c16="http://schemas.microsoft.com/office/drawing/2014/chart" uri="{C3380CC4-5D6E-409C-BE32-E72D297353CC}">
              <c16:uniqueId val="{00000000-D137-444D-BFBD-CCF2966B73A2}"/>
            </c:ext>
          </c:extLst>
        </c:ser>
        <c:ser>
          <c:idx val="1"/>
          <c:order val="1"/>
          <c:tx>
            <c:strRef>
              <c:f>'Incentives - charts '!$F$52</c:f>
              <c:strCache>
                <c:ptCount val="1"/>
                <c:pt idx="0">
                  <c:v>2015-16</c:v>
                </c:pt>
              </c:strCache>
            </c:strRef>
          </c:tx>
          <c:spPr>
            <a:solidFill>
              <a:srgbClr val="D0B00E"/>
            </a:solidFill>
            <a:ln>
              <a:noFill/>
            </a:ln>
            <a:effectLst/>
          </c:spPr>
          <c:invertIfNegative val="0"/>
          <c:cat>
            <c:strRef>
              <c:f>'Incentives - charts '!$G$49</c:f>
              <c:strCache>
                <c:ptCount val="1"/>
                <c:pt idx="0">
                  <c:v>NGET TO</c:v>
                </c:pt>
              </c:strCache>
            </c:strRef>
          </c:cat>
          <c:val>
            <c:numRef>
              <c:f>'Incentives - charts '!$G$52</c:f>
              <c:numCache>
                <c:formatCode>General</c:formatCode>
                <c:ptCount val="1"/>
                <c:pt idx="0">
                  <c:v>-2558.7900550000013</c:v>
                </c:pt>
              </c:numCache>
            </c:numRef>
          </c:val>
          <c:extLst>
            <c:ext xmlns:c16="http://schemas.microsoft.com/office/drawing/2014/chart" uri="{C3380CC4-5D6E-409C-BE32-E72D297353CC}">
              <c16:uniqueId val="{00000006-B006-44A4-84EA-913FBB8A06BA}"/>
            </c:ext>
          </c:extLst>
        </c:ser>
        <c:ser>
          <c:idx val="2"/>
          <c:order val="2"/>
          <c:tx>
            <c:strRef>
              <c:f>'Incentives - charts '!$F$53</c:f>
              <c:strCache>
                <c:ptCount val="1"/>
                <c:pt idx="0">
                  <c:v>2016-17</c:v>
                </c:pt>
              </c:strCache>
            </c:strRef>
          </c:tx>
          <c:spPr>
            <a:solidFill>
              <a:srgbClr val="CD1543"/>
            </a:solidFill>
            <a:ln>
              <a:noFill/>
            </a:ln>
            <a:effectLst/>
          </c:spPr>
          <c:invertIfNegative val="0"/>
          <c:cat>
            <c:strRef>
              <c:f>'Incentives - charts '!$G$49</c:f>
              <c:strCache>
                <c:ptCount val="1"/>
                <c:pt idx="0">
                  <c:v>NGET TO</c:v>
                </c:pt>
              </c:strCache>
            </c:strRef>
          </c:cat>
          <c:val>
            <c:numRef>
              <c:f>'Incentives - charts '!$G$53</c:f>
              <c:numCache>
                <c:formatCode>General</c:formatCode>
                <c:ptCount val="1"/>
                <c:pt idx="0">
                  <c:v>-1353.9575850000019</c:v>
                </c:pt>
              </c:numCache>
            </c:numRef>
          </c:val>
          <c:extLst>
            <c:ext xmlns:c16="http://schemas.microsoft.com/office/drawing/2014/chart" uri="{C3380CC4-5D6E-409C-BE32-E72D297353CC}">
              <c16:uniqueId val="{00000007-B006-44A4-84EA-913FBB8A06BA}"/>
            </c:ext>
          </c:extLst>
        </c:ser>
        <c:ser>
          <c:idx val="3"/>
          <c:order val="3"/>
          <c:tx>
            <c:strRef>
              <c:f>'Incentives - charts '!$F$54</c:f>
              <c:strCache>
                <c:ptCount val="1"/>
                <c:pt idx="0">
                  <c:v>2017-18</c:v>
                </c:pt>
              </c:strCache>
            </c:strRef>
          </c:tx>
          <c:spPr>
            <a:solidFill>
              <a:srgbClr val="2062AF"/>
            </a:solidFill>
            <a:ln>
              <a:noFill/>
            </a:ln>
            <a:effectLst/>
          </c:spPr>
          <c:invertIfNegative val="0"/>
          <c:dPt>
            <c:idx val="0"/>
            <c:invertIfNegative val="0"/>
            <c:bubble3D val="0"/>
            <c:spPr>
              <a:solidFill>
                <a:srgbClr val="2062AF"/>
              </a:solidFill>
              <a:ln>
                <a:noFill/>
              </a:ln>
              <a:effectLst/>
            </c:spPr>
            <c:extLst>
              <c:ext xmlns:c16="http://schemas.microsoft.com/office/drawing/2014/chart" uri="{C3380CC4-5D6E-409C-BE32-E72D297353CC}">
                <c16:uniqueId val="{0000000C-B006-44A4-84EA-913FBB8A06BA}"/>
              </c:ext>
            </c:extLst>
          </c:dPt>
          <c:cat>
            <c:strRef>
              <c:f>'Incentives - charts '!$G$49</c:f>
              <c:strCache>
                <c:ptCount val="1"/>
                <c:pt idx="0">
                  <c:v>NGET TO</c:v>
                </c:pt>
              </c:strCache>
            </c:strRef>
          </c:cat>
          <c:val>
            <c:numRef>
              <c:f>'Incentives - charts '!$G$54</c:f>
              <c:numCache>
                <c:formatCode>General</c:formatCode>
                <c:ptCount val="1"/>
                <c:pt idx="0">
                  <c:v>-2844.1674325000004</c:v>
                </c:pt>
              </c:numCache>
            </c:numRef>
          </c:val>
          <c:extLst>
            <c:ext xmlns:c16="http://schemas.microsoft.com/office/drawing/2014/chart" uri="{C3380CC4-5D6E-409C-BE32-E72D297353CC}">
              <c16:uniqueId val="{00000008-B006-44A4-84EA-913FBB8A06BA}"/>
            </c:ext>
          </c:extLst>
        </c:ser>
        <c:ser>
          <c:idx val="4"/>
          <c:order val="4"/>
          <c:tx>
            <c:strRef>
              <c:f>'Incentives - charts '!$F$55</c:f>
              <c:strCache>
                <c:ptCount val="1"/>
                <c:pt idx="0">
                  <c:v>2018-19</c:v>
                </c:pt>
              </c:strCache>
            </c:strRef>
          </c:tx>
          <c:spPr>
            <a:solidFill>
              <a:srgbClr val="00B2BF"/>
            </a:solidFill>
            <a:ln>
              <a:noFill/>
            </a:ln>
            <a:effectLst/>
          </c:spPr>
          <c:invertIfNegative val="0"/>
          <c:cat>
            <c:strRef>
              <c:f>'Incentives - charts '!$G$49</c:f>
              <c:strCache>
                <c:ptCount val="1"/>
                <c:pt idx="0">
                  <c:v>NGET TO</c:v>
                </c:pt>
              </c:strCache>
            </c:strRef>
          </c:cat>
          <c:val>
            <c:numRef>
              <c:f>'Incentives - charts '!$G$55</c:f>
              <c:numCache>
                <c:formatCode>General</c:formatCode>
                <c:ptCount val="1"/>
                <c:pt idx="0">
                  <c:v>-206.41475499999979</c:v>
                </c:pt>
              </c:numCache>
            </c:numRef>
          </c:val>
          <c:extLst>
            <c:ext xmlns:c16="http://schemas.microsoft.com/office/drawing/2014/chart" uri="{C3380CC4-5D6E-409C-BE32-E72D297353CC}">
              <c16:uniqueId val="{00000009-B006-44A4-84EA-913FBB8A06BA}"/>
            </c:ext>
          </c:extLst>
        </c:ser>
        <c:ser>
          <c:idx val="5"/>
          <c:order val="5"/>
          <c:tx>
            <c:strRef>
              <c:f>'Incentives - charts '!$F$56</c:f>
              <c:strCache>
                <c:ptCount val="1"/>
                <c:pt idx="0">
                  <c:v>2019-20</c:v>
                </c:pt>
              </c:strCache>
            </c:strRef>
          </c:tx>
          <c:spPr>
            <a:solidFill>
              <a:srgbClr val="A1ABB2"/>
            </a:solidFill>
            <a:ln>
              <a:noFill/>
            </a:ln>
            <a:effectLst/>
          </c:spPr>
          <c:invertIfNegative val="0"/>
          <c:cat>
            <c:strRef>
              <c:f>'Incentives - charts '!$G$49</c:f>
              <c:strCache>
                <c:ptCount val="1"/>
                <c:pt idx="0">
                  <c:v>NGET TO</c:v>
                </c:pt>
              </c:strCache>
            </c:strRef>
          </c:cat>
          <c:val>
            <c:numRef>
              <c:f>'Incentives - charts '!$G$56</c:f>
              <c:numCache>
                <c:formatCode>General</c:formatCode>
                <c:ptCount val="1"/>
                <c:pt idx="0">
                  <c:v>-45.234446249998655</c:v>
                </c:pt>
              </c:numCache>
            </c:numRef>
          </c:val>
          <c:extLst>
            <c:ext xmlns:c16="http://schemas.microsoft.com/office/drawing/2014/chart" uri="{C3380CC4-5D6E-409C-BE32-E72D297353CC}">
              <c16:uniqueId val="{0000000A-B006-44A4-84EA-913FBB8A06BA}"/>
            </c:ext>
          </c:extLst>
        </c:ser>
        <c:dLbls>
          <c:showLegendKey val="0"/>
          <c:showVal val="0"/>
          <c:showCatName val="0"/>
          <c:showSerName val="0"/>
          <c:showPercent val="0"/>
          <c:showBubbleSize val="0"/>
        </c:dLbls>
        <c:gapWidth val="120"/>
        <c:overlap val="-100"/>
        <c:axId val="861874448"/>
        <c:axId val="861873792"/>
      </c:barChart>
      <c:catAx>
        <c:axId val="86187444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861873792"/>
        <c:crosses val="autoZero"/>
        <c:auto val="1"/>
        <c:lblAlgn val="ctr"/>
        <c:lblOffset val="100"/>
        <c:noMultiLvlLbl val="0"/>
      </c:catAx>
      <c:valAx>
        <c:axId val="861873792"/>
        <c:scaling>
          <c:orientation val="minMax"/>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Annual leakage kg</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61874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sz="1400" b="1" i="0" baseline="0">
                <a:solidFill>
                  <a:schemeClr val="tx1"/>
                </a:solidFill>
                <a:effectLst/>
              </a:rPr>
              <a:t>BCF: NGET</a:t>
            </a:r>
            <a:endParaRPr lang="en-GB" sz="1400" b="1">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'Incentives - charts '!$B$69</c:f>
              <c:strCache>
                <c:ptCount val="1"/>
                <c:pt idx="0">
                  <c:v>2014-15</c:v>
                </c:pt>
              </c:strCache>
            </c:strRef>
          </c:tx>
          <c:spPr>
            <a:solidFill>
              <a:srgbClr val="45216F"/>
            </a:solidFill>
            <a:ln>
              <a:noFill/>
            </a:ln>
            <a:effectLst/>
          </c:spPr>
          <c:invertIfNegative val="0"/>
          <c:cat>
            <c:strRef>
              <c:f>'Incentives - charts '!$C$68</c:f>
              <c:strCache>
                <c:ptCount val="1"/>
                <c:pt idx="0">
                  <c:v>NGET TO</c:v>
                </c:pt>
              </c:strCache>
            </c:strRef>
          </c:cat>
          <c:val>
            <c:numRef>
              <c:f>'Incentives - charts '!$C$69</c:f>
              <c:numCache>
                <c:formatCode>_-* #,##0_-;\-* #,##0_-;_-* "-"??_-;_-@_-</c:formatCode>
                <c:ptCount val="1"/>
                <c:pt idx="0">
                  <c:v>2552420</c:v>
                </c:pt>
              </c:numCache>
            </c:numRef>
          </c:val>
          <c:extLst>
            <c:ext xmlns:c16="http://schemas.microsoft.com/office/drawing/2014/chart" uri="{C3380CC4-5D6E-409C-BE32-E72D297353CC}">
              <c16:uniqueId val="{00000000-7886-4156-93D7-DF51C3BF6CD6}"/>
            </c:ext>
          </c:extLst>
        </c:ser>
        <c:ser>
          <c:idx val="1"/>
          <c:order val="1"/>
          <c:tx>
            <c:strRef>
              <c:f>'Incentives - charts '!$B$70</c:f>
              <c:strCache>
                <c:ptCount val="1"/>
                <c:pt idx="0">
                  <c:v>2015-16</c:v>
                </c:pt>
              </c:strCache>
            </c:strRef>
          </c:tx>
          <c:spPr>
            <a:solidFill>
              <a:srgbClr val="D0B00E"/>
            </a:solidFill>
            <a:ln>
              <a:noFill/>
            </a:ln>
            <a:effectLst/>
          </c:spPr>
          <c:invertIfNegative val="0"/>
          <c:cat>
            <c:strRef>
              <c:f>'Incentives - charts '!$C$68</c:f>
              <c:strCache>
                <c:ptCount val="1"/>
                <c:pt idx="0">
                  <c:v>NGET TO</c:v>
                </c:pt>
              </c:strCache>
            </c:strRef>
          </c:cat>
          <c:val>
            <c:numRef>
              <c:f>'Incentives - charts '!$C$70</c:f>
              <c:numCache>
                <c:formatCode>_-* #,##0_-;\-* #,##0_-;_-* "-"??_-;_-@_-</c:formatCode>
                <c:ptCount val="1"/>
                <c:pt idx="0">
                  <c:v>2400267</c:v>
                </c:pt>
              </c:numCache>
            </c:numRef>
          </c:val>
          <c:extLst>
            <c:ext xmlns:c16="http://schemas.microsoft.com/office/drawing/2014/chart" uri="{C3380CC4-5D6E-409C-BE32-E72D297353CC}">
              <c16:uniqueId val="{00000000-E1DE-46D6-9227-339129D1859D}"/>
            </c:ext>
          </c:extLst>
        </c:ser>
        <c:ser>
          <c:idx val="2"/>
          <c:order val="2"/>
          <c:tx>
            <c:strRef>
              <c:f>'Incentives - charts '!$B$71</c:f>
              <c:strCache>
                <c:ptCount val="1"/>
                <c:pt idx="0">
                  <c:v>2016-17</c:v>
                </c:pt>
              </c:strCache>
            </c:strRef>
          </c:tx>
          <c:spPr>
            <a:solidFill>
              <a:srgbClr val="CD1525"/>
            </a:solidFill>
            <a:ln>
              <a:noFill/>
            </a:ln>
            <a:effectLst/>
          </c:spPr>
          <c:invertIfNegative val="0"/>
          <c:cat>
            <c:strRef>
              <c:f>'Incentives - charts '!$C$68</c:f>
              <c:strCache>
                <c:ptCount val="1"/>
                <c:pt idx="0">
                  <c:v>NGET TO</c:v>
                </c:pt>
              </c:strCache>
            </c:strRef>
          </c:cat>
          <c:val>
            <c:numRef>
              <c:f>'Incentives - charts '!$C$71</c:f>
              <c:numCache>
                <c:formatCode>_-* #,##0_-;\-* #,##0_-;_-* "-"??_-;_-@_-</c:formatCode>
                <c:ptCount val="1"/>
                <c:pt idx="0">
                  <c:v>1986349</c:v>
                </c:pt>
              </c:numCache>
            </c:numRef>
          </c:val>
          <c:extLst>
            <c:ext xmlns:c16="http://schemas.microsoft.com/office/drawing/2014/chart" uri="{C3380CC4-5D6E-409C-BE32-E72D297353CC}">
              <c16:uniqueId val="{00000001-E1DE-46D6-9227-339129D1859D}"/>
            </c:ext>
          </c:extLst>
        </c:ser>
        <c:ser>
          <c:idx val="3"/>
          <c:order val="3"/>
          <c:tx>
            <c:strRef>
              <c:f>'Incentives - charts '!$B$72</c:f>
              <c:strCache>
                <c:ptCount val="1"/>
                <c:pt idx="0">
                  <c:v>2017-18</c:v>
                </c:pt>
              </c:strCache>
            </c:strRef>
          </c:tx>
          <c:spPr>
            <a:solidFill>
              <a:srgbClr val="2062AF"/>
            </a:solidFill>
            <a:ln>
              <a:noFill/>
            </a:ln>
            <a:effectLst/>
          </c:spPr>
          <c:invertIfNegative val="0"/>
          <c:cat>
            <c:strRef>
              <c:f>'Incentives - charts '!$C$68</c:f>
              <c:strCache>
                <c:ptCount val="1"/>
                <c:pt idx="0">
                  <c:v>NGET TO</c:v>
                </c:pt>
              </c:strCache>
            </c:strRef>
          </c:cat>
          <c:val>
            <c:numRef>
              <c:f>'Incentives - charts '!$C$72</c:f>
              <c:numCache>
                <c:formatCode>_-* #,##0_-;\-* #,##0_-;_-* "-"??_-;_-@_-</c:formatCode>
                <c:ptCount val="1"/>
                <c:pt idx="0">
                  <c:v>1886503</c:v>
                </c:pt>
              </c:numCache>
            </c:numRef>
          </c:val>
          <c:extLst>
            <c:ext xmlns:c16="http://schemas.microsoft.com/office/drawing/2014/chart" uri="{C3380CC4-5D6E-409C-BE32-E72D297353CC}">
              <c16:uniqueId val="{00000002-E1DE-46D6-9227-339129D1859D}"/>
            </c:ext>
          </c:extLst>
        </c:ser>
        <c:ser>
          <c:idx val="4"/>
          <c:order val="4"/>
          <c:tx>
            <c:strRef>
              <c:f>'Incentives - charts '!$B$73</c:f>
              <c:strCache>
                <c:ptCount val="1"/>
                <c:pt idx="0">
                  <c:v>2018-19</c:v>
                </c:pt>
              </c:strCache>
            </c:strRef>
          </c:tx>
          <c:spPr>
            <a:solidFill>
              <a:srgbClr val="00B2BF"/>
            </a:solidFill>
            <a:ln>
              <a:noFill/>
            </a:ln>
            <a:effectLst/>
          </c:spPr>
          <c:invertIfNegative val="0"/>
          <c:cat>
            <c:strRef>
              <c:f>'Incentives - charts '!$C$68</c:f>
              <c:strCache>
                <c:ptCount val="1"/>
                <c:pt idx="0">
                  <c:v>NGET TO</c:v>
                </c:pt>
              </c:strCache>
            </c:strRef>
          </c:cat>
          <c:val>
            <c:numRef>
              <c:f>'Incentives - charts '!$C$73</c:f>
              <c:numCache>
                <c:formatCode>_-* #,##0_-;\-* #,##0_-;_-* "-"??_-;_-@_-</c:formatCode>
                <c:ptCount val="1"/>
                <c:pt idx="0">
                  <c:v>1594730.6738931057</c:v>
                </c:pt>
              </c:numCache>
            </c:numRef>
          </c:val>
          <c:extLst>
            <c:ext xmlns:c16="http://schemas.microsoft.com/office/drawing/2014/chart" uri="{C3380CC4-5D6E-409C-BE32-E72D297353CC}">
              <c16:uniqueId val="{00000003-E1DE-46D6-9227-339129D1859D}"/>
            </c:ext>
          </c:extLst>
        </c:ser>
        <c:ser>
          <c:idx val="5"/>
          <c:order val="5"/>
          <c:tx>
            <c:strRef>
              <c:f>'Incentives - charts '!$B$74</c:f>
              <c:strCache>
                <c:ptCount val="1"/>
                <c:pt idx="0">
                  <c:v>2019-20</c:v>
                </c:pt>
              </c:strCache>
            </c:strRef>
          </c:tx>
          <c:spPr>
            <a:solidFill>
              <a:srgbClr val="A1ABB2"/>
            </a:solidFill>
            <a:ln>
              <a:noFill/>
            </a:ln>
            <a:effectLst/>
          </c:spPr>
          <c:invertIfNegative val="0"/>
          <c:cat>
            <c:strRef>
              <c:f>'Incentives - charts '!$C$68</c:f>
              <c:strCache>
                <c:ptCount val="1"/>
                <c:pt idx="0">
                  <c:v>NGET TO</c:v>
                </c:pt>
              </c:strCache>
            </c:strRef>
          </c:cat>
          <c:val>
            <c:numRef>
              <c:f>'Incentives - charts '!$C$74</c:f>
              <c:numCache>
                <c:formatCode>_-* #,##0_-;\-* #,##0_-;_-* "-"??_-;_-@_-</c:formatCode>
                <c:ptCount val="1"/>
                <c:pt idx="0">
                  <c:v>1784260.43</c:v>
                </c:pt>
              </c:numCache>
            </c:numRef>
          </c:val>
          <c:extLst>
            <c:ext xmlns:c16="http://schemas.microsoft.com/office/drawing/2014/chart" uri="{C3380CC4-5D6E-409C-BE32-E72D297353CC}">
              <c16:uniqueId val="{00000004-E1DE-46D6-9227-339129D1859D}"/>
            </c:ext>
          </c:extLst>
        </c:ser>
        <c:dLbls>
          <c:showLegendKey val="0"/>
          <c:showVal val="0"/>
          <c:showCatName val="0"/>
          <c:showSerName val="0"/>
          <c:showPercent val="0"/>
          <c:showBubbleSize val="0"/>
        </c:dLbls>
        <c:gapWidth val="219"/>
        <c:overlap val="-27"/>
        <c:axId val="861874448"/>
        <c:axId val="861873792"/>
      </c:barChart>
      <c:catAx>
        <c:axId val="861874448"/>
        <c:scaling>
          <c:orientation val="minMax"/>
        </c:scaling>
        <c:delete val="1"/>
        <c:axPos val="b"/>
        <c:numFmt formatCode="General" sourceLinked="1"/>
        <c:majorTickMark val="none"/>
        <c:minorTickMark val="none"/>
        <c:tickLblPos val="nextTo"/>
        <c:crossAx val="861873792"/>
        <c:crosses val="autoZero"/>
        <c:auto val="1"/>
        <c:lblAlgn val="ctr"/>
        <c:lblOffset val="100"/>
        <c:noMultiLvlLbl val="0"/>
      </c:catAx>
      <c:valAx>
        <c:axId val="861873792"/>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61874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sz="1400" b="1" i="0" baseline="0">
                <a:solidFill>
                  <a:schemeClr val="tx1"/>
                </a:solidFill>
                <a:effectLst/>
              </a:rPr>
              <a:t>Customer survey: NGET only</a:t>
            </a:r>
            <a:endParaRPr lang="en-US" sz="1400" b="1">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9.619107403275419E-2"/>
          <c:y val="0.16747624207095543"/>
          <c:w val="0.87630862808815568"/>
          <c:h val="0.62448392872634395"/>
        </c:manualLayout>
      </c:layout>
      <c:barChart>
        <c:barDir val="col"/>
        <c:grouping val="clustered"/>
        <c:varyColors val="0"/>
        <c:ser>
          <c:idx val="0"/>
          <c:order val="0"/>
          <c:tx>
            <c:strRef>
              <c:f>'Incentives - charts '!$R$6</c:f>
              <c:strCache>
                <c:ptCount val="1"/>
                <c:pt idx="0">
                  <c:v>2013-14</c:v>
                </c:pt>
              </c:strCache>
            </c:strRef>
          </c:tx>
          <c:spPr>
            <a:solidFill>
              <a:schemeClr val="accent2"/>
            </a:solidFill>
            <a:ln>
              <a:noFill/>
            </a:ln>
            <a:effectLst/>
          </c:spPr>
          <c:invertIfNegative val="0"/>
          <c:dPt>
            <c:idx val="0"/>
            <c:invertIfNegative val="0"/>
            <c:bubble3D val="0"/>
            <c:spPr>
              <a:solidFill>
                <a:srgbClr val="F57F29"/>
              </a:solidFill>
              <a:ln>
                <a:noFill/>
              </a:ln>
              <a:effectLst/>
            </c:spPr>
            <c:extLst>
              <c:ext xmlns:c16="http://schemas.microsoft.com/office/drawing/2014/chart" uri="{C3380CC4-5D6E-409C-BE32-E72D297353CC}">
                <c16:uniqueId val="{00000000-9D3E-4C22-893F-210E88C993FF}"/>
              </c:ext>
            </c:extLst>
          </c:dPt>
          <c:dPt>
            <c:idx val="1"/>
            <c:invertIfNegative val="0"/>
            <c:bubble3D val="0"/>
            <c:spPr>
              <a:solidFill>
                <a:srgbClr val="45216F"/>
              </a:solidFill>
              <a:ln>
                <a:noFill/>
              </a:ln>
              <a:effectLst/>
            </c:spPr>
            <c:extLst>
              <c:ext xmlns:c16="http://schemas.microsoft.com/office/drawing/2014/chart" uri="{C3380CC4-5D6E-409C-BE32-E72D297353CC}">
                <c16:uniqueId val="{00000001-9D3E-4C22-893F-210E88C993FF}"/>
              </c:ext>
            </c:extLst>
          </c:dPt>
          <c:dPt>
            <c:idx val="2"/>
            <c:invertIfNegative val="0"/>
            <c:bubble3D val="0"/>
            <c:spPr>
              <a:solidFill>
                <a:srgbClr val="D0B00E"/>
              </a:solidFill>
              <a:ln>
                <a:noFill/>
              </a:ln>
              <a:effectLst/>
            </c:spPr>
            <c:extLst>
              <c:ext xmlns:c16="http://schemas.microsoft.com/office/drawing/2014/chart" uri="{C3380CC4-5D6E-409C-BE32-E72D297353CC}">
                <c16:uniqueId val="{00000002-9D3E-4C22-893F-210E88C993FF}"/>
              </c:ext>
            </c:extLst>
          </c:dPt>
          <c:dPt>
            <c:idx val="3"/>
            <c:invertIfNegative val="0"/>
            <c:bubble3D val="0"/>
            <c:spPr>
              <a:solidFill>
                <a:srgbClr val="CD1543"/>
              </a:solidFill>
              <a:ln>
                <a:noFill/>
              </a:ln>
              <a:effectLst/>
            </c:spPr>
            <c:extLst>
              <c:ext xmlns:c16="http://schemas.microsoft.com/office/drawing/2014/chart" uri="{C3380CC4-5D6E-409C-BE32-E72D297353CC}">
                <c16:uniqueId val="{00000003-9D3E-4C22-893F-210E88C993FF}"/>
              </c:ext>
            </c:extLst>
          </c:dPt>
          <c:dPt>
            <c:idx val="4"/>
            <c:invertIfNegative val="0"/>
            <c:bubble3D val="0"/>
            <c:spPr>
              <a:solidFill>
                <a:srgbClr val="2062AF"/>
              </a:solidFill>
              <a:ln>
                <a:noFill/>
              </a:ln>
              <a:effectLst/>
            </c:spPr>
            <c:extLst>
              <c:ext xmlns:c16="http://schemas.microsoft.com/office/drawing/2014/chart" uri="{C3380CC4-5D6E-409C-BE32-E72D297353CC}">
                <c16:uniqueId val="{00000004-9D3E-4C22-893F-210E88C993FF}"/>
              </c:ext>
            </c:extLst>
          </c:dPt>
          <c:dPt>
            <c:idx val="5"/>
            <c:invertIfNegative val="0"/>
            <c:bubble3D val="0"/>
            <c:spPr>
              <a:solidFill>
                <a:srgbClr val="00B2BF"/>
              </a:solidFill>
              <a:ln>
                <a:noFill/>
              </a:ln>
              <a:effectLst/>
            </c:spPr>
            <c:extLst>
              <c:ext xmlns:c16="http://schemas.microsoft.com/office/drawing/2014/chart" uri="{C3380CC4-5D6E-409C-BE32-E72D297353CC}">
                <c16:uniqueId val="{00000005-9D3E-4C22-893F-210E88C993FF}"/>
              </c:ext>
            </c:extLst>
          </c:dPt>
          <c:cat>
            <c:strRef>
              <c:f>'Incentives - charts '!$S$5</c:f>
              <c:strCache>
                <c:ptCount val="1"/>
                <c:pt idx="0">
                  <c:v>NGET</c:v>
                </c:pt>
              </c:strCache>
            </c:strRef>
          </c:cat>
          <c:val>
            <c:numRef>
              <c:f>'Incentives - charts '!$S$6</c:f>
              <c:numCache>
                <c:formatCode>0.0</c:formatCode>
                <c:ptCount val="1"/>
                <c:pt idx="0">
                  <c:v>7.4089999999999998</c:v>
                </c:pt>
              </c:numCache>
            </c:numRef>
          </c:val>
          <c:extLst>
            <c:ext xmlns:c16="http://schemas.microsoft.com/office/drawing/2014/chart" uri="{C3380CC4-5D6E-409C-BE32-E72D297353CC}">
              <c16:uniqueId val="{00000000-0D14-4296-8DB1-2745E94FDC88}"/>
            </c:ext>
          </c:extLst>
        </c:ser>
        <c:ser>
          <c:idx val="1"/>
          <c:order val="1"/>
          <c:tx>
            <c:strRef>
              <c:f>'Incentives - charts '!$R$7</c:f>
              <c:strCache>
                <c:ptCount val="1"/>
                <c:pt idx="0">
                  <c:v>2014-15</c:v>
                </c:pt>
              </c:strCache>
            </c:strRef>
          </c:tx>
          <c:spPr>
            <a:solidFill>
              <a:srgbClr val="45216F"/>
            </a:solidFill>
            <a:ln>
              <a:noFill/>
            </a:ln>
            <a:effectLst/>
          </c:spPr>
          <c:invertIfNegative val="0"/>
          <c:cat>
            <c:strRef>
              <c:f>'Incentives - charts '!$S$5</c:f>
              <c:strCache>
                <c:ptCount val="1"/>
                <c:pt idx="0">
                  <c:v>NGET</c:v>
                </c:pt>
              </c:strCache>
            </c:strRef>
          </c:cat>
          <c:val>
            <c:numRef>
              <c:f>'Incentives - charts '!$S$7</c:f>
              <c:numCache>
                <c:formatCode>0.0</c:formatCode>
                <c:ptCount val="1"/>
                <c:pt idx="0">
                  <c:v>7.4009999999999998</c:v>
                </c:pt>
              </c:numCache>
            </c:numRef>
          </c:val>
          <c:extLst>
            <c:ext xmlns:c16="http://schemas.microsoft.com/office/drawing/2014/chart" uri="{C3380CC4-5D6E-409C-BE32-E72D297353CC}">
              <c16:uniqueId val="{00000006-9D3E-4C22-893F-210E88C993FF}"/>
            </c:ext>
          </c:extLst>
        </c:ser>
        <c:ser>
          <c:idx val="2"/>
          <c:order val="2"/>
          <c:tx>
            <c:strRef>
              <c:f>'Incentives - charts '!$R$8</c:f>
              <c:strCache>
                <c:ptCount val="1"/>
                <c:pt idx="0">
                  <c:v>2015-16</c:v>
                </c:pt>
              </c:strCache>
            </c:strRef>
          </c:tx>
          <c:spPr>
            <a:solidFill>
              <a:srgbClr val="D0B00E"/>
            </a:solidFill>
            <a:ln>
              <a:noFill/>
            </a:ln>
            <a:effectLst/>
          </c:spPr>
          <c:invertIfNegative val="0"/>
          <c:cat>
            <c:strRef>
              <c:f>'Incentives - charts '!$S$5</c:f>
              <c:strCache>
                <c:ptCount val="1"/>
                <c:pt idx="0">
                  <c:v>NGET</c:v>
                </c:pt>
              </c:strCache>
            </c:strRef>
          </c:cat>
          <c:val>
            <c:numRef>
              <c:f>'Incentives - charts '!$S$8</c:f>
              <c:numCache>
                <c:formatCode>0.0</c:formatCode>
                <c:ptCount val="1"/>
                <c:pt idx="0">
                  <c:v>7.5380000000000003</c:v>
                </c:pt>
              </c:numCache>
            </c:numRef>
          </c:val>
          <c:extLst>
            <c:ext xmlns:c16="http://schemas.microsoft.com/office/drawing/2014/chart" uri="{C3380CC4-5D6E-409C-BE32-E72D297353CC}">
              <c16:uniqueId val="{00000007-9D3E-4C22-893F-210E88C993FF}"/>
            </c:ext>
          </c:extLst>
        </c:ser>
        <c:ser>
          <c:idx val="3"/>
          <c:order val="3"/>
          <c:tx>
            <c:strRef>
              <c:f>'Incentives - charts '!$R$9</c:f>
              <c:strCache>
                <c:ptCount val="1"/>
                <c:pt idx="0">
                  <c:v>2016-17</c:v>
                </c:pt>
              </c:strCache>
            </c:strRef>
          </c:tx>
          <c:spPr>
            <a:solidFill>
              <a:srgbClr val="CD1543"/>
            </a:solidFill>
            <a:ln>
              <a:noFill/>
            </a:ln>
            <a:effectLst/>
          </c:spPr>
          <c:invertIfNegative val="0"/>
          <c:cat>
            <c:strRef>
              <c:f>'Incentives - charts '!$S$5</c:f>
              <c:strCache>
                <c:ptCount val="1"/>
                <c:pt idx="0">
                  <c:v>NGET</c:v>
                </c:pt>
              </c:strCache>
            </c:strRef>
          </c:cat>
          <c:val>
            <c:numRef>
              <c:f>'Incentives - charts '!$S$9</c:f>
              <c:numCache>
                <c:formatCode>0.0</c:formatCode>
                <c:ptCount val="1"/>
                <c:pt idx="0">
                  <c:v>7.41</c:v>
                </c:pt>
              </c:numCache>
            </c:numRef>
          </c:val>
          <c:extLst>
            <c:ext xmlns:c16="http://schemas.microsoft.com/office/drawing/2014/chart" uri="{C3380CC4-5D6E-409C-BE32-E72D297353CC}">
              <c16:uniqueId val="{00000008-9D3E-4C22-893F-210E88C993FF}"/>
            </c:ext>
          </c:extLst>
        </c:ser>
        <c:ser>
          <c:idx val="4"/>
          <c:order val="4"/>
          <c:tx>
            <c:strRef>
              <c:f>'Incentives - charts '!$R$10</c:f>
              <c:strCache>
                <c:ptCount val="1"/>
                <c:pt idx="0">
                  <c:v>2017-18</c:v>
                </c:pt>
              </c:strCache>
            </c:strRef>
          </c:tx>
          <c:spPr>
            <a:solidFill>
              <a:srgbClr val="2062AF"/>
            </a:solidFill>
            <a:ln>
              <a:noFill/>
            </a:ln>
            <a:effectLst/>
          </c:spPr>
          <c:invertIfNegative val="0"/>
          <c:cat>
            <c:strRef>
              <c:f>'Incentives - charts '!$S$5</c:f>
              <c:strCache>
                <c:ptCount val="1"/>
                <c:pt idx="0">
                  <c:v>NGET</c:v>
                </c:pt>
              </c:strCache>
            </c:strRef>
          </c:cat>
          <c:val>
            <c:numRef>
              <c:f>'Incentives - charts '!$S$10</c:f>
              <c:numCache>
                <c:formatCode>0.0</c:formatCode>
                <c:ptCount val="1"/>
                <c:pt idx="0">
                  <c:v>7.7430000000000003</c:v>
                </c:pt>
              </c:numCache>
            </c:numRef>
          </c:val>
          <c:extLst>
            <c:ext xmlns:c16="http://schemas.microsoft.com/office/drawing/2014/chart" uri="{C3380CC4-5D6E-409C-BE32-E72D297353CC}">
              <c16:uniqueId val="{00000009-9D3E-4C22-893F-210E88C993FF}"/>
            </c:ext>
          </c:extLst>
        </c:ser>
        <c:ser>
          <c:idx val="5"/>
          <c:order val="5"/>
          <c:tx>
            <c:strRef>
              <c:f>'Incentives - charts '!$R$11</c:f>
              <c:strCache>
                <c:ptCount val="1"/>
                <c:pt idx="0">
                  <c:v>2018-19</c:v>
                </c:pt>
              </c:strCache>
            </c:strRef>
          </c:tx>
          <c:spPr>
            <a:solidFill>
              <a:srgbClr val="00B2BF"/>
            </a:solidFill>
            <a:ln>
              <a:noFill/>
            </a:ln>
            <a:effectLst/>
          </c:spPr>
          <c:invertIfNegative val="0"/>
          <c:cat>
            <c:strRef>
              <c:f>'Incentives - charts '!$S$5</c:f>
              <c:strCache>
                <c:ptCount val="1"/>
                <c:pt idx="0">
                  <c:v>NGET</c:v>
                </c:pt>
              </c:strCache>
            </c:strRef>
          </c:cat>
          <c:val>
            <c:numRef>
              <c:f>'Incentives - charts '!$S$11</c:f>
              <c:numCache>
                <c:formatCode>0.0</c:formatCode>
                <c:ptCount val="1"/>
                <c:pt idx="0">
                  <c:v>7.9240000000000004</c:v>
                </c:pt>
              </c:numCache>
            </c:numRef>
          </c:val>
          <c:extLst>
            <c:ext xmlns:c16="http://schemas.microsoft.com/office/drawing/2014/chart" uri="{C3380CC4-5D6E-409C-BE32-E72D297353CC}">
              <c16:uniqueId val="{0000000A-9D3E-4C22-893F-210E88C993FF}"/>
            </c:ext>
          </c:extLst>
        </c:ser>
        <c:ser>
          <c:idx val="6"/>
          <c:order val="6"/>
          <c:tx>
            <c:v>2019-20</c:v>
          </c:tx>
          <c:spPr>
            <a:solidFill>
              <a:srgbClr val="A1ABC6"/>
            </a:solidFill>
            <a:ln>
              <a:solidFill>
                <a:srgbClr val="A1ABB2"/>
              </a:solidFill>
            </a:ln>
            <a:effectLst/>
          </c:spPr>
          <c:invertIfNegative val="0"/>
          <c:val>
            <c:numRef>
              <c:f>'Incentives - charts '!$S$12</c:f>
              <c:numCache>
                <c:formatCode>0.0</c:formatCode>
                <c:ptCount val="1"/>
                <c:pt idx="0">
                  <c:v>8.2100000000000009</c:v>
                </c:pt>
              </c:numCache>
            </c:numRef>
          </c:val>
          <c:extLst>
            <c:ext xmlns:c16="http://schemas.microsoft.com/office/drawing/2014/chart" uri="{C3380CC4-5D6E-409C-BE32-E72D297353CC}">
              <c16:uniqueId val="{0000000D-0698-4A95-9FF6-8723D0EEEB60}"/>
            </c:ext>
          </c:extLst>
        </c:ser>
        <c:dLbls>
          <c:showLegendKey val="0"/>
          <c:showVal val="0"/>
          <c:showCatName val="0"/>
          <c:showSerName val="0"/>
          <c:showPercent val="0"/>
          <c:showBubbleSize val="0"/>
        </c:dLbls>
        <c:gapWidth val="219"/>
        <c:overlap val="-100"/>
        <c:axId val="861874448"/>
        <c:axId val="861873792"/>
      </c:barChart>
      <c:catAx>
        <c:axId val="861874448"/>
        <c:scaling>
          <c:orientation val="minMax"/>
        </c:scaling>
        <c:delete val="1"/>
        <c:axPos val="b"/>
        <c:numFmt formatCode="General" sourceLinked="1"/>
        <c:majorTickMark val="none"/>
        <c:minorTickMark val="none"/>
        <c:tickLblPos val="nextTo"/>
        <c:crossAx val="861873792"/>
        <c:crosses val="autoZero"/>
        <c:auto val="1"/>
        <c:lblAlgn val="ctr"/>
        <c:lblOffset val="100"/>
        <c:noMultiLvlLbl val="0"/>
      </c:catAx>
      <c:valAx>
        <c:axId val="8618737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Score out of 10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61874448"/>
        <c:crosses val="autoZero"/>
        <c:crossBetween val="between"/>
      </c:valAx>
      <c:spPr>
        <a:noFill/>
        <a:ln w="0">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NGET TO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'8-year TO forecast'!$R$6</c:f>
              <c:strCache>
                <c:ptCount val="1"/>
                <c:pt idx="0">
                  <c:v>Actual expenditure</c:v>
                </c:pt>
              </c:strCache>
            </c:strRef>
          </c:tx>
          <c:spPr>
            <a:solidFill>
              <a:schemeClr val="accent1"/>
            </a:solidFill>
            <a:ln>
              <a:noFill/>
            </a:ln>
            <a:effectLst/>
          </c:spPr>
          <c:invertIfNegative val="0"/>
          <c:dPt>
            <c:idx val="0"/>
            <c:invertIfNegative val="0"/>
            <c:bubble3D val="0"/>
            <c:spPr>
              <a:solidFill>
                <a:srgbClr val="F57F29"/>
              </a:solidFill>
              <a:ln>
                <a:noFill/>
              </a:ln>
              <a:effectLst/>
            </c:spPr>
            <c:extLst>
              <c:ext xmlns:c16="http://schemas.microsoft.com/office/drawing/2014/chart" uri="{C3380CC4-5D6E-409C-BE32-E72D297353CC}">
                <c16:uniqueId val="{00000000-F8E9-4895-B2E3-85BE6B84A134}"/>
              </c:ext>
            </c:extLst>
          </c:dPt>
          <c:dPt>
            <c:idx val="1"/>
            <c:invertIfNegative val="0"/>
            <c:bubble3D val="0"/>
            <c:spPr>
              <a:solidFill>
                <a:srgbClr val="45216F"/>
              </a:solidFill>
              <a:ln>
                <a:noFill/>
              </a:ln>
              <a:effectLst/>
            </c:spPr>
            <c:extLst>
              <c:ext xmlns:c16="http://schemas.microsoft.com/office/drawing/2014/chart" uri="{C3380CC4-5D6E-409C-BE32-E72D297353CC}">
                <c16:uniqueId val="{00000001-F8E9-4895-B2E3-85BE6B84A134}"/>
              </c:ext>
            </c:extLst>
          </c:dPt>
          <c:dPt>
            <c:idx val="2"/>
            <c:invertIfNegative val="0"/>
            <c:bubble3D val="0"/>
            <c:spPr>
              <a:solidFill>
                <a:srgbClr val="D0B00E"/>
              </a:solidFill>
              <a:ln>
                <a:noFill/>
              </a:ln>
              <a:effectLst/>
            </c:spPr>
            <c:extLst>
              <c:ext xmlns:c16="http://schemas.microsoft.com/office/drawing/2014/chart" uri="{C3380CC4-5D6E-409C-BE32-E72D297353CC}">
                <c16:uniqueId val="{00000002-F8E9-4895-B2E3-85BE6B84A134}"/>
              </c:ext>
            </c:extLst>
          </c:dPt>
          <c:dPt>
            <c:idx val="3"/>
            <c:invertIfNegative val="0"/>
            <c:bubble3D val="0"/>
            <c:spPr>
              <a:solidFill>
                <a:srgbClr val="CD1543"/>
              </a:solidFill>
              <a:ln>
                <a:noFill/>
              </a:ln>
              <a:effectLst/>
            </c:spPr>
            <c:extLst>
              <c:ext xmlns:c16="http://schemas.microsoft.com/office/drawing/2014/chart" uri="{C3380CC4-5D6E-409C-BE32-E72D297353CC}">
                <c16:uniqueId val="{00000003-F8E9-4895-B2E3-85BE6B84A134}"/>
              </c:ext>
            </c:extLst>
          </c:dPt>
          <c:dPt>
            <c:idx val="4"/>
            <c:invertIfNegative val="0"/>
            <c:bubble3D val="0"/>
            <c:spPr>
              <a:solidFill>
                <a:srgbClr val="2062AF"/>
              </a:solidFill>
              <a:ln>
                <a:noFill/>
              </a:ln>
              <a:effectLst/>
            </c:spPr>
            <c:extLst>
              <c:ext xmlns:c16="http://schemas.microsoft.com/office/drawing/2014/chart" uri="{C3380CC4-5D6E-409C-BE32-E72D297353CC}">
                <c16:uniqueId val="{00000004-F8E9-4895-B2E3-85BE6B84A134}"/>
              </c:ext>
            </c:extLst>
          </c:dPt>
          <c:dPt>
            <c:idx val="5"/>
            <c:invertIfNegative val="0"/>
            <c:bubble3D val="0"/>
            <c:spPr>
              <a:solidFill>
                <a:srgbClr val="00B2BF"/>
              </a:solidFill>
              <a:ln>
                <a:noFill/>
              </a:ln>
              <a:effectLst/>
            </c:spPr>
            <c:extLst>
              <c:ext xmlns:c16="http://schemas.microsoft.com/office/drawing/2014/chart" uri="{C3380CC4-5D6E-409C-BE32-E72D297353CC}">
                <c16:uniqueId val="{00000005-F8E9-4895-B2E3-85BE6B84A134}"/>
              </c:ext>
            </c:extLst>
          </c:dPt>
          <c:dPt>
            <c:idx val="6"/>
            <c:invertIfNegative val="0"/>
            <c:bubble3D val="0"/>
            <c:spPr>
              <a:solidFill>
                <a:srgbClr val="A1ABB2"/>
              </a:solidFill>
              <a:ln>
                <a:noFill/>
              </a:ln>
              <a:effectLst/>
            </c:spPr>
            <c:extLst>
              <c:ext xmlns:c16="http://schemas.microsoft.com/office/drawing/2014/chart" uri="{C3380CC4-5D6E-409C-BE32-E72D297353CC}">
                <c16:uniqueId val="{00000011-211B-4DFD-AD7F-FFFCAC61CDC1}"/>
              </c:ext>
            </c:extLst>
          </c:dPt>
          <c:cat>
            <c:numRef>
              <c:f>'8-year TO forecast'!$S$5:$Z$5</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forecast'!$S$6:$Z$6</c:f>
              <c:numCache>
                <c:formatCode>0</c:formatCode>
                <c:ptCount val="8"/>
                <c:pt idx="0">
                  <c:v>1622.770117654024</c:v>
                </c:pt>
                <c:pt idx="1">
                  <c:v>1218.4507402939655</c:v>
                </c:pt>
                <c:pt idx="2">
                  <c:v>1309.2853822727789</c:v>
                </c:pt>
                <c:pt idx="3">
                  <c:v>1225.5059178957749</c:v>
                </c:pt>
                <c:pt idx="4">
                  <c:v>1128.0476967056607</c:v>
                </c:pt>
                <c:pt idx="5">
                  <c:v>1083.5107879866378</c:v>
                </c:pt>
                <c:pt idx="6">
                  <c:v>1063.9872337747354</c:v>
                </c:pt>
              </c:numCache>
            </c:numRef>
          </c:val>
          <c:extLst>
            <c:ext xmlns:c16="http://schemas.microsoft.com/office/drawing/2014/chart" uri="{C3380CC4-5D6E-409C-BE32-E72D297353CC}">
              <c16:uniqueId val="{00000000-1CB0-432F-8964-EEC19F5C8F4D}"/>
            </c:ext>
          </c:extLst>
        </c:ser>
        <c:ser>
          <c:idx val="1"/>
          <c:order val="1"/>
          <c:tx>
            <c:strRef>
              <c:f>'8-year TO forecast'!$R$7</c:f>
              <c:strCache>
                <c:ptCount val="1"/>
                <c:pt idx="0">
                  <c:v>Forecast expenditure</c:v>
                </c:pt>
              </c:strCache>
            </c:strRef>
          </c:tx>
          <c:spPr>
            <a:solidFill>
              <a:schemeClr val="accent2"/>
            </a:solidFill>
            <a:ln>
              <a:noFill/>
            </a:ln>
            <a:effectLst/>
          </c:spPr>
          <c:invertIfNegative val="0"/>
          <c:dPt>
            <c:idx val="6"/>
            <c:invertIfNegative val="0"/>
            <c:bubble3D val="0"/>
            <c:spPr>
              <a:solidFill>
                <a:srgbClr val="A1ABA8"/>
              </a:solidFill>
              <a:ln>
                <a:noFill/>
              </a:ln>
              <a:effectLst/>
            </c:spPr>
            <c:extLst>
              <c:ext xmlns:c16="http://schemas.microsoft.com/office/drawing/2014/chart" uri="{C3380CC4-5D6E-409C-BE32-E72D297353CC}">
                <c16:uniqueId val="{00000006-F8E9-4895-B2E3-85BE6B84A134}"/>
              </c:ext>
            </c:extLst>
          </c:dPt>
          <c:dPt>
            <c:idx val="7"/>
            <c:invertIfNegative val="0"/>
            <c:bubble3D val="0"/>
            <c:spPr>
              <a:solidFill>
                <a:srgbClr val="A28F5C"/>
              </a:solidFill>
              <a:ln>
                <a:noFill/>
              </a:ln>
              <a:effectLst/>
            </c:spPr>
            <c:extLst>
              <c:ext xmlns:c16="http://schemas.microsoft.com/office/drawing/2014/chart" uri="{C3380CC4-5D6E-409C-BE32-E72D297353CC}">
                <c16:uniqueId val="{00000007-F8E9-4895-B2E3-85BE6B84A134}"/>
              </c:ext>
            </c:extLst>
          </c:dPt>
          <c:cat>
            <c:numRef>
              <c:f>'8-year TO forecast'!$S$5:$Z$5</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forecast'!$S$7:$Z$7</c:f>
              <c:numCache>
                <c:formatCode>General</c:formatCode>
                <c:ptCount val="8"/>
                <c:pt idx="7" formatCode="#,##0;[Red]\(#,##0\)">
                  <c:v>1430.0419944778055</c:v>
                </c:pt>
              </c:numCache>
            </c:numRef>
          </c:val>
          <c:extLst>
            <c:ext xmlns:c16="http://schemas.microsoft.com/office/drawing/2014/chart" uri="{C3380CC4-5D6E-409C-BE32-E72D297353CC}">
              <c16:uniqueId val="{00000001-1CB0-432F-8964-EEC19F5C8F4D}"/>
            </c:ext>
          </c:extLst>
        </c:ser>
        <c:dLbls>
          <c:showLegendKey val="0"/>
          <c:showVal val="0"/>
          <c:showCatName val="0"/>
          <c:showSerName val="0"/>
          <c:showPercent val="0"/>
          <c:showBubbleSize val="0"/>
        </c:dLbls>
        <c:gapWidth val="150"/>
        <c:axId val="957554680"/>
        <c:axId val="957555008"/>
      </c:barChart>
      <c:lineChart>
        <c:grouping val="standard"/>
        <c:varyColors val="0"/>
        <c:ser>
          <c:idx val="2"/>
          <c:order val="2"/>
          <c:tx>
            <c:strRef>
              <c:f>'8-year TO forecast'!$R$8</c:f>
              <c:strCache>
                <c:ptCount val="1"/>
                <c:pt idx="0">
                  <c:v>Forecast adjusted allowance</c:v>
                </c:pt>
              </c:strCache>
            </c:strRef>
          </c:tx>
          <c:spPr>
            <a:ln w="28575" cap="rnd">
              <a:solidFill>
                <a:schemeClr val="tx1"/>
              </a:solidFill>
              <a:round/>
            </a:ln>
            <a:effectLst/>
          </c:spPr>
          <c:marker>
            <c:symbol val="none"/>
          </c:marker>
          <c:cat>
            <c:numRef>
              <c:f>'8-year TO forecast'!$S$5:$Z$5</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forecast'!$S$8:$Z$8</c:f>
              <c:numCache>
                <c:formatCode>0</c:formatCode>
                <c:ptCount val="8"/>
                <c:pt idx="0">
                  <c:v>2149.9317895510944</c:v>
                </c:pt>
                <c:pt idx="1">
                  <c:v>1849.8430098833621</c:v>
                </c:pt>
                <c:pt idx="2">
                  <c:v>1538.7701747989515</c:v>
                </c:pt>
                <c:pt idx="3">
                  <c:v>1416.8188820961454</c:v>
                </c:pt>
                <c:pt idx="4">
                  <c:v>1405.3978312770003</c:v>
                </c:pt>
                <c:pt idx="5">
                  <c:v>1631.6572237537666</c:v>
                </c:pt>
                <c:pt idx="6">
                  <c:v>1494.4432820243483</c:v>
                </c:pt>
                <c:pt idx="7">
                  <c:v>1433.0871869426276</c:v>
                </c:pt>
              </c:numCache>
            </c:numRef>
          </c:val>
          <c:smooth val="0"/>
          <c:extLst>
            <c:ext xmlns:c16="http://schemas.microsoft.com/office/drawing/2014/chart" uri="{C3380CC4-5D6E-409C-BE32-E72D297353CC}">
              <c16:uniqueId val="{00000002-1CB0-432F-8964-EEC19F5C8F4D}"/>
            </c:ext>
          </c:extLst>
        </c:ser>
        <c:dLbls>
          <c:showLegendKey val="0"/>
          <c:showVal val="0"/>
          <c:showCatName val="0"/>
          <c:showSerName val="0"/>
          <c:showPercent val="0"/>
          <c:showBubbleSize val="0"/>
        </c:dLbls>
        <c:marker val="1"/>
        <c:smooth val="0"/>
        <c:axId val="957554680"/>
        <c:axId val="957555008"/>
      </c:lineChart>
      <c:catAx>
        <c:axId val="957554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7555008"/>
        <c:crosses val="autoZero"/>
        <c:auto val="1"/>
        <c:lblAlgn val="ctr"/>
        <c:lblOffset val="100"/>
        <c:noMultiLvlLbl val="0"/>
      </c:catAx>
      <c:valAx>
        <c:axId val="957555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a:t>
                </a:r>
                <a:r>
                  <a:rPr lang="en-GB" baseline="0"/>
                  <a:t> 2019/20 prices</a:t>
                </a:r>
                <a:endParaRPr lang="en-GB"/>
              </a:p>
            </c:rich>
          </c:tx>
          <c:layout>
            <c:manualLayout>
              <c:xMode val="edge"/>
              <c:yMode val="edge"/>
              <c:x val="1.371428242326931E-2"/>
              <c:y val="0.3902188346456693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7554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SPT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'8-year TO forecast'!$AE$6</c:f>
              <c:strCache>
                <c:ptCount val="1"/>
                <c:pt idx="0">
                  <c:v>Actual expenditure</c:v>
                </c:pt>
              </c:strCache>
            </c:strRef>
          </c:tx>
          <c:spPr>
            <a:solidFill>
              <a:schemeClr val="accent1"/>
            </a:solidFill>
            <a:ln>
              <a:noFill/>
            </a:ln>
            <a:effectLst/>
          </c:spPr>
          <c:invertIfNegative val="0"/>
          <c:dPt>
            <c:idx val="0"/>
            <c:invertIfNegative val="0"/>
            <c:bubble3D val="0"/>
            <c:spPr>
              <a:solidFill>
                <a:srgbClr val="F57F29"/>
              </a:solidFill>
              <a:ln>
                <a:noFill/>
              </a:ln>
              <a:effectLst/>
            </c:spPr>
            <c:extLst>
              <c:ext xmlns:c16="http://schemas.microsoft.com/office/drawing/2014/chart" uri="{C3380CC4-5D6E-409C-BE32-E72D297353CC}">
                <c16:uniqueId val="{00000000-1C82-4D70-80FD-35F179105A5D}"/>
              </c:ext>
            </c:extLst>
          </c:dPt>
          <c:dPt>
            <c:idx val="1"/>
            <c:invertIfNegative val="0"/>
            <c:bubble3D val="0"/>
            <c:spPr>
              <a:solidFill>
                <a:srgbClr val="45216F"/>
              </a:solidFill>
              <a:ln>
                <a:noFill/>
              </a:ln>
              <a:effectLst/>
            </c:spPr>
            <c:extLst>
              <c:ext xmlns:c16="http://schemas.microsoft.com/office/drawing/2014/chart" uri="{C3380CC4-5D6E-409C-BE32-E72D297353CC}">
                <c16:uniqueId val="{00000001-1C82-4D70-80FD-35F179105A5D}"/>
              </c:ext>
            </c:extLst>
          </c:dPt>
          <c:dPt>
            <c:idx val="2"/>
            <c:invertIfNegative val="0"/>
            <c:bubble3D val="0"/>
            <c:spPr>
              <a:solidFill>
                <a:srgbClr val="D0B00E"/>
              </a:solidFill>
              <a:ln>
                <a:noFill/>
              </a:ln>
              <a:effectLst/>
            </c:spPr>
            <c:extLst>
              <c:ext xmlns:c16="http://schemas.microsoft.com/office/drawing/2014/chart" uri="{C3380CC4-5D6E-409C-BE32-E72D297353CC}">
                <c16:uniqueId val="{00000002-1C82-4D70-80FD-35F179105A5D}"/>
              </c:ext>
            </c:extLst>
          </c:dPt>
          <c:dPt>
            <c:idx val="3"/>
            <c:invertIfNegative val="0"/>
            <c:bubble3D val="0"/>
            <c:spPr>
              <a:solidFill>
                <a:srgbClr val="CD1543"/>
              </a:solidFill>
              <a:ln>
                <a:noFill/>
              </a:ln>
              <a:effectLst/>
            </c:spPr>
            <c:extLst>
              <c:ext xmlns:c16="http://schemas.microsoft.com/office/drawing/2014/chart" uri="{C3380CC4-5D6E-409C-BE32-E72D297353CC}">
                <c16:uniqueId val="{00000003-1C82-4D70-80FD-35F179105A5D}"/>
              </c:ext>
            </c:extLst>
          </c:dPt>
          <c:dPt>
            <c:idx val="4"/>
            <c:invertIfNegative val="0"/>
            <c:bubble3D val="0"/>
            <c:spPr>
              <a:solidFill>
                <a:srgbClr val="2062AF"/>
              </a:solidFill>
              <a:ln>
                <a:noFill/>
              </a:ln>
              <a:effectLst/>
            </c:spPr>
            <c:extLst>
              <c:ext xmlns:c16="http://schemas.microsoft.com/office/drawing/2014/chart" uri="{C3380CC4-5D6E-409C-BE32-E72D297353CC}">
                <c16:uniqueId val="{00000004-1C82-4D70-80FD-35F179105A5D}"/>
              </c:ext>
            </c:extLst>
          </c:dPt>
          <c:dPt>
            <c:idx val="5"/>
            <c:invertIfNegative val="0"/>
            <c:bubble3D val="0"/>
            <c:spPr>
              <a:solidFill>
                <a:srgbClr val="00B2BF"/>
              </a:solidFill>
              <a:ln>
                <a:noFill/>
              </a:ln>
              <a:effectLst/>
            </c:spPr>
            <c:extLst>
              <c:ext xmlns:c16="http://schemas.microsoft.com/office/drawing/2014/chart" uri="{C3380CC4-5D6E-409C-BE32-E72D297353CC}">
                <c16:uniqueId val="{00000005-1C82-4D70-80FD-35F179105A5D}"/>
              </c:ext>
            </c:extLst>
          </c:dPt>
          <c:dPt>
            <c:idx val="6"/>
            <c:invertIfNegative val="0"/>
            <c:bubble3D val="0"/>
            <c:spPr>
              <a:solidFill>
                <a:srgbClr val="A1ABB2"/>
              </a:solidFill>
              <a:ln>
                <a:noFill/>
              </a:ln>
              <a:effectLst/>
            </c:spPr>
            <c:extLst>
              <c:ext xmlns:c16="http://schemas.microsoft.com/office/drawing/2014/chart" uri="{C3380CC4-5D6E-409C-BE32-E72D297353CC}">
                <c16:uniqueId val="{0000000F-870A-41A3-8119-1DFFCC570362}"/>
              </c:ext>
            </c:extLst>
          </c:dPt>
          <c:cat>
            <c:numRef>
              <c:f>'8-year TO forecast'!$AF$5:$AM$5</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forecast'!$AF$6:$AM$6</c:f>
              <c:numCache>
                <c:formatCode>0</c:formatCode>
                <c:ptCount val="8"/>
                <c:pt idx="0">
                  <c:v>276.42085365422957</c:v>
                </c:pt>
                <c:pt idx="1">
                  <c:v>316.63250524731433</c:v>
                </c:pt>
                <c:pt idx="2">
                  <c:v>398.04536112719177</c:v>
                </c:pt>
                <c:pt idx="3">
                  <c:v>379.1046376437323</c:v>
                </c:pt>
                <c:pt idx="4">
                  <c:v>252.46478097242527</c:v>
                </c:pt>
                <c:pt idx="5">
                  <c:v>192.5460247572401</c:v>
                </c:pt>
                <c:pt idx="6">
                  <c:v>204.51848137903463</c:v>
                </c:pt>
              </c:numCache>
            </c:numRef>
          </c:val>
          <c:extLst>
            <c:ext xmlns:c16="http://schemas.microsoft.com/office/drawing/2014/chart" uri="{C3380CC4-5D6E-409C-BE32-E72D297353CC}">
              <c16:uniqueId val="{00000000-25DD-4D55-B7ED-8675F40AFB19}"/>
            </c:ext>
          </c:extLst>
        </c:ser>
        <c:ser>
          <c:idx val="1"/>
          <c:order val="1"/>
          <c:tx>
            <c:strRef>
              <c:f>'8-year TO forecast'!$AE$7</c:f>
              <c:strCache>
                <c:ptCount val="1"/>
                <c:pt idx="0">
                  <c:v>Forecast expenditure</c:v>
                </c:pt>
              </c:strCache>
            </c:strRef>
          </c:tx>
          <c:spPr>
            <a:solidFill>
              <a:srgbClr val="A1ABA8"/>
            </a:solidFill>
            <a:ln>
              <a:noFill/>
            </a:ln>
            <a:effectLst/>
          </c:spPr>
          <c:invertIfNegative val="0"/>
          <c:dPt>
            <c:idx val="7"/>
            <c:invertIfNegative val="0"/>
            <c:bubble3D val="0"/>
            <c:spPr>
              <a:solidFill>
                <a:srgbClr val="A28F5C"/>
              </a:solidFill>
              <a:ln>
                <a:noFill/>
              </a:ln>
              <a:effectLst/>
            </c:spPr>
            <c:extLst>
              <c:ext xmlns:c16="http://schemas.microsoft.com/office/drawing/2014/chart" uri="{C3380CC4-5D6E-409C-BE32-E72D297353CC}">
                <c16:uniqueId val="{00000006-1C82-4D70-80FD-35F179105A5D}"/>
              </c:ext>
            </c:extLst>
          </c:dPt>
          <c:cat>
            <c:numRef>
              <c:f>'8-year TO forecast'!$AF$5:$AM$5</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forecast'!$AF$7:$AM$7</c:f>
              <c:numCache>
                <c:formatCode>General</c:formatCode>
                <c:ptCount val="8"/>
                <c:pt idx="7" formatCode="#,##0.0;[Red]\(#,##0.0\)">
                  <c:v>303.42038098079587</c:v>
                </c:pt>
              </c:numCache>
            </c:numRef>
          </c:val>
          <c:extLst>
            <c:ext xmlns:c16="http://schemas.microsoft.com/office/drawing/2014/chart" uri="{C3380CC4-5D6E-409C-BE32-E72D297353CC}">
              <c16:uniqueId val="{00000001-25DD-4D55-B7ED-8675F40AFB19}"/>
            </c:ext>
          </c:extLst>
        </c:ser>
        <c:dLbls>
          <c:showLegendKey val="0"/>
          <c:showVal val="0"/>
          <c:showCatName val="0"/>
          <c:showSerName val="0"/>
          <c:showPercent val="0"/>
          <c:showBubbleSize val="0"/>
        </c:dLbls>
        <c:gapWidth val="150"/>
        <c:axId val="957593712"/>
        <c:axId val="957597976"/>
      </c:barChart>
      <c:lineChart>
        <c:grouping val="standard"/>
        <c:varyColors val="0"/>
        <c:ser>
          <c:idx val="2"/>
          <c:order val="2"/>
          <c:tx>
            <c:strRef>
              <c:f>'8-year TO forecast'!$AE$8</c:f>
              <c:strCache>
                <c:ptCount val="1"/>
                <c:pt idx="0">
                  <c:v>Forecast adjusted allowance</c:v>
                </c:pt>
              </c:strCache>
            </c:strRef>
          </c:tx>
          <c:spPr>
            <a:ln w="28575" cap="rnd">
              <a:solidFill>
                <a:schemeClr val="tx1"/>
              </a:solidFill>
              <a:round/>
            </a:ln>
            <a:effectLst/>
          </c:spPr>
          <c:marker>
            <c:symbol val="none"/>
          </c:marker>
          <c:cat>
            <c:numRef>
              <c:f>'8-year TO forecast'!$AF$5:$AM$5</c:f>
              <c:numCache>
                <c:formatCode>General</c:formatCode>
                <c:ptCount val="8"/>
                <c:pt idx="0">
                  <c:v>2014</c:v>
                </c:pt>
                <c:pt idx="1">
                  <c:v>2015</c:v>
                </c:pt>
                <c:pt idx="2">
                  <c:v>2016</c:v>
                </c:pt>
                <c:pt idx="3">
                  <c:v>2017</c:v>
                </c:pt>
                <c:pt idx="4">
                  <c:v>2018</c:v>
                </c:pt>
                <c:pt idx="5">
                  <c:v>2019</c:v>
                </c:pt>
                <c:pt idx="6">
                  <c:v>2020</c:v>
                </c:pt>
                <c:pt idx="7">
                  <c:v>2021</c:v>
                </c:pt>
              </c:numCache>
            </c:numRef>
          </c:cat>
          <c:val>
            <c:numRef>
              <c:f>'8-year TO forecast'!$AF$8:$AM$8</c:f>
              <c:numCache>
                <c:formatCode>0.0</c:formatCode>
                <c:ptCount val="8"/>
                <c:pt idx="0">
                  <c:v>420.73548904912843</c:v>
                </c:pt>
                <c:pt idx="1">
                  <c:v>527.37399705084385</c:v>
                </c:pt>
                <c:pt idx="2">
                  <c:v>396.72264283069336</c:v>
                </c:pt>
                <c:pt idx="3">
                  <c:v>198.57211099362672</c:v>
                </c:pt>
                <c:pt idx="4">
                  <c:v>260.95296492943663</c:v>
                </c:pt>
                <c:pt idx="5">
                  <c:v>283.85069287341707</c:v>
                </c:pt>
                <c:pt idx="6">
                  <c:v>245.93466772730324</c:v>
                </c:pt>
                <c:pt idx="7">
                  <c:v>132.4646473043544</c:v>
                </c:pt>
              </c:numCache>
            </c:numRef>
          </c:val>
          <c:smooth val="0"/>
          <c:extLst>
            <c:ext xmlns:c16="http://schemas.microsoft.com/office/drawing/2014/chart" uri="{C3380CC4-5D6E-409C-BE32-E72D297353CC}">
              <c16:uniqueId val="{00000002-25DD-4D55-B7ED-8675F40AFB19}"/>
            </c:ext>
          </c:extLst>
        </c:ser>
        <c:dLbls>
          <c:showLegendKey val="0"/>
          <c:showVal val="0"/>
          <c:showCatName val="0"/>
          <c:showSerName val="0"/>
          <c:showPercent val="0"/>
          <c:showBubbleSize val="0"/>
        </c:dLbls>
        <c:marker val="1"/>
        <c:smooth val="0"/>
        <c:axId val="957593712"/>
        <c:axId val="957597976"/>
      </c:lineChart>
      <c:catAx>
        <c:axId val="957593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7597976"/>
        <c:crosses val="autoZero"/>
        <c:auto val="1"/>
        <c:lblAlgn val="ctr"/>
        <c:lblOffset val="100"/>
        <c:noMultiLvlLbl val="0"/>
      </c:catAx>
      <c:valAx>
        <c:axId val="957597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a:t>
                </a:r>
                <a:r>
                  <a:rPr lang="en-GB" baseline="0"/>
                  <a:t> 2019/20 prices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7593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5">
  <a:schemeClr val="accent2"/>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5.xml"/><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 Id="rId9"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92995</xdr:colOff>
      <xdr:row>4</xdr:row>
      <xdr:rowOff>87909</xdr:rowOff>
    </xdr:to>
    <xdr:pic>
      <xdr:nvPicPr>
        <xdr:cNvPr id="2" name="Picture 1" descr="image of the Ofgem logo" title="Ofgem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988594" cy="716559"/>
        </a:xfrm>
        <a:prstGeom prst="rect">
          <a:avLst/>
        </a:prstGeom>
      </xdr:spPr>
    </xdr:pic>
    <xdr:clientData/>
  </xdr:twoCellAnchor>
  <xdr:twoCellAnchor editAs="oneCell">
    <xdr:from>
      <xdr:col>5</xdr:col>
      <xdr:colOff>179140</xdr:colOff>
      <xdr:row>0</xdr:row>
      <xdr:rowOff>183509</xdr:rowOff>
    </xdr:from>
    <xdr:to>
      <xdr:col>6</xdr:col>
      <xdr:colOff>358717</xdr:colOff>
      <xdr:row>3</xdr:row>
      <xdr:rowOff>45396</xdr:rowOff>
    </xdr:to>
    <xdr:pic>
      <xdr:nvPicPr>
        <xdr:cNvPr id="3" name="Picture 2" title="white box">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98640" y="183509"/>
          <a:ext cx="903477" cy="361950"/>
        </a:xfrm>
        <a:prstGeom prst="rect">
          <a:avLst/>
        </a:prstGeom>
      </xdr:spPr>
    </xdr:pic>
    <xdr:clientData/>
  </xdr:twoCellAnchor>
  <xdr:twoCellAnchor>
    <xdr:from>
      <xdr:col>3</xdr:col>
      <xdr:colOff>515574</xdr:colOff>
      <xdr:row>6</xdr:row>
      <xdr:rowOff>122340</xdr:rowOff>
    </xdr:from>
    <xdr:to>
      <xdr:col>19</xdr:col>
      <xdr:colOff>416718</xdr:colOff>
      <xdr:row>11</xdr:row>
      <xdr:rowOff>44863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587262" y="1670153"/>
          <a:ext cx="10950144" cy="755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u="none">
              <a:latin typeface="Verdana" panose="020B0604030504040204" pitchFamily="34" charset="0"/>
              <a:ea typeface="Verdana" panose="020B0604030504040204" pitchFamily="34" charset="0"/>
              <a:cs typeface="Verdana" panose="020B0604030504040204" pitchFamily="34" charset="0"/>
            </a:rPr>
            <a:t>RIIO-ET1</a:t>
          </a:r>
          <a:r>
            <a:rPr lang="en-GB" sz="2400" u="none" baseline="0">
              <a:latin typeface="Verdana" panose="020B0604030504040204" pitchFamily="34" charset="0"/>
              <a:ea typeface="Verdana" panose="020B0604030504040204" pitchFamily="34" charset="0"/>
              <a:cs typeface="Verdana" panose="020B0604030504040204" pitchFamily="34" charset="0"/>
            </a:rPr>
            <a:t> </a:t>
          </a:r>
          <a:r>
            <a:rPr lang="en-GB" sz="2400" u="none">
              <a:latin typeface="Verdana" panose="020B0604030504040204" pitchFamily="34" charset="0"/>
              <a:ea typeface="Verdana" panose="020B0604030504040204" pitchFamily="34" charset="0"/>
              <a:cs typeface="Verdana" panose="020B0604030504040204" pitchFamily="34" charset="0"/>
            </a:rPr>
            <a:t>Performance</a:t>
          </a:r>
          <a:r>
            <a:rPr lang="en-GB" sz="2400" u="none" baseline="0">
              <a:latin typeface="Verdana" panose="020B0604030504040204" pitchFamily="34" charset="0"/>
              <a:ea typeface="Verdana" panose="020B0604030504040204" pitchFamily="34" charset="0"/>
              <a:cs typeface="Verdana" panose="020B0604030504040204" pitchFamily="34" charset="0"/>
            </a:rPr>
            <a:t> Summary </a:t>
          </a:r>
          <a:r>
            <a:rPr lang="en-GB" sz="2400" u="none">
              <a:latin typeface="Verdana" panose="020B0604030504040204" pitchFamily="34" charset="0"/>
              <a:ea typeface="Verdana" panose="020B0604030504040204" pitchFamily="34" charset="0"/>
              <a:cs typeface="Verdana" panose="020B0604030504040204" pitchFamily="34" charset="0"/>
            </a:rPr>
            <a:t>2019-20</a:t>
          </a:r>
          <a:r>
            <a:rPr lang="en-GB" sz="2400" u="none" baseline="0">
              <a:latin typeface="Verdana" panose="020B0604030504040204" pitchFamily="34" charset="0"/>
              <a:ea typeface="Verdana" panose="020B0604030504040204" pitchFamily="34" charset="0"/>
              <a:cs typeface="Verdana" panose="020B0604030504040204" pitchFamily="34" charset="0"/>
            </a:rPr>
            <a:t> Supplementary Data File </a:t>
          </a:r>
          <a:endParaRPr lang="en-GB" sz="2400" u="none">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495300</xdr:colOff>
      <xdr:row>3</xdr:row>
      <xdr:rowOff>5442</xdr:rowOff>
    </xdr:from>
    <xdr:to>
      <xdr:col>15</xdr:col>
      <xdr:colOff>628650</xdr:colOff>
      <xdr:row>20</xdr:row>
      <xdr:rowOff>65314</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152399</xdr:colOff>
      <xdr:row>45</xdr:row>
      <xdr:rowOff>123824</xdr:rowOff>
    </xdr:from>
    <xdr:to>
      <xdr:col>16</xdr:col>
      <xdr:colOff>285749</xdr:colOff>
      <xdr:row>63</xdr:row>
      <xdr:rowOff>2722</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571500</xdr:colOff>
      <xdr:row>66</xdr:row>
      <xdr:rowOff>104775</xdr:rowOff>
    </xdr:from>
    <xdr:to>
      <xdr:col>16</xdr:col>
      <xdr:colOff>19050</xdr:colOff>
      <xdr:row>84</xdr:row>
      <xdr:rowOff>2722</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457201</xdr:colOff>
      <xdr:row>23</xdr:row>
      <xdr:rowOff>133350</xdr:rowOff>
    </xdr:from>
    <xdr:to>
      <xdr:col>15</xdr:col>
      <xdr:colOff>443120</xdr:colOff>
      <xdr:row>36</xdr:row>
      <xdr:rowOff>136663</xdr:rowOff>
    </xdr:to>
    <xdr:graphicFrame macro="">
      <xdr:nvGraphicFramePr>
        <xdr:cNvPr id="7" name="Chart 6">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0</xdr:colOff>
      <xdr:row>45</xdr:row>
      <xdr:rowOff>114300</xdr:rowOff>
    </xdr:from>
    <xdr:to>
      <xdr:col>25</xdr:col>
      <xdr:colOff>133350</xdr:colOff>
      <xdr:row>62</xdr:row>
      <xdr:rowOff>155122</xdr:rowOff>
    </xdr:to>
    <xdr:graphicFrame macro="">
      <xdr:nvGraphicFramePr>
        <xdr:cNvPr id="8" name="Chart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0</xdr:colOff>
      <xdr:row>67</xdr:row>
      <xdr:rowOff>0</xdr:rowOff>
    </xdr:from>
    <xdr:to>
      <xdr:col>25</xdr:col>
      <xdr:colOff>133350</xdr:colOff>
      <xdr:row>84</xdr:row>
      <xdr:rowOff>59872</xdr:rowOff>
    </xdr:to>
    <xdr:graphicFrame macro="">
      <xdr:nvGraphicFramePr>
        <xdr:cNvPr id="9" name="Chart 8">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xdr:col>
      <xdr:colOff>0</xdr:colOff>
      <xdr:row>3</xdr:row>
      <xdr:rowOff>0</xdr:rowOff>
    </xdr:from>
    <xdr:to>
      <xdr:col>32</xdr:col>
      <xdr:colOff>133350</xdr:colOff>
      <xdr:row>20</xdr:row>
      <xdr:rowOff>59872</xdr:rowOff>
    </xdr:to>
    <xdr:graphicFrame macro="">
      <xdr:nvGraphicFramePr>
        <xdr:cNvPr id="11" name="Chart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166688</xdr:colOff>
      <xdr:row>11</xdr:row>
      <xdr:rowOff>95250</xdr:rowOff>
    </xdr:from>
    <xdr:to>
      <xdr:col>23</xdr:col>
      <xdr:colOff>333374</xdr:colOff>
      <xdr:row>30</xdr:row>
      <xdr:rowOff>127000</xdr:rowOff>
    </xdr:to>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30</xdr:col>
      <xdr:colOff>11338</xdr:colOff>
      <xdr:row>10</xdr:row>
      <xdr:rowOff>142192</xdr:rowOff>
    </xdr:from>
    <xdr:to>
      <xdr:col>38</xdr:col>
      <xdr:colOff>296520</xdr:colOff>
      <xdr:row>28</xdr:row>
      <xdr:rowOff>159883</xdr:rowOff>
    </xdr:to>
    <xdr:graphicFrame macro="">
      <xdr:nvGraphicFramePr>
        <xdr:cNvPr id="4" name="Chart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45</xdr:col>
      <xdr:colOff>7939</xdr:colOff>
      <xdr:row>11</xdr:row>
      <xdr:rowOff>25396</xdr:rowOff>
    </xdr:from>
    <xdr:to>
      <xdr:col>51</xdr:col>
      <xdr:colOff>598713</xdr:colOff>
      <xdr:row>26</xdr:row>
      <xdr:rowOff>27214</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90715</xdr:colOff>
      <xdr:row>43</xdr:row>
      <xdr:rowOff>144464</xdr:rowOff>
    </xdr:from>
    <xdr:to>
      <xdr:col>21</xdr:col>
      <xdr:colOff>902608</xdr:colOff>
      <xdr:row>69</xdr:row>
      <xdr:rowOff>51028</xdr:rowOff>
    </xdr:to>
    <xdr:graphicFrame macro="">
      <xdr:nvGraphicFramePr>
        <xdr:cNvPr id="8" name="Chart 7">
          <a:extLst>
            <a:ext uri="{FF2B5EF4-FFF2-40B4-BE49-F238E27FC236}">
              <a16:creationId xmlns:a16="http://schemas.microsoft.com/office/drawing/2014/main" id="{00000000-0008-0000-08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45</xdr:col>
      <xdr:colOff>68035</xdr:colOff>
      <xdr:row>36</xdr:row>
      <xdr:rowOff>49214</xdr:rowOff>
    </xdr:from>
    <xdr:to>
      <xdr:col>51</xdr:col>
      <xdr:colOff>489857</xdr:colOff>
      <xdr:row>51</xdr:row>
      <xdr:rowOff>149679</xdr:rowOff>
    </xdr:to>
    <xdr:graphicFrame macro="">
      <xdr:nvGraphicFramePr>
        <xdr:cNvPr id="9" name="Chart 8">
          <a:extLst>
            <a:ext uri="{FF2B5EF4-FFF2-40B4-BE49-F238E27FC236}">
              <a16:creationId xmlns:a16="http://schemas.microsoft.com/office/drawing/2014/main" id="{00000000-0008-0000-08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29</xdr:col>
      <xdr:colOff>687161</xdr:colOff>
      <xdr:row>43</xdr:row>
      <xdr:rowOff>145598</xdr:rowOff>
    </xdr:from>
    <xdr:to>
      <xdr:col>36</xdr:col>
      <xdr:colOff>174626</xdr:colOff>
      <xdr:row>68</xdr:row>
      <xdr:rowOff>90716</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64</xdr:col>
      <xdr:colOff>71440</xdr:colOff>
      <xdr:row>8</xdr:row>
      <xdr:rowOff>104771</xdr:rowOff>
    </xdr:from>
    <xdr:to>
      <xdr:col>71</xdr:col>
      <xdr:colOff>326571</xdr:colOff>
      <xdr:row>25</xdr:row>
      <xdr:rowOff>136071</xdr:rowOff>
    </xdr:to>
    <xdr:graphicFrame macro="">
      <xdr:nvGraphicFramePr>
        <xdr:cNvPr id="10" name="Chart 9">
          <a:extLst>
            <a:ext uri="{FF2B5EF4-FFF2-40B4-BE49-F238E27FC236}">
              <a16:creationId xmlns:a16="http://schemas.microsoft.com/office/drawing/2014/main" id="{00000000-0008-0000-08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63</xdr:col>
      <xdr:colOff>653142</xdr:colOff>
      <xdr:row>35</xdr:row>
      <xdr:rowOff>43544</xdr:rowOff>
    </xdr:from>
    <xdr:to>
      <xdr:col>71</xdr:col>
      <xdr:colOff>253092</xdr:colOff>
      <xdr:row>52</xdr:row>
      <xdr:rowOff>68035</xdr:rowOff>
    </xdr:to>
    <xdr:graphicFrame macro="">
      <xdr:nvGraphicFramePr>
        <xdr:cNvPr id="11" name="Chart 10">
          <a:extLst>
            <a:ext uri="{FF2B5EF4-FFF2-40B4-BE49-F238E27FC236}">
              <a16:creationId xmlns:a16="http://schemas.microsoft.com/office/drawing/2014/main" id="{00000000-0008-0000-08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67</xdr:col>
      <xdr:colOff>204107</xdr:colOff>
      <xdr:row>8</xdr:row>
      <xdr:rowOff>108858</xdr:rowOff>
    </xdr:from>
    <xdr:to>
      <xdr:col>68</xdr:col>
      <xdr:colOff>737507</xdr:colOff>
      <xdr:row>11</xdr:row>
      <xdr:rowOff>122465</xdr:rowOff>
    </xdr:to>
    <xdr:sp macro="" textlink="">
      <xdr:nvSpPr>
        <xdr:cNvPr id="12" name="Text Box 2">
          <a:extLst>
            <a:ext uri="{FF2B5EF4-FFF2-40B4-BE49-F238E27FC236}">
              <a16:creationId xmlns:a16="http://schemas.microsoft.com/office/drawing/2014/main" id="{00000000-0008-0000-0800-00000C000000}"/>
            </a:ext>
          </a:extLst>
        </xdr:cNvPr>
        <xdr:cNvSpPr txBox="1">
          <a:spLocks noChangeArrowheads="1"/>
        </xdr:cNvSpPr>
      </xdr:nvSpPr>
      <xdr:spPr bwMode="auto">
        <a:xfrm>
          <a:off x="65681678" y="1700894"/>
          <a:ext cx="1431472" cy="530678"/>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nSpc>
              <a:spcPct val="150000"/>
            </a:lnSpc>
            <a:spcAft>
              <a:spcPts val="0"/>
            </a:spcAft>
          </a:pPr>
          <a:r>
            <a:rPr lang="en-GB" sz="1000" b="1" u="none">
              <a:solidFill>
                <a:sysClr val="windowText" lastClr="000000"/>
              </a:solidFill>
              <a:effectLst/>
              <a:latin typeface="Verdana" panose="020B0604030504040204" pitchFamily="34" charset="0"/>
              <a:ea typeface="Times New Roman" panose="02020603050405020304" pitchFamily="18" charset="0"/>
              <a:cs typeface="Times New Roman" panose="02020603050405020304" pitchFamily="18" charset="0"/>
            </a:rPr>
            <a:t>Actual expenditure</a:t>
          </a:r>
        </a:p>
      </xdr:txBody>
    </xdr:sp>
    <xdr:clientData/>
  </xdr:twoCellAnchor>
  <xdr:twoCellAnchor>
    <xdr:from>
      <xdr:col>69</xdr:col>
      <xdr:colOff>864734</xdr:colOff>
      <xdr:row>8</xdr:row>
      <xdr:rowOff>131760</xdr:rowOff>
    </xdr:from>
    <xdr:to>
      <xdr:col>71</xdr:col>
      <xdr:colOff>350383</xdr:colOff>
      <xdr:row>12</xdr:row>
      <xdr:rowOff>7937</xdr:rowOff>
    </xdr:to>
    <xdr:sp macro="" textlink="">
      <xdr:nvSpPr>
        <xdr:cNvPr id="14" name="Text Box 2">
          <a:extLst>
            <a:ext uri="{FF2B5EF4-FFF2-40B4-BE49-F238E27FC236}">
              <a16:creationId xmlns:a16="http://schemas.microsoft.com/office/drawing/2014/main" id="{00000000-0008-0000-0800-00000E000000}"/>
            </a:ext>
          </a:extLst>
        </xdr:cNvPr>
        <xdr:cNvSpPr txBox="1">
          <a:spLocks noChangeArrowheads="1"/>
        </xdr:cNvSpPr>
      </xdr:nvSpPr>
      <xdr:spPr bwMode="auto">
        <a:xfrm>
          <a:off x="75723297" y="1679573"/>
          <a:ext cx="1168399" cy="51911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nSpc>
              <a:spcPct val="150000"/>
            </a:lnSpc>
            <a:spcAft>
              <a:spcPts val="0"/>
            </a:spcAft>
          </a:pPr>
          <a:r>
            <a:rPr lang="en-GB" sz="1000" b="1" u="none">
              <a:solidFill>
                <a:sysClr val="windowText" lastClr="000000"/>
              </a:solidFill>
              <a:effectLst/>
              <a:latin typeface="Verdana" panose="020B0604030504040204" pitchFamily="34" charset="0"/>
              <a:ea typeface="Times New Roman" panose="02020603050405020304" pitchFamily="18" charset="0"/>
              <a:cs typeface="Times New Roman" panose="02020603050405020304" pitchFamily="18" charset="0"/>
            </a:rPr>
            <a:t>Forecast expenditure</a:t>
          </a:r>
        </a:p>
      </xdr:txBody>
    </xdr:sp>
    <xdr:clientData/>
  </xdr:twoCellAnchor>
  <xdr:twoCellAnchor>
    <xdr:from>
      <xdr:col>69</xdr:col>
      <xdr:colOff>805089</xdr:colOff>
      <xdr:row>8</xdr:row>
      <xdr:rowOff>138339</xdr:rowOff>
    </xdr:from>
    <xdr:to>
      <xdr:col>69</xdr:col>
      <xdr:colOff>832303</xdr:colOff>
      <xdr:row>25</xdr:row>
      <xdr:rowOff>111124</xdr:rowOff>
    </xdr:to>
    <xdr:cxnSp macro="">
      <xdr:nvCxnSpPr>
        <xdr:cNvPr id="7" name="Straight Connector 6">
          <a:extLst>
            <a:ext uri="{FF2B5EF4-FFF2-40B4-BE49-F238E27FC236}">
              <a16:creationId xmlns:a16="http://schemas.microsoft.com/office/drawing/2014/main" id="{00000000-0008-0000-0800-000007000000}"/>
            </a:ext>
          </a:extLst>
        </xdr:cNvPr>
        <xdr:cNvCxnSpPr/>
      </xdr:nvCxnSpPr>
      <xdr:spPr>
        <a:xfrm flipH="1" flipV="1">
          <a:off x="75663652" y="1686152"/>
          <a:ext cx="27214" cy="3203347"/>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675140</xdr:colOff>
      <xdr:row>34</xdr:row>
      <xdr:rowOff>154897</xdr:rowOff>
    </xdr:from>
    <xdr:to>
      <xdr:col>69</xdr:col>
      <xdr:colOff>699632</xdr:colOff>
      <xdr:row>52</xdr:row>
      <xdr:rowOff>0</xdr:rowOff>
    </xdr:to>
    <xdr:cxnSp macro="">
      <xdr:nvCxnSpPr>
        <xdr:cNvPr id="15" name="Straight Connector 14">
          <a:extLst>
            <a:ext uri="{FF2B5EF4-FFF2-40B4-BE49-F238E27FC236}">
              <a16:creationId xmlns:a16="http://schemas.microsoft.com/office/drawing/2014/main" id="{00000000-0008-0000-0800-00000F000000}"/>
            </a:ext>
          </a:extLst>
        </xdr:cNvPr>
        <xdr:cNvCxnSpPr/>
      </xdr:nvCxnSpPr>
      <xdr:spPr>
        <a:xfrm flipH="1" flipV="1">
          <a:off x="75533703" y="6909710"/>
          <a:ext cx="24492" cy="3559853"/>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830036</xdr:colOff>
      <xdr:row>35</xdr:row>
      <xdr:rowOff>141513</xdr:rowOff>
    </xdr:from>
    <xdr:to>
      <xdr:col>68</xdr:col>
      <xdr:colOff>517072</xdr:colOff>
      <xdr:row>38</xdr:row>
      <xdr:rowOff>42953</xdr:rowOff>
    </xdr:to>
    <xdr:sp macro="" textlink="">
      <xdr:nvSpPr>
        <xdr:cNvPr id="16" name="Text Box 2">
          <a:extLst>
            <a:ext uri="{FF2B5EF4-FFF2-40B4-BE49-F238E27FC236}">
              <a16:creationId xmlns:a16="http://schemas.microsoft.com/office/drawing/2014/main" id="{00000000-0008-0000-0800-000010000000}"/>
            </a:ext>
          </a:extLst>
        </xdr:cNvPr>
        <xdr:cNvSpPr txBox="1">
          <a:spLocks noChangeArrowheads="1"/>
        </xdr:cNvSpPr>
      </xdr:nvSpPr>
      <xdr:spPr bwMode="auto">
        <a:xfrm>
          <a:off x="65409536" y="6577692"/>
          <a:ext cx="1483179" cy="568190"/>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nSpc>
              <a:spcPct val="150000"/>
            </a:lnSpc>
            <a:spcAft>
              <a:spcPts val="0"/>
            </a:spcAft>
          </a:pPr>
          <a:r>
            <a:rPr lang="en-GB" sz="1000" b="1" u="none">
              <a:solidFill>
                <a:sysClr val="windowText" lastClr="000000"/>
              </a:solidFill>
              <a:effectLst/>
              <a:latin typeface="Verdana" panose="020B0604030504040204" pitchFamily="34" charset="0"/>
              <a:ea typeface="Times New Roman" panose="02020603050405020304" pitchFamily="18" charset="0"/>
              <a:cs typeface="Times New Roman" panose="02020603050405020304" pitchFamily="18" charset="0"/>
            </a:rPr>
            <a:t>Actual expenditure</a:t>
          </a:r>
        </a:p>
      </xdr:txBody>
    </xdr:sp>
    <xdr:clientData/>
  </xdr:twoCellAnchor>
  <xdr:twoCellAnchor>
    <xdr:from>
      <xdr:col>69</xdr:col>
      <xdr:colOff>760186</xdr:colOff>
      <xdr:row>35</xdr:row>
      <xdr:rowOff>89580</xdr:rowOff>
    </xdr:from>
    <xdr:to>
      <xdr:col>71</xdr:col>
      <xdr:colOff>142875</xdr:colOff>
      <xdr:row>37</xdr:row>
      <xdr:rowOff>78373</xdr:rowOff>
    </xdr:to>
    <xdr:sp macro="" textlink="">
      <xdr:nvSpPr>
        <xdr:cNvPr id="18" name="Text Box 2">
          <a:extLst>
            <a:ext uri="{FF2B5EF4-FFF2-40B4-BE49-F238E27FC236}">
              <a16:creationId xmlns:a16="http://schemas.microsoft.com/office/drawing/2014/main" id="{00000000-0008-0000-0800-000012000000}"/>
            </a:ext>
          </a:extLst>
        </xdr:cNvPr>
        <xdr:cNvSpPr txBox="1">
          <a:spLocks noChangeArrowheads="1"/>
        </xdr:cNvSpPr>
      </xdr:nvSpPr>
      <xdr:spPr bwMode="auto">
        <a:xfrm>
          <a:off x="75618749" y="7042830"/>
          <a:ext cx="1065439" cy="528543"/>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nSpc>
              <a:spcPct val="150000"/>
            </a:lnSpc>
            <a:spcAft>
              <a:spcPts val="0"/>
            </a:spcAft>
          </a:pPr>
          <a:r>
            <a:rPr lang="en-GB" sz="1000" b="1" u="none">
              <a:solidFill>
                <a:sysClr val="windowText" lastClr="000000"/>
              </a:solidFill>
              <a:effectLst/>
              <a:latin typeface="Verdana" panose="020B0604030504040204" pitchFamily="34" charset="0"/>
              <a:ea typeface="Times New Roman" panose="02020603050405020304" pitchFamily="18" charset="0"/>
              <a:cs typeface="Times New Roman" panose="02020603050405020304" pitchFamily="18" charset="0"/>
            </a:rPr>
            <a:t>Forecast expenditure</a:t>
          </a:r>
        </a:p>
      </xdr:txBody>
    </xdr:sp>
    <xdr:clientData/>
  </xdr:twoCellAnchor>
  <xdr:twoCellAnchor>
    <xdr:from>
      <xdr:col>64</xdr:col>
      <xdr:colOff>1006929</xdr:colOff>
      <xdr:row>23</xdr:row>
      <xdr:rowOff>158750</xdr:rowOff>
    </xdr:from>
    <xdr:to>
      <xdr:col>66</xdr:col>
      <xdr:colOff>693965</xdr:colOff>
      <xdr:row>25</xdr:row>
      <xdr:rowOff>119805</xdr:rowOff>
    </xdr:to>
    <xdr:sp macro="" textlink="">
      <xdr:nvSpPr>
        <xdr:cNvPr id="17" name="Text Box 2">
          <a:extLst>
            <a:ext uri="{FF2B5EF4-FFF2-40B4-BE49-F238E27FC236}">
              <a16:creationId xmlns:a16="http://schemas.microsoft.com/office/drawing/2014/main" id="{00000000-0008-0000-0800-000011000000}"/>
            </a:ext>
          </a:extLst>
        </xdr:cNvPr>
        <xdr:cNvSpPr txBox="1">
          <a:spLocks noChangeArrowheads="1"/>
        </xdr:cNvSpPr>
      </xdr:nvSpPr>
      <xdr:spPr bwMode="auto">
        <a:xfrm>
          <a:off x="62130215" y="4254500"/>
          <a:ext cx="3143250" cy="328448"/>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nSpc>
              <a:spcPct val="150000"/>
            </a:lnSpc>
            <a:spcAft>
              <a:spcPts val="0"/>
            </a:spcAft>
          </a:pPr>
          <a:r>
            <a:rPr lang="en-GB" sz="1000" b="1" u="none">
              <a:solidFill>
                <a:schemeClr val="bg1"/>
              </a:solidFill>
              <a:effectLst/>
              <a:latin typeface="Verdana" panose="020B0604030504040204" pitchFamily="34" charset="0"/>
              <a:ea typeface="Times New Roman" panose="02020603050405020304" pitchFamily="18" charset="0"/>
              <a:cs typeface="Times New Roman" panose="02020603050405020304" pitchFamily="18" charset="0"/>
            </a:rPr>
            <a:t>.</a:t>
          </a:r>
        </a:p>
      </xdr:txBody>
    </xdr:sp>
    <xdr:clientData/>
  </xdr:twoCellAnchor>
  <xdr:twoCellAnchor>
    <xdr:from>
      <xdr:col>64</xdr:col>
      <xdr:colOff>639536</xdr:colOff>
      <xdr:row>50</xdr:row>
      <xdr:rowOff>34018</xdr:rowOff>
    </xdr:from>
    <xdr:to>
      <xdr:col>66</xdr:col>
      <xdr:colOff>231322</xdr:colOff>
      <xdr:row>52</xdr:row>
      <xdr:rowOff>15483</xdr:rowOff>
    </xdr:to>
    <xdr:sp macro="" textlink="">
      <xdr:nvSpPr>
        <xdr:cNvPr id="19" name="Text Box 2">
          <a:extLst>
            <a:ext uri="{FF2B5EF4-FFF2-40B4-BE49-F238E27FC236}">
              <a16:creationId xmlns:a16="http://schemas.microsoft.com/office/drawing/2014/main" id="{00000000-0008-0000-0800-000013000000}"/>
            </a:ext>
          </a:extLst>
        </xdr:cNvPr>
        <xdr:cNvSpPr txBox="1">
          <a:spLocks noChangeArrowheads="1"/>
        </xdr:cNvSpPr>
      </xdr:nvSpPr>
      <xdr:spPr bwMode="auto">
        <a:xfrm>
          <a:off x="61762822" y="9164411"/>
          <a:ext cx="3048000" cy="335251"/>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nSpc>
              <a:spcPct val="150000"/>
            </a:lnSpc>
            <a:spcAft>
              <a:spcPts val="0"/>
            </a:spcAft>
          </a:pPr>
          <a:r>
            <a:rPr lang="en-GB" sz="1000" b="1" u="none">
              <a:solidFill>
                <a:schemeClr val="bg1"/>
              </a:solidFill>
              <a:effectLst/>
              <a:latin typeface="Verdana" panose="020B0604030504040204" pitchFamily="34" charset="0"/>
              <a:ea typeface="Times New Roman" panose="02020603050405020304" pitchFamily="18" charset="0"/>
              <a:cs typeface="Times New Roman" panose="02020603050405020304" pitchFamily="18" charset="0"/>
            </a:rPr>
            <a:t>.</a:t>
          </a:r>
        </a:p>
      </xdr:txBody>
    </xdr:sp>
    <xdr:clientData/>
  </xdr:twoCellAnchor>
  <xdr:twoCellAnchor>
    <xdr:from>
      <xdr:col>64</xdr:col>
      <xdr:colOff>0</xdr:colOff>
      <xdr:row>62</xdr:row>
      <xdr:rowOff>1</xdr:rowOff>
    </xdr:from>
    <xdr:to>
      <xdr:col>70</xdr:col>
      <xdr:colOff>530678</xdr:colOff>
      <xdr:row>77</xdr:row>
      <xdr:rowOff>149680</xdr:rowOff>
    </xdr:to>
    <xdr:graphicFrame macro="">
      <xdr:nvGraphicFramePr>
        <xdr:cNvPr id="21" name="Chart 20">
          <a:extLst>
            <a:ext uri="{FF2B5EF4-FFF2-40B4-BE49-F238E27FC236}">
              <a16:creationId xmlns:a16="http://schemas.microsoft.com/office/drawing/2014/main" id="{00000000-0008-0000-08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69</xdr:col>
      <xdr:colOff>249463</xdr:colOff>
      <xdr:row>62</xdr:row>
      <xdr:rowOff>9072</xdr:rowOff>
    </xdr:from>
    <xdr:to>
      <xdr:col>69</xdr:col>
      <xdr:colOff>249463</xdr:colOff>
      <xdr:row>77</xdr:row>
      <xdr:rowOff>104322</xdr:rowOff>
    </xdr:to>
    <xdr:cxnSp macro="">
      <xdr:nvCxnSpPr>
        <xdr:cNvPr id="24" name="Straight Connector 23">
          <a:extLst>
            <a:ext uri="{FF2B5EF4-FFF2-40B4-BE49-F238E27FC236}">
              <a16:creationId xmlns:a16="http://schemas.microsoft.com/office/drawing/2014/main" id="{00000000-0008-0000-0800-000018000000}"/>
            </a:ext>
          </a:extLst>
        </xdr:cNvPr>
        <xdr:cNvCxnSpPr/>
      </xdr:nvCxnSpPr>
      <xdr:spPr>
        <a:xfrm flipV="1">
          <a:off x="75108026" y="12494760"/>
          <a:ext cx="0" cy="3087687"/>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27215</xdr:colOff>
      <xdr:row>62</xdr:row>
      <xdr:rowOff>13608</xdr:rowOff>
    </xdr:from>
    <xdr:to>
      <xdr:col>68</xdr:col>
      <xdr:colOff>176893</xdr:colOff>
      <xdr:row>65</xdr:row>
      <xdr:rowOff>78333</xdr:rowOff>
    </xdr:to>
    <xdr:sp macro="" textlink="">
      <xdr:nvSpPr>
        <xdr:cNvPr id="26" name="Text Box 2">
          <a:extLst>
            <a:ext uri="{FF2B5EF4-FFF2-40B4-BE49-F238E27FC236}">
              <a16:creationId xmlns:a16="http://schemas.microsoft.com/office/drawing/2014/main" id="{00000000-0008-0000-0800-00001A000000}"/>
            </a:ext>
          </a:extLst>
        </xdr:cNvPr>
        <xdr:cNvSpPr txBox="1">
          <a:spLocks noChangeArrowheads="1"/>
        </xdr:cNvSpPr>
      </xdr:nvSpPr>
      <xdr:spPr bwMode="auto">
        <a:xfrm>
          <a:off x="65504786" y="11185072"/>
          <a:ext cx="1047750" cy="568190"/>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nSpc>
              <a:spcPct val="150000"/>
            </a:lnSpc>
            <a:spcAft>
              <a:spcPts val="0"/>
            </a:spcAft>
          </a:pPr>
          <a:r>
            <a:rPr lang="en-GB" sz="1000" b="1" u="none">
              <a:solidFill>
                <a:sysClr val="windowText" lastClr="000000"/>
              </a:solidFill>
              <a:effectLst/>
              <a:latin typeface="Verdana" panose="020B0604030504040204" pitchFamily="34" charset="0"/>
              <a:ea typeface="Times New Roman" panose="02020603050405020304" pitchFamily="18" charset="0"/>
              <a:cs typeface="Times New Roman" panose="02020603050405020304" pitchFamily="18" charset="0"/>
            </a:rPr>
            <a:t>Actual expenditure</a:t>
          </a:r>
        </a:p>
      </xdr:txBody>
    </xdr:sp>
    <xdr:clientData/>
  </xdr:twoCellAnchor>
  <xdr:twoCellAnchor>
    <xdr:from>
      <xdr:col>69</xdr:col>
      <xdr:colOff>316366</xdr:colOff>
      <xdr:row>62</xdr:row>
      <xdr:rowOff>29482</xdr:rowOff>
    </xdr:from>
    <xdr:to>
      <xdr:col>70</xdr:col>
      <xdr:colOff>633414</xdr:colOff>
      <xdr:row>65</xdr:row>
      <xdr:rowOff>94207</xdr:rowOff>
    </xdr:to>
    <xdr:sp macro="" textlink="">
      <xdr:nvSpPr>
        <xdr:cNvPr id="27" name="Text Box 2">
          <a:extLst>
            <a:ext uri="{FF2B5EF4-FFF2-40B4-BE49-F238E27FC236}">
              <a16:creationId xmlns:a16="http://schemas.microsoft.com/office/drawing/2014/main" id="{00000000-0008-0000-0800-00001B000000}"/>
            </a:ext>
          </a:extLst>
        </xdr:cNvPr>
        <xdr:cNvSpPr txBox="1">
          <a:spLocks noChangeArrowheads="1"/>
        </xdr:cNvSpPr>
      </xdr:nvSpPr>
      <xdr:spPr bwMode="auto">
        <a:xfrm>
          <a:off x="75174929" y="12515170"/>
          <a:ext cx="1277485" cy="644162"/>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nSpc>
              <a:spcPct val="150000"/>
            </a:lnSpc>
            <a:spcAft>
              <a:spcPts val="0"/>
            </a:spcAft>
          </a:pPr>
          <a:r>
            <a:rPr lang="en-GB" sz="1000" b="1" u="none">
              <a:solidFill>
                <a:sysClr val="windowText" lastClr="000000"/>
              </a:solidFill>
              <a:effectLst/>
              <a:latin typeface="Verdana" panose="020B0604030504040204" pitchFamily="34" charset="0"/>
              <a:ea typeface="Times New Roman" panose="02020603050405020304" pitchFamily="18" charset="0"/>
              <a:cs typeface="Times New Roman" panose="02020603050405020304" pitchFamily="18" charset="0"/>
            </a:rPr>
            <a:t>Forecast expenditure</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0.02487</cdr:x>
      <cdr:y>0.88541</cdr:y>
    </cdr:from>
    <cdr:to>
      <cdr:x>0.46237</cdr:x>
      <cdr:y>1</cdr:y>
    </cdr:to>
    <cdr:sp macro="" textlink="">
      <cdr:nvSpPr>
        <cdr:cNvPr id="2" name="Text Box 2"/>
        <cdr:cNvSpPr txBox="1">
          <a:spLocks xmlns:a="http://schemas.openxmlformats.org/drawingml/2006/main" noChangeArrowheads="1"/>
        </cdr:cNvSpPr>
      </cdr:nvSpPr>
      <cdr:spPr bwMode="auto">
        <a:xfrm xmlns:a="http://schemas.openxmlformats.org/drawingml/2006/main">
          <a:off x="173264" y="2590285"/>
          <a:ext cx="3048000" cy="33525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rot="0" vert="horz" wrap="square" lIns="91440" tIns="45720" rIns="91440" bIns="45720" anchor="t"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50000"/>
            </a:lnSpc>
            <a:spcAft>
              <a:spcPts val="0"/>
            </a:spcAft>
          </a:pPr>
          <a:r>
            <a:rPr lang="en-GB" sz="1000" b="1" u="none">
              <a:solidFill>
                <a:schemeClr val="bg1"/>
              </a:solidFill>
              <a:effectLst/>
              <a:latin typeface="Verdana" panose="020B0604030504040204" pitchFamily="34" charset="0"/>
              <a:ea typeface="Times New Roman" panose="02020603050405020304" pitchFamily="18" charset="0"/>
              <a:cs typeface="Times New Roman" panose="02020603050405020304" pitchFamily="18" charset="0"/>
            </a:rPr>
            <a:t>.</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47625</xdr:colOff>
      <xdr:row>2</xdr:row>
      <xdr:rowOff>9525</xdr:rowOff>
    </xdr:from>
    <xdr:to>
      <xdr:col>5</xdr:col>
      <xdr:colOff>401411</xdr:colOff>
      <xdr:row>19</xdr:row>
      <xdr:rowOff>55789</xdr:rowOff>
    </xdr:to>
    <xdr:graphicFrame macro="">
      <xdr:nvGraphicFramePr>
        <xdr:cNvPr id="3" name="Chart 8">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IGs_Development/RIGs_2016_17/2_Notice/RIIO_T1_ET_Cost_and_Outputs_Reporting_Temp_v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harepoint2013/sgg/SG/RIIOI/RIIO_Implementation_Lib/Annual%20Iteration%20Process/2019/05%20Annual%20Report/Draft%20Supporting%20Data%20File%20RFPR%202018-19%20without%20link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eports_Publications/2019-20_Annual_Report/SHET/SHET%20highlevel%20LR%20capex%20RRP20%20summary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eports_Publications/2019-20_Annual_Report/SPT/SPT%20licence%206F%20performance%20RRP20v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eports_Publications/2019-20_Annual_Report/NGET%20TO/Copy%20of%20Copy%20of%20NGET%20performance%20RRP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IGS_Working_Versions/2020/2019-20_NGET_RRP_Cost_and_Output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IGS_Working_Versions/2020/SPT/AUGUST%20UPDATE/2019-20_SPTL_RRP_Cost_and_Outputs_August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IGS_Working_Versions/2020/2019-20_SHET_RRP_Cost_and_Output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harepoint2013/sgg/SG/RIIOI/RIIO_Implementation_Lib/Annual%20Iteration%20Process/2019/05%20Annual%20Report/Copy%20of%20customer%20bills%20annual%20report%20201819%2026%20Nov%202019%20graph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IGS_Working_Versions/2019/2018-19_NGET_RRP_Cost_and_Output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eports_Publications/2018-19_Annual_Report/Data%20File_RIIO-ET1%20annual%20report%202018-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IGS_Working_Versions/2019/2018-19_SPTL_RRP_Cost_and_Output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harepoint2013/sgg/CO/Cost_and_Outputs_Lib/Transmission/RIIO_Reporting/RIGS_Working_Versions/2019/2018-19_SHE_RRP_Cost_and_Outpu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Check and Balances"/>
      <sheetName val="1.4_Rec_to_Reg_Accs"/>
      <sheetName val="1.5_Net_Debt_and_Tax_Clawback"/>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
      <sheetName val="3.2_Year_on_Year_Movt"/>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3.16_SO_EMR_Data"/>
      <sheetName val="4.1_Capex_Summary"/>
      <sheetName val="4.2_LRScheme_Expenditure"/>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1_NOMs_detail"/>
      <sheetName val="6.15.2_NOMs_RP"/>
      <sheetName val="6.16.1_Criticality_Substations"/>
      <sheetName val="6.16.2_Criticality_Circuits"/>
      <sheetName val="6.16.3_Criticality_SP"/>
      <sheetName val="6.17_Flood_Mitigation"/>
      <sheetName val="GRAPH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522">
          <cell r="B522" t="str">
            <v>Preconstruction</v>
          </cell>
        </row>
        <row r="523">
          <cell r="B523" t="str">
            <v>Under construction</v>
          </cell>
        </row>
        <row r="524">
          <cell r="B524" t="str">
            <v>Commissioned</v>
          </cell>
        </row>
        <row r="525">
          <cell r="B525" t="str">
            <v>Terminated/Cancelled</v>
          </cell>
        </row>
        <row r="526">
          <cell r="B526" t="str">
            <v>Moved to non-load</v>
          </cell>
        </row>
        <row r="527">
          <cell r="B527" t="str">
            <v>On hold</v>
          </cell>
        </row>
        <row r="528">
          <cell r="B528" t="str">
            <v>Deferred</v>
          </cell>
        </row>
        <row r="529">
          <cell r="B529" t="str">
            <v>Accelerated</v>
          </cell>
        </row>
        <row r="530">
          <cell r="B530" t="str">
            <v>Recategorised</v>
          </cell>
        </row>
        <row r="533">
          <cell r="B533" t="str">
            <v>Incremental_Wider_Works_NGET</v>
          </cell>
        </row>
        <row r="534">
          <cell r="B534" t="str">
            <v>Generation_connection_and_demand_related_infrastructure_NGET</v>
          </cell>
        </row>
        <row r="535">
          <cell r="B535" t="str">
            <v>Planning_Underground_cable_NGET</v>
          </cell>
        </row>
        <row r="536">
          <cell r="B536" t="str">
            <v>DNO_Mitigation</v>
          </cell>
        </row>
        <row r="537">
          <cell r="B537" t="str">
            <v>Capacity_MW</v>
          </cell>
        </row>
        <row r="538">
          <cell r="B538" t="str">
            <v>Capacity_MVA</v>
          </cell>
        </row>
        <row r="539">
          <cell r="B539" t="str">
            <v>Underground_cable_km</v>
          </cell>
        </row>
        <row r="540">
          <cell r="B540" t="str">
            <v>Overhead_line_km</v>
          </cell>
        </row>
        <row r="541">
          <cell r="B541" t="str">
            <v>Subsea_cable_km</v>
          </cell>
        </row>
        <row r="542">
          <cell r="B542" t="str">
            <v>Super_Grid_Transformer</v>
          </cell>
        </row>
        <row r="543">
          <cell r="B543" t="str">
            <v>400kV_132kV_substation</v>
          </cell>
        </row>
        <row r="544">
          <cell r="B544" t="str">
            <v>275kV_33kV_substation_transformer_feeder</v>
          </cell>
        </row>
        <row r="545">
          <cell r="B545" t="str">
            <v>275kV_33kV_substation_single_switch</v>
          </cell>
        </row>
        <row r="546">
          <cell r="B546" t="str">
            <v>132kV_33kV_substation_transformer_feeder</v>
          </cell>
        </row>
        <row r="547">
          <cell r="B547" t="str">
            <v>132kV_33kV_substation_single_switch</v>
          </cell>
        </row>
        <row r="548">
          <cell r="B548" t="str">
            <v>275kV_400kV_L8_construction_20km</v>
          </cell>
        </row>
        <row r="549">
          <cell r="B549" t="str">
            <v>L8_adjustment_per_km_more_or_less_than_20km</v>
          </cell>
        </row>
        <row r="550">
          <cell r="B550" t="str">
            <v>132kV_33kV_L7_construction_20km</v>
          </cell>
        </row>
        <row r="551">
          <cell r="B551" t="str">
            <v>L7_adjustment_per_km_or_less_than_on_20km</v>
          </cell>
        </row>
        <row r="552">
          <cell r="B552" t="str">
            <v>Overhead_line_synergies_adjustment</v>
          </cell>
        </row>
        <row r="553">
          <cell r="B553" t="str">
            <v>Removal_and_processing/disposal_of_rock_m3</v>
          </cell>
        </row>
        <row r="554">
          <cell r="B554" t="str">
            <v>Removal_and_off-site_disposal_of_peat_m3</v>
          </cell>
        </row>
        <row r="555">
          <cell r="B555" t="str">
            <v>Haulage_road_construction_km</v>
          </cell>
        </row>
        <row r="556">
          <cell r="B556" t="str">
            <v>Other_to_agree_with_Ofgem</v>
          </cell>
        </row>
        <row r="557">
          <cell r="B557" t="str">
            <v>No_output</v>
          </cell>
        </row>
        <row r="583">
          <cell r="B583" t="str">
            <v>Below baseline</v>
          </cell>
        </row>
        <row r="584">
          <cell r="B584" t="str">
            <v>Above baseline</v>
          </cell>
        </row>
      </sheetData>
      <sheetData sheetId="35"/>
      <sheetData sheetId="36"/>
      <sheetData sheetId="37"/>
      <sheetData sheetId="38"/>
      <sheetData sheetId="39"/>
      <sheetData sheetId="40"/>
      <sheetData sheetId="41"/>
      <sheetData sheetId="42"/>
      <sheetData sheetId="43">
        <row r="15">
          <cell r="T15" t="str">
            <v>To be constructed</v>
          </cell>
        </row>
        <row r="16">
          <cell r="T16" t="str">
            <v>Under construction</v>
          </cell>
        </row>
        <row r="17">
          <cell r="T17" t="str">
            <v>Complete</v>
          </cell>
        </row>
        <row r="18">
          <cell r="T18" t="str">
            <v>Under review</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ata"/>
      <sheetName val="RoRE by sector 2018-19"/>
      <sheetName val="RoRE 2018-19"/>
      <sheetName val="RoRE by sector 2017-18"/>
      <sheetName val="RoRE position 2017-18"/>
      <sheetName val="RoRE comparison 1718 -1819"/>
      <sheetName val="RAV-Gearing"/>
      <sheetName val="Totex"/>
      <sheetName val="Charts by sector"/>
      <sheetName val="Charts"/>
      <sheetName val="ED"/>
      <sheetName val="GD"/>
      <sheetName val="ET"/>
      <sheetName val="GT"/>
      <sheetName val="ENWL"/>
      <sheetName val="NPg"/>
      <sheetName val="SP"/>
      <sheetName val="SSE"/>
      <sheetName val="UKPN"/>
      <sheetName val="WPD"/>
      <sheetName val="Cadent"/>
      <sheetName val="NGN"/>
      <sheetName val="SGN"/>
      <sheetName val="WWU"/>
      <sheetName val="NGET"/>
      <sheetName val="SPT"/>
      <sheetName val="SHET"/>
      <sheetName val="Company combined data"/>
    </sheetNames>
    <sheetDataSet>
      <sheetData sheetId="0"/>
      <sheetData sheetId="1"/>
      <sheetData sheetId="2"/>
      <sheetData sheetId="3"/>
      <sheetData sheetId="4"/>
      <sheetData sheetId="5"/>
      <sheetData sheetId="6">
        <row r="44">
          <cell r="C44" t="str">
            <v>NGET (TO)</v>
          </cell>
          <cell r="D44"/>
          <cell r="E44" t="str">
            <v>SPT</v>
          </cell>
          <cell r="F44"/>
          <cell r="G44" t="str">
            <v>SHET</v>
          </cell>
          <cell r="H44"/>
        </row>
        <row r="45">
          <cell r="C45">
            <v>2018</v>
          </cell>
          <cell r="D45">
            <v>2019</v>
          </cell>
          <cell r="E45">
            <v>2018</v>
          </cell>
          <cell r="F45">
            <v>2019</v>
          </cell>
          <cell r="G45">
            <v>2018</v>
          </cell>
          <cell r="H45">
            <v>2019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across T1 and T2"/>
      <sheetName val="TOTEX"/>
      <sheetName val="Apr '13 to RRP20 allowances"/>
      <sheetName val="TRUE UP"/>
      <sheetName val="LR1 &amp; LR2"/>
      <sheetName val="LR3"/>
      <sheetName val="Shetland LR13"/>
      <sheetName val="LR15"/>
      <sheetName val="3L only"/>
      <sheetName val="SWW "/>
      <sheetName val="hand back"/>
      <sheetName val="LR 21"/>
      <sheetName val="LR22"/>
      <sheetName val="T2 outputs "/>
    </sheetNames>
    <sheetDataSet>
      <sheetData sheetId="0"/>
      <sheetData sheetId="1">
        <row r="14">
          <cell r="AG14">
            <v>187.15799999999999</v>
          </cell>
        </row>
      </sheetData>
      <sheetData sheetId="2"/>
      <sheetData sheetId="3">
        <row r="25">
          <cell r="J25">
            <v>1.3470197208373675</v>
          </cell>
        </row>
        <row r="56">
          <cell r="N56">
            <v>228.65069845342379</v>
          </cell>
        </row>
        <row r="63">
          <cell r="N63">
            <v>116.14201439643415</v>
          </cell>
        </row>
        <row r="67">
          <cell r="N67">
            <v>-40.876462357922378</v>
          </cell>
        </row>
        <row r="76">
          <cell r="N76">
            <v>-193.55194602195428</v>
          </cell>
        </row>
      </sheetData>
      <sheetData sheetId="4"/>
      <sheetData sheetId="5">
        <row r="9">
          <cell r="J9">
            <v>5.5420197340097754</v>
          </cell>
        </row>
      </sheetData>
      <sheetData sheetId="6"/>
      <sheetData sheetId="7">
        <row r="36">
          <cell r="K36">
            <v>12.815920634897603</v>
          </cell>
        </row>
      </sheetData>
      <sheetData sheetId="8">
        <row r="56">
          <cell r="W56">
            <v>-2.4387871592347694</v>
          </cell>
        </row>
        <row r="61">
          <cell r="M61">
            <v>103.8272038511456</v>
          </cell>
        </row>
      </sheetData>
      <sheetData sheetId="9">
        <row r="97">
          <cell r="J97">
            <v>55.882033695918651</v>
          </cell>
        </row>
      </sheetData>
      <sheetData sheetId="10"/>
      <sheetData sheetId="11">
        <row r="14">
          <cell r="J14">
            <v>32.328448448390354</v>
          </cell>
        </row>
      </sheetData>
      <sheetData sheetId="12">
        <row r="4">
          <cell r="J4">
            <v>0</v>
          </cell>
        </row>
      </sheetData>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 4.19.2"/>
      <sheetName val="Licence"/>
      <sheetName val="FP doc"/>
      <sheetName val="1 Apr 2013 baseline"/>
      <sheetName val="Apr 13 SPT view"/>
      <sheetName val="PCFM input sheet"/>
      <sheetName val="AIP"/>
      <sheetName val="6F costs RRP18"/>
      <sheetName val="SQ55 response"/>
      <sheetName val="IRM adj"/>
      <sheetName val="SQ55 response(2)"/>
      <sheetName val="T4.2 raw data"/>
      <sheetName val="Reconciliation"/>
      <sheetName val="LR21 SPT gen calc"/>
      <sheetName val="Apr'13 to RRP20 allowance"/>
      <sheetName val="LR spend summary RRP20"/>
      <sheetName val="TOTEX summary"/>
      <sheetName val="TRUE UP"/>
      <sheetName val="GEF"/>
      <sheetName val="LR1"/>
      <sheetName val="LR2"/>
      <sheetName val="Excl Serv summary"/>
      <sheetName val="LR3"/>
      <sheetName val="LR9&amp;10"/>
      <sheetName val="LR11&amp;12"/>
      <sheetName val="LR13"/>
      <sheetName val="LR15"/>
      <sheetName val="LR20"/>
      <sheetName val="SpC 3L"/>
      <sheetName val="LR21"/>
      <sheetName val="LR22"/>
      <sheetName val="T2 outputs"/>
    </sheetNames>
    <sheetDataSet>
      <sheetData sheetId="0"/>
      <sheetData sheetId="1"/>
      <sheetData sheetId="2"/>
      <sheetData sheetId="3"/>
      <sheetData sheetId="4">
        <row r="11">
          <cell r="D11">
            <v>-4.7302370254354251</v>
          </cell>
        </row>
      </sheetData>
      <sheetData sheetId="5"/>
      <sheetData sheetId="6"/>
      <sheetData sheetId="7"/>
      <sheetData sheetId="8"/>
      <sheetData sheetId="9"/>
      <sheetData sheetId="10"/>
      <sheetData sheetId="11"/>
      <sheetData sheetId="12"/>
      <sheetData sheetId="13"/>
      <sheetData sheetId="14"/>
      <sheetData sheetId="15">
        <row r="96">
          <cell r="F96">
            <v>9.7291111414428091</v>
          </cell>
        </row>
      </sheetData>
      <sheetData sheetId="16">
        <row r="13">
          <cell r="E13">
            <v>16.622157604107208</v>
          </cell>
        </row>
      </sheetData>
      <sheetData sheetId="17">
        <row r="107">
          <cell r="N107">
            <v>95.319808347868999</v>
          </cell>
        </row>
        <row r="110">
          <cell r="N110">
            <v>-45.030293461394244</v>
          </cell>
        </row>
        <row r="116">
          <cell r="N116">
            <v>100.18404285291599</v>
          </cell>
        </row>
        <row r="117">
          <cell r="N117">
            <v>-61.114234704619939</v>
          </cell>
        </row>
        <row r="121">
          <cell r="S121">
            <v>-10.077378405150453</v>
          </cell>
        </row>
      </sheetData>
      <sheetData sheetId="18"/>
      <sheetData sheetId="19"/>
      <sheetData sheetId="20"/>
      <sheetData sheetId="21"/>
      <sheetData sheetId="22"/>
      <sheetData sheetId="23"/>
      <sheetData sheetId="24"/>
      <sheetData sheetId="25"/>
      <sheetData sheetId="26"/>
      <sheetData sheetId="27"/>
      <sheetData sheetId="28">
        <row r="68">
          <cell r="V68">
            <v>29.633205517457114</v>
          </cell>
        </row>
        <row r="87">
          <cell r="V87">
            <v>31.079221095101492</v>
          </cell>
        </row>
      </sheetData>
      <sheetData sheetId="29"/>
      <sheetData sheetId="30"/>
      <sheetData sheetId="3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ummary"/>
      <sheetName val="SQ reconciliation"/>
      <sheetName val="starting baseline allowance"/>
      <sheetName val="Apr '13 to RRP20"/>
      <sheetName val="TOTEX"/>
      <sheetName val="Summary sheet"/>
      <sheetName val="LR1"/>
      <sheetName val="LR2"/>
      <sheetName val="Excl Serv summary"/>
      <sheetName val="True up"/>
      <sheetName val="LR3"/>
      <sheetName val="LR4 - Gen6F"/>
      <sheetName val="LR13"/>
      <sheetName val="LR14 - Dem6L"/>
      <sheetName val="LR15"/>
      <sheetName val="LR16 incl TPWW"/>
      <sheetName val="LR16 TPWW only"/>
      <sheetName val="LR18"/>
      <sheetName val="LR19"/>
      <sheetName val="LR20"/>
      <sheetName val="SpC 3L pre con"/>
      <sheetName val="LR21"/>
      <sheetName val="LR22"/>
      <sheetName val="T2 outputs"/>
      <sheetName val="T1+2 Waterfall"/>
      <sheetName val="RRP18 Demand "/>
      <sheetName val="RRP18 Generation"/>
      <sheetName val="SQ 60 IWW"/>
      <sheetName val="6F 6L 6J"/>
      <sheetName val="LR16 from T4.1"/>
    </sheetNames>
    <sheetDataSet>
      <sheetData sheetId="0"/>
      <sheetData sheetId="1"/>
      <sheetData sheetId="2"/>
      <sheetData sheetId="3"/>
      <sheetData sheetId="4"/>
      <sheetData sheetId="5"/>
      <sheetData sheetId="6"/>
      <sheetData sheetId="7"/>
      <sheetData sheetId="8"/>
      <sheetData sheetId="9">
        <row r="5">
          <cell r="O5">
            <v>542.07377732156112</v>
          </cell>
        </row>
        <row r="8">
          <cell r="O8">
            <v>-218.48562150590436</v>
          </cell>
        </row>
        <row r="13">
          <cell r="O13">
            <v>329.78755354337261</v>
          </cell>
        </row>
        <row r="14">
          <cell r="O14">
            <v>-210.95921361407923</v>
          </cell>
        </row>
        <row r="30">
          <cell r="O30">
            <v>-249.65284604777028</v>
          </cell>
        </row>
      </sheetData>
      <sheetData sheetId="10"/>
      <sheetData sheetId="11"/>
      <sheetData sheetId="12"/>
      <sheetData sheetId="13"/>
      <sheetData sheetId="14"/>
      <sheetData sheetId="15"/>
      <sheetData sheetId="16"/>
      <sheetData sheetId="17"/>
      <sheetData sheetId="18"/>
      <sheetData sheetId="19"/>
      <sheetData sheetId="20">
        <row r="32">
          <cell r="U32">
            <v>91.514320562356488</v>
          </cell>
        </row>
        <row r="39">
          <cell r="V39">
            <v>63.363745388688372</v>
          </cell>
        </row>
      </sheetData>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Check and Balances"/>
      <sheetName val="1.4_Rec_to_Reg_Accs"/>
      <sheetName val="1.5_Net_Debt_and_Tax_Clawback"/>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4.9_GEF (SPT ONLY)"/>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1_NOMs_detail"/>
      <sheetName val="6.15.2_NOMs_RP"/>
      <sheetName val="6.17_Flood_Mitigation"/>
      <sheetName val="6.01_Asset_Identification"/>
      <sheetName val="6.02_Asset_Identification"/>
      <sheetName val="COMMENTARY SPT"/>
      <sheetName val="COMMENTARY SHET"/>
      <sheetName val="COMMENTARY NGET"/>
      <sheetName val="Working1"/>
      <sheetName val="Working2"/>
    </sheetNames>
    <sheetDataSet>
      <sheetData sheetId="0"/>
      <sheetData sheetId="1"/>
      <sheetData sheetId="2">
        <row r="55">
          <cell r="C55">
            <v>1.0258870204865376</v>
          </cell>
        </row>
      </sheetData>
      <sheetData sheetId="3">
        <row r="12">
          <cell r="E12">
            <v>468.80843213925681</v>
          </cell>
        </row>
      </sheetData>
      <sheetData sheetId="4"/>
      <sheetData sheetId="5"/>
      <sheetData sheetId="6"/>
      <sheetData sheetId="7"/>
      <sheetData sheetId="8"/>
      <sheetData sheetId="9"/>
      <sheetData sheetId="10">
        <row r="16">
          <cell r="E16">
            <v>33.675565408479081</v>
          </cell>
        </row>
      </sheetData>
      <sheetData sheetId="11">
        <row r="11">
          <cell r="I11">
            <v>2.3339894272173041</v>
          </cell>
        </row>
      </sheetData>
      <sheetData sheetId="12"/>
      <sheetData sheetId="13">
        <row r="16">
          <cell r="E16">
            <v>33.675565408479081</v>
          </cell>
        </row>
      </sheetData>
      <sheetData sheetId="14">
        <row r="22">
          <cell r="C22">
            <v>10110</v>
          </cell>
          <cell r="D22">
            <v>9544</v>
          </cell>
          <cell r="E22">
            <v>9744</v>
          </cell>
          <cell r="F22">
            <v>11000</v>
          </cell>
          <cell r="G22">
            <v>9617</v>
          </cell>
          <cell r="H22">
            <v>12270</v>
          </cell>
          <cell r="I22">
            <v>12440.8</v>
          </cell>
        </row>
        <row r="23">
          <cell r="C23">
            <v>12053.994157499999</v>
          </cell>
          <cell r="D23">
            <v>12159.16805</v>
          </cell>
          <cell r="E23">
            <v>12302.790055000001</v>
          </cell>
          <cell r="F23">
            <v>12353.957585000002</v>
          </cell>
          <cell r="G23">
            <v>12461.1674325</v>
          </cell>
          <cell r="H23">
            <v>12476.414755</v>
          </cell>
          <cell r="I23">
            <v>12486.034446249998</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12">
          <cell r="G12">
            <v>2.6853518018139555</v>
          </cell>
        </row>
      </sheetData>
      <sheetData sheetId="34">
        <row r="25">
          <cell r="V25">
            <v>81.820214646540762</v>
          </cell>
        </row>
      </sheetData>
      <sheetData sheetId="35">
        <row r="393">
          <cell r="L393">
            <v>-4.7052472121896602E-2</v>
          </cell>
        </row>
      </sheetData>
      <sheetData sheetId="36">
        <row r="1247">
          <cell r="P1247">
            <v>-127.50575272461055</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1.4_Rec_to_Reg_Accs"/>
      <sheetName val="1.5_Net_Debt_and_Tax_Clawback"/>
      <sheetName val="Check and Balances"/>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4.9_GEF (SPT ONLY)"/>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1_NOMs_detail"/>
      <sheetName val="6.15.2_NOMs_RP"/>
      <sheetName val="6.17_Flood_Mitigation"/>
      <sheetName val="6.01_Asset_Identification"/>
      <sheetName val="6.02_Asset_Identification"/>
      <sheetName val="COMMENTARY SPT"/>
      <sheetName val="COMMENTARY SHET"/>
      <sheetName val="COMMENTARY NGET"/>
      <sheetName val="Working1"/>
      <sheetName val="Working2"/>
      <sheetName val="GRAPHS"/>
    </sheetNames>
    <sheetDataSet>
      <sheetData sheetId="0"/>
      <sheetData sheetId="1"/>
      <sheetData sheetId="2"/>
      <sheetData sheetId="3"/>
      <sheetData sheetId="4"/>
      <sheetData sheetId="5"/>
      <sheetData sheetId="6"/>
      <sheetData sheetId="7"/>
      <sheetData sheetId="8"/>
      <sheetData sheetId="9"/>
      <sheetData sheetId="10"/>
      <sheetData sheetId="11">
        <row r="10">
          <cell r="AN10">
            <v>226.86498736912634</v>
          </cell>
        </row>
      </sheetData>
      <sheetData sheetId="12"/>
      <sheetData sheetId="13"/>
      <sheetData sheetId="14">
        <row r="22">
          <cell r="I22">
            <v>529.78</v>
          </cell>
        </row>
        <row r="23">
          <cell r="I23">
            <v>889.93935000000045</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46">
          <cell r="H46">
            <v>765603.80783542991</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Check and Balances"/>
      <sheetName val="1.4_Rec_to_Reg_Accs"/>
      <sheetName val="1.5_Net_Debt_and_Tax_Clawback"/>
      <sheetName val="BneLog"/>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4.9_GEF (SPT ONLY)"/>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1_NOMs_detail"/>
      <sheetName val="6.15.2_NOMs_RP"/>
      <sheetName val="6.17_Flood_Mitigation"/>
      <sheetName val="6.01_Asset_Identification"/>
      <sheetName val="6.02_Asset_Identification"/>
      <sheetName val="COMMENTARY SPT"/>
      <sheetName val="COMMENTARY NGET"/>
      <sheetName val="COMMENTARY SHET"/>
      <sheetName val="GRAPH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AN10">
            <v>94.2171023612201</v>
          </cell>
        </row>
      </sheetData>
      <sheetData sheetId="13"/>
      <sheetData sheetId="14"/>
      <sheetData sheetId="15">
        <row r="22">
          <cell r="I22">
            <v>432.95</v>
          </cell>
        </row>
        <row r="23">
          <cell r="I23">
            <v>387.01175000000001</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2">
          <cell r="G12">
            <v>5.3111022450927017</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ow r="201">
          <cell r="O201">
            <v>96.413789468184092</v>
          </cell>
        </row>
      </sheetData>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ED"/>
      <sheetName val="ET"/>
      <sheetName val="GD"/>
      <sheetName val="GT"/>
      <sheetName val="Customer Bills Tables Nom"/>
      <sheetName val="Customer Bills Tables Real"/>
      <sheetName val="Chart-GT"/>
      <sheetName val="Chart-GT Real"/>
      <sheetName val="Chart - GD"/>
      <sheetName val="Chart - GD Real"/>
      <sheetName val="Chart - ED"/>
      <sheetName val="Chart - ED Real"/>
      <sheetName val="Chart - ET"/>
      <sheetName val="Chart - ET Real"/>
      <sheetName val="Network Charges - Monthly"/>
      <sheetName val="Chart-GT monthly"/>
    </sheetNames>
    <sheetDataSet>
      <sheetData sheetId="0"/>
      <sheetData sheetId="1"/>
      <sheetData sheetId="2"/>
      <sheetData sheetId="3"/>
      <sheetData sheetId="4"/>
      <sheetData sheetId="5">
        <row r="10">
          <cell r="G10">
            <v>92.720392857142869</v>
          </cell>
        </row>
      </sheetData>
      <sheetData sheetId="6">
        <row r="4">
          <cell r="G4">
            <v>0.96922704143445604</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Check and Balances"/>
      <sheetName val="1.4_Rec_to_Reg_Accs"/>
      <sheetName val="1.5_Net_Debt_and_Tax_Clawback"/>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3.16_SO_EMR_Data"/>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1_NOMs_detail"/>
      <sheetName val="6.15.2_NOMs_RP"/>
      <sheetName val="6.17_Flood_Mitigation"/>
      <sheetName val="GRAPHS"/>
      <sheetName val="COMMENTARY SPT"/>
      <sheetName val="COMMENTARY SHET"/>
      <sheetName val="COMMENTARY NGET"/>
      <sheetName val="Working1"/>
      <sheetName val="Working2"/>
    </sheetNames>
    <sheetDataSet>
      <sheetData sheetId="0"/>
      <sheetData sheetId="1"/>
      <sheetData sheetId="2"/>
      <sheetData sheetId="3">
        <row r="12">
          <cell r="E12">
            <v>468.80843213925681</v>
          </cell>
        </row>
      </sheetData>
      <sheetData sheetId="4"/>
      <sheetData sheetId="5"/>
      <sheetData sheetId="6"/>
      <sheetData sheetId="7"/>
      <sheetData sheetId="8"/>
      <sheetData sheetId="9"/>
      <sheetData sheetId="10">
        <row r="16">
          <cell r="E16">
            <v>32.825803169347139</v>
          </cell>
        </row>
      </sheetData>
      <sheetData sheetId="11">
        <row r="9">
          <cell r="AV9">
            <v>3430.4622997980541</v>
          </cell>
        </row>
      </sheetData>
      <sheetData sheetId="12"/>
      <sheetData sheetId="13">
        <row r="9">
          <cell r="E9">
            <v>744.8949681343546</v>
          </cell>
        </row>
        <row r="23">
          <cell r="M23">
            <v>10244.164195630345</v>
          </cell>
        </row>
        <row r="49">
          <cell r="M49">
            <v>13040.397429168817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2">
          <cell r="G12">
            <v>2.6175901909163448</v>
          </cell>
        </row>
      </sheetData>
      <sheetData sheetId="35">
        <row r="10">
          <cell r="AQ10">
            <v>0</v>
          </cell>
        </row>
      </sheetData>
      <sheetData sheetId="36">
        <row r="277">
          <cell r="T277">
            <v>0</v>
          </cell>
        </row>
      </sheetData>
      <sheetData sheetId="37">
        <row r="19">
          <cell r="AJ19">
            <v>0</v>
          </cell>
        </row>
      </sheetData>
      <sheetData sheetId="38"/>
      <sheetData sheetId="39">
        <row r="27">
          <cell r="D27">
            <v>1.5706665268788291</v>
          </cell>
        </row>
      </sheetData>
      <sheetData sheetId="40"/>
      <sheetData sheetId="41"/>
      <sheetData sheetId="42">
        <row r="59">
          <cell r="G59">
            <v>39.922201059866708</v>
          </cell>
        </row>
      </sheetData>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82">
          <cell r="G82">
            <v>44.919827419391694</v>
          </cell>
        </row>
      </sheetData>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niversal data"/>
      <sheetName val="Index"/>
      <sheetName val="Outputs"/>
      <sheetName val="Incentives - tables"/>
      <sheetName val="Incentives - charts "/>
      <sheetName val="Innovation"/>
      <sheetName val="Consumer bill impact"/>
      <sheetName val="8-year TO forecasts"/>
      <sheetName val="NGET SO totex performance"/>
      <sheetName val="RORE"/>
      <sheetName val="Forecast &quot;True up&quot; 1"/>
      <sheetName val="Forecast &quot;True up&quot; 2"/>
      <sheetName val="NGET T1+2"/>
      <sheetName val="SHET T1+2"/>
      <sheetName val="SHET Crossover"/>
    </sheetNames>
    <sheetDataSet>
      <sheetData sheetId="0"/>
      <sheetData sheetId="1"/>
      <sheetData sheetId="2"/>
      <sheetData sheetId="3"/>
      <sheetData sheetId="4"/>
      <sheetData sheetId="5"/>
      <sheetData sheetId="6"/>
      <sheetData sheetId="7"/>
      <sheetData sheetId="8">
        <row r="19">
          <cell r="K19">
            <v>4617.4407582429621</v>
          </cell>
        </row>
        <row r="20">
          <cell r="K20">
            <v>6079.6930732513638</v>
          </cell>
        </row>
        <row r="21">
          <cell r="K21">
            <v>194.01182221368828</v>
          </cell>
        </row>
        <row r="22">
          <cell r="K22">
            <v>2149.2517754608025</v>
          </cell>
        </row>
        <row r="25">
          <cell r="K25">
            <v>3425.9555050867752</v>
          </cell>
        </row>
        <row r="26">
          <cell r="K26">
            <v>4146.5923305255037</v>
          </cell>
        </row>
        <row r="27">
          <cell r="K27">
            <v>357.50980897741624</v>
          </cell>
        </row>
        <row r="28">
          <cell r="K28">
            <v>2314.1065510406497</v>
          </cell>
        </row>
        <row r="36">
          <cell r="K36">
            <v>1285.034772629974</v>
          </cell>
        </row>
        <row r="37">
          <cell r="K37">
            <v>861.06556036979714</v>
          </cell>
        </row>
        <row r="38">
          <cell r="K38">
            <v>9.4538109912233903</v>
          </cell>
        </row>
        <row r="39">
          <cell r="K39">
            <v>206.71679030531567</v>
          </cell>
        </row>
        <row r="42">
          <cell r="K42">
            <v>1226.6371864642358</v>
          </cell>
        </row>
        <row r="43">
          <cell r="K43">
            <v>760.66352404467546</v>
          </cell>
        </row>
        <row r="44">
          <cell r="K44">
            <v>18.752139210161083</v>
          </cell>
        </row>
        <row r="45">
          <cell r="K45">
            <v>280.18724693644162</v>
          </cell>
        </row>
        <row r="53">
          <cell r="K53">
            <v>3506.5580484662564</v>
          </cell>
        </row>
        <row r="54">
          <cell r="K54">
            <v>339.21883670603938</v>
          </cell>
        </row>
        <row r="55">
          <cell r="K55">
            <v>9.7212086484764466</v>
          </cell>
        </row>
        <row r="56">
          <cell r="K56">
            <v>254.3511207761469</v>
          </cell>
        </row>
        <row r="59">
          <cell r="K59">
            <v>3081.9874748730731</v>
          </cell>
        </row>
        <row r="60">
          <cell r="K60">
            <v>429.50591729153666</v>
          </cell>
        </row>
        <row r="61">
          <cell r="K61">
            <v>24.414200000000001</v>
          </cell>
        </row>
        <row r="62">
          <cell r="K62">
            <v>257.02112263732238</v>
          </cell>
        </row>
      </sheetData>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Check and Balances"/>
      <sheetName val="1.4_Rec_to_Reg_Accs"/>
      <sheetName val="1.5_Net_Debt_and_Tax_Clawback"/>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3.16_SO_EMR_Data"/>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1_NOMs_detail"/>
      <sheetName val="6.15.2_NOMs_RP"/>
      <sheetName val="6.17_Flood_Mitigation"/>
      <sheetName val="GRAPHS"/>
      <sheetName val="COMMENTARY SPT"/>
      <sheetName val="COMMENTARY SHET"/>
      <sheetName val="COMMENTARY NGET"/>
      <sheetName val="Working1"/>
      <sheetName val="Working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3">
          <cell r="M23">
            <v>2286.2400966555138</v>
          </cell>
        </row>
        <row r="49">
          <cell r="M49">
            <v>2362.2709342963099</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Check and Balances"/>
      <sheetName val="1.4_Rec_to_Reg_Accs"/>
      <sheetName val="1.5_Net_Debt_and_Tax_Clawback"/>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3.16_SO_EMR_Data"/>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1_NOMs_detail"/>
      <sheetName val="6.15.2_NOMs_RP"/>
      <sheetName val="6.17_Flood_Mitigation"/>
      <sheetName val="GRAPHS"/>
      <sheetName val="COMMENTARY SHET"/>
      <sheetName val="COMMENTARY SPT"/>
      <sheetName val="COMMENTARY NGET"/>
      <sheetName val="Working1"/>
      <sheetName val="Working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9">
          <cell r="M9">
            <v>3081.9874748730731</v>
          </cell>
        </row>
        <row r="10">
          <cell r="M10">
            <v>322.85303582931442</v>
          </cell>
        </row>
        <row r="11">
          <cell r="M11">
            <v>106.65288146222227</v>
          </cell>
        </row>
        <row r="12">
          <cell r="M12">
            <v>24.414200000000001</v>
          </cell>
        </row>
        <row r="22">
          <cell r="M22">
            <v>257.02112263732238</v>
          </cell>
        </row>
        <row r="23">
          <cell r="M23">
            <v>3792.9287148019321</v>
          </cell>
        </row>
        <row r="36">
          <cell r="M36">
            <v>3506.5580484662564</v>
          </cell>
        </row>
        <row r="37">
          <cell r="M37">
            <v>208.7624964289991</v>
          </cell>
        </row>
        <row r="38">
          <cell r="M38">
            <v>130.45634027704028</v>
          </cell>
        </row>
        <row r="39">
          <cell r="M39">
            <v>9.7212086484764466</v>
          </cell>
        </row>
        <row r="48">
          <cell r="M48">
            <v>254.3511207761469</v>
          </cell>
        </row>
        <row r="49">
          <cell r="M49">
            <v>4109.8492145969194</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ofgem.gov.uk/publications-and-updates/decision-our-project-assessment-hinkley-seabank-electricity-transmission-project" TargetMode="External"/><Relationship Id="rId2" Type="http://schemas.openxmlformats.org/officeDocument/2006/relationships/hyperlink" Target="https://www.ofgem.gov.uk/system/files/docs/2020/11/2019-20_decision_letter_sei.pdf" TargetMode="External"/><Relationship Id="rId1" Type="http://schemas.openxmlformats.org/officeDocument/2006/relationships/hyperlink" Target="https://www.ofgem.gov.uk/publications-and-updates/decision-riio-t1-environmental-discretionary-reward-2018-19-scheme-year"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ofgem.gov.uk/publications-and-updates/decision-2020-low-cost-networks-fund-and-network-innovation-competition-successful-delivery-reward-applicat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nationalgrid.com/uk/electricity-transmission/document/134906/download" TargetMode="External"/><Relationship Id="rId7" Type="http://schemas.openxmlformats.org/officeDocument/2006/relationships/comments" Target="../comments1.xml"/><Relationship Id="rId2" Type="http://schemas.openxmlformats.org/officeDocument/2006/relationships/hyperlink" Target="https://www.ssen-transmission.co.uk/media/4765/2019-20-annual-performance-report-appendix-1.pdf" TargetMode="External"/><Relationship Id="rId1" Type="http://schemas.openxmlformats.org/officeDocument/2006/relationships/hyperlink" Target="https://www.spenergynetworks.co.uk/userfiles/file/SPEN%20Transmission_AnnPerformReport_2.4_PublishedTotex.pdf" TargetMode="External"/><Relationship Id="rId6" Type="http://schemas.openxmlformats.org/officeDocument/2006/relationships/vmlDrawing" Target="../drawings/vmlDrawing1.vml"/><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2"/>
  <sheetViews>
    <sheetView zoomScale="80" zoomScaleNormal="80" workbookViewId="0">
      <selection activeCell="G45" sqref="G45"/>
    </sheetView>
  </sheetViews>
  <sheetFormatPr defaultColWidth="9" defaultRowHeight="12.4"/>
  <cols>
    <col min="1" max="16384" width="9" style="378"/>
  </cols>
  <sheetData>
    <row r="1" spans="1:1" s="687" customFormat="1" ht="56.85" customHeight="1"/>
    <row r="2" spans="1:1">
      <c r="A2" s="491"/>
    </row>
  </sheetData>
  <mergeCells count="1">
    <mergeCell ref="A1:XFD1"/>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39997558519241921"/>
    <pageSetUpPr autoPageBreaks="0"/>
  </sheetPr>
  <dimension ref="A1:V116"/>
  <sheetViews>
    <sheetView zoomScale="70" zoomScaleNormal="70" workbookViewId="0">
      <selection activeCell="H24" sqref="H24"/>
    </sheetView>
  </sheetViews>
  <sheetFormatPr defaultColWidth="9" defaultRowHeight="12.4"/>
  <cols>
    <col min="1" max="1" width="9" style="116"/>
    <col min="2" max="2" width="31.76171875" style="116" customWidth="1"/>
    <col min="3" max="3" width="15.76171875" style="116" customWidth="1"/>
    <col min="4" max="4" width="14.64453125" style="116" customWidth="1"/>
    <col min="5" max="5" width="14.234375" style="116" customWidth="1"/>
    <col min="6" max="6" width="9" style="116"/>
    <col min="7" max="7" width="18.76171875" style="116" customWidth="1"/>
    <col min="8" max="8" width="39.46875" style="116" customWidth="1"/>
    <col min="9" max="10" width="9" style="116"/>
    <col min="11" max="11" width="9" style="480"/>
    <col min="12" max="12" width="0.87890625" style="480" customWidth="1"/>
    <col min="13" max="14" width="9" style="116"/>
    <col min="15" max="15" width="9" style="480"/>
    <col min="16" max="16" width="1.3515625" style="480" customWidth="1"/>
    <col min="17" max="17" width="9" style="116"/>
    <col min="18" max="18" width="9" style="480"/>
    <col min="19" max="19" width="9" style="116"/>
    <col min="20" max="21" width="9" style="480"/>
    <col min="22" max="16384" width="9" style="116"/>
  </cols>
  <sheetData>
    <row r="1" spans="2:22">
      <c r="B1" s="1" t="s">
        <v>362</v>
      </c>
      <c r="V1" s="336"/>
    </row>
    <row r="2" spans="2:22">
      <c r="E2" s="180" t="s">
        <v>375</v>
      </c>
      <c r="V2" s="336"/>
    </row>
    <row r="3" spans="2:22" ht="24" customHeight="1">
      <c r="I3" s="820"/>
      <c r="J3" s="820"/>
      <c r="K3" s="820"/>
      <c r="L3" s="820"/>
      <c r="M3" s="820"/>
      <c r="N3" s="820"/>
      <c r="O3" s="820"/>
      <c r="P3" s="820"/>
      <c r="Q3" s="820"/>
      <c r="R3" s="820"/>
      <c r="S3" s="820"/>
      <c r="T3" s="565"/>
      <c r="U3" s="565"/>
      <c r="V3" s="336"/>
    </row>
    <row r="4" spans="2:22" ht="22.5" customHeight="1" thickBot="1">
      <c r="H4" s="116" t="s">
        <v>348</v>
      </c>
      <c r="I4" s="821" t="s">
        <v>349</v>
      </c>
      <c r="J4" s="821"/>
      <c r="K4" s="821"/>
      <c r="L4" s="821"/>
      <c r="M4" s="821"/>
      <c r="N4" s="821"/>
      <c r="O4" s="821"/>
      <c r="P4" s="821"/>
      <c r="Q4" s="821"/>
      <c r="R4" s="821"/>
      <c r="S4" s="821"/>
      <c r="T4" s="821"/>
      <c r="U4" s="565"/>
      <c r="V4" s="336"/>
    </row>
    <row r="5" spans="2:22" ht="12.75" thickBot="1">
      <c r="H5" s="116" t="s">
        <v>350</v>
      </c>
      <c r="I5" s="822" t="s">
        <v>76</v>
      </c>
      <c r="J5" s="823"/>
      <c r="K5" s="824"/>
      <c r="L5" s="651"/>
      <c r="M5" s="822" t="s">
        <v>1</v>
      </c>
      <c r="N5" s="823"/>
      <c r="O5" s="824"/>
      <c r="P5" s="651"/>
      <c r="Q5" s="829" t="s">
        <v>51</v>
      </c>
      <c r="R5" s="830"/>
      <c r="S5" s="831"/>
      <c r="T5" s="565"/>
      <c r="U5" s="565"/>
      <c r="V5" s="336"/>
    </row>
    <row r="6" spans="2:22">
      <c r="H6" s="116" t="s">
        <v>53</v>
      </c>
      <c r="I6" s="632">
        <v>2018</v>
      </c>
      <c r="J6" s="633">
        <v>2019</v>
      </c>
      <c r="K6" s="573">
        <v>2020</v>
      </c>
      <c r="L6" s="632"/>
      <c r="M6" s="632">
        <v>2018</v>
      </c>
      <c r="N6" s="633">
        <v>2019</v>
      </c>
      <c r="O6" s="573">
        <v>2020</v>
      </c>
      <c r="P6" s="632"/>
      <c r="Q6" s="632">
        <v>2018</v>
      </c>
      <c r="R6" s="633">
        <v>2019</v>
      </c>
      <c r="S6" s="573">
        <v>2020</v>
      </c>
      <c r="T6" s="469"/>
      <c r="U6" s="469"/>
      <c r="V6" s="336"/>
    </row>
    <row r="7" spans="2:22">
      <c r="H7" s="116" t="s">
        <v>351</v>
      </c>
      <c r="I7" s="634">
        <v>7.2834936913310444E-2</v>
      </c>
      <c r="J7" s="635">
        <v>7.2851506960787432E-2</v>
      </c>
      <c r="K7" s="574">
        <v>7.2856229341846948E-2</v>
      </c>
      <c r="L7" s="634"/>
      <c r="M7" s="634">
        <v>7.9766109337125773E-2</v>
      </c>
      <c r="N7" s="635">
        <v>7.9768873005658769E-2</v>
      </c>
      <c r="O7" s="574">
        <v>7.9721920748207803E-2</v>
      </c>
      <c r="P7" s="634"/>
      <c r="Q7" s="634">
        <v>7.4384705057886011E-2</v>
      </c>
      <c r="R7" s="635">
        <v>7.4438984162974342E-2</v>
      </c>
      <c r="S7" s="574">
        <v>7.4511077910388968E-2</v>
      </c>
      <c r="T7" s="403"/>
      <c r="U7" s="403"/>
      <c r="V7" s="336"/>
    </row>
    <row r="8" spans="2:22">
      <c r="H8" s="116" t="s">
        <v>352</v>
      </c>
      <c r="I8" s="634">
        <v>1.8325000220130616E-2</v>
      </c>
      <c r="J8" s="635">
        <v>1.9403959387716163E-2</v>
      </c>
      <c r="K8" s="574">
        <v>2.0290297929708111E-2</v>
      </c>
      <c r="L8" s="634"/>
      <c r="M8" s="634">
        <v>3.5634622654694909E-3</v>
      </c>
      <c r="N8" s="635">
        <v>5.048565853257689E-3</v>
      </c>
      <c r="O8" s="574">
        <v>8.8939798883044732E-3</v>
      </c>
      <c r="P8" s="634"/>
      <c r="Q8" s="634">
        <v>1.5910850614883742E-2</v>
      </c>
      <c r="R8" s="635">
        <v>1.1793981047455973E-2</v>
      </c>
      <c r="S8" s="574">
        <v>8.092202463507326E-3</v>
      </c>
      <c r="T8" s="403"/>
      <c r="U8" s="403"/>
      <c r="V8" s="336"/>
    </row>
    <row r="9" spans="2:22">
      <c r="H9" s="116" t="s">
        <v>353</v>
      </c>
      <c r="I9" s="634">
        <v>1.9635809517121465E-3</v>
      </c>
      <c r="J9" s="635">
        <v>2.2809228014581632E-3</v>
      </c>
      <c r="K9" s="574">
        <v>2.091383798175468E-3</v>
      </c>
      <c r="L9" s="634"/>
      <c r="M9" s="634">
        <v>3.8765730675260259E-3</v>
      </c>
      <c r="N9" s="635">
        <v>4.0823286891733899E-3</v>
      </c>
      <c r="O9" s="574">
        <v>4.3799218994852755E-3</v>
      </c>
      <c r="P9" s="634"/>
      <c r="Q9" s="634">
        <v>1.5155700562822832E-3</v>
      </c>
      <c r="R9" s="635">
        <v>2.394123489602312E-3</v>
      </c>
      <c r="S9" s="574">
        <v>2.6870777303187781E-3</v>
      </c>
      <c r="T9" s="403"/>
      <c r="U9" s="403"/>
      <c r="V9" s="336"/>
    </row>
    <row r="10" spans="2:22">
      <c r="H10" s="116" t="s">
        <v>354</v>
      </c>
      <c r="I10" s="636">
        <f t="shared" ref="I10:Q10" si="0">SUM(I7:I9)</f>
        <v>9.3123518085153206E-2</v>
      </c>
      <c r="J10" s="637">
        <f t="shared" si="0"/>
        <v>9.4536389149961764E-2</v>
      </c>
      <c r="K10" s="575">
        <f t="shared" si="0"/>
        <v>9.5237911069730535E-2</v>
      </c>
      <c r="L10" s="636"/>
      <c r="M10" s="636">
        <f t="shared" si="0"/>
        <v>8.7206144670121291E-2</v>
      </c>
      <c r="N10" s="637">
        <f t="shared" si="0"/>
        <v>8.8899767548089856E-2</v>
      </c>
      <c r="O10" s="575">
        <f t="shared" ref="O10" si="1">SUM(O7:O9)</f>
        <v>9.2995822535997544E-2</v>
      </c>
      <c r="P10" s="636"/>
      <c r="Q10" s="636">
        <f t="shared" si="0"/>
        <v>9.1811125729052034E-2</v>
      </c>
      <c r="R10" s="637">
        <f t="shared" ref="R10:S10" si="2">SUM(R7:R9)</f>
        <v>8.8627088700032636E-2</v>
      </c>
      <c r="S10" s="575">
        <f t="shared" si="2"/>
        <v>8.5290358104215064E-2</v>
      </c>
      <c r="T10" s="470"/>
      <c r="U10" s="470"/>
      <c r="V10" s="336"/>
    </row>
    <row r="11" spans="2:22">
      <c r="H11" s="116" t="s">
        <v>224</v>
      </c>
      <c r="I11" s="634">
        <v>1.0942385146689902E-2</v>
      </c>
      <c r="J11" s="635">
        <v>1.0639648694885961E-2</v>
      </c>
      <c r="K11" s="574">
        <v>1.1507125603644731E-2</v>
      </c>
      <c r="L11" s="634"/>
      <c r="M11" s="634">
        <v>1.6843462882764199E-2</v>
      </c>
      <c r="N11" s="635">
        <v>1.9726744208118357E-2</v>
      </c>
      <c r="O11" s="574">
        <v>1.9557091785461708E-2</v>
      </c>
      <c r="P11" s="634"/>
      <c r="Q11" s="634">
        <v>-1.1434551253278642E-2</v>
      </c>
      <c r="R11" s="635">
        <v>2.6404698348117834E-3</v>
      </c>
      <c r="S11" s="574">
        <v>8.6695616581819387E-3</v>
      </c>
      <c r="T11" s="403"/>
      <c r="U11" s="403"/>
      <c r="V11" s="336"/>
    </row>
    <row r="12" spans="2:22" ht="12.75" thickBot="1">
      <c r="H12" s="116" t="s">
        <v>355</v>
      </c>
      <c r="I12" s="638">
        <f t="shared" ref="I12:Q12" si="3">SUM(I10:I11)</f>
        <v>0.10406590323184312</v>
      </c>
      <c r="J12" s="639">
        <f t="shared" si="3"/>
        <v>0.10517603784484772</v>
      </c>
      <c r="K12" s="576">
        <f t="shared" si="3"/>
        <v>0.10674503667337526</v>
      </c>
      <c r="L12" s="638"/>
      <c r="M12" s="638">
        <f t="shared" si="3"/>
        <v>0.10404960755288549</v>
      </c>
      <c r="N12" s="639">
        <f t="shared" si="3"/>
        <v>0.10862651175620822</v>
      </c>
      <c r="O12" s="576">
        <f t="shared" si="3"/>
        <v>0.11255291432145925</v>
      </c>
      <c r="P12" s="638"/>
      <c r="Q12" s="638">
        <f t="shared" si="3"/>
        <v>8.0376574475773399E-2</v>
      </c>
      <c r="R12" s="639">
        <f t="shared" ref="R12:S12" si="4">SUM(R10:R11)</f>
        <v>9.1267558534844417E-2</v>
      </c>
      <c r="S12" s="576">
        <f t="shared" si="4"/>
        <v>9.3959919762397009E-2</v>
      </c>
      <c r="T12" s="470"/>
      <c r="U12" s="470"/>
      <c r="V12" s="336"/>
    </row>
    <row r="13" spans="2:22">
      <c r="I13" s="403"/>
      <c r="J13" s="403"/>
      <c r="K13" s="403"/>
      <c r="L13" s="403"/>
      <c r="M13" s="403"/>
      <c r="N13" s="403"/>
      <c r="O13" s="403"/>
      <c r="P13" s="403"/>
      <c r="Q13" s="403"/>
      <c r="R13" s="403"/>
      <c r="S13" s="403"/>
      <c r="T13" s="403"/>
      <c r="U13" s="403"/>
      <c r="V13" s="336"/>
    </row>
    <row r="14" spans="2:22">
      <c r="V14" s="336"/>
    </row>
    <row r="15" spans="2:22">
      <c r="V15" s="336"/>
    </row>
    <row r="16" spans="2:22">
      <c r="V16" s="336"/>
    </row>
    <row r="17" spans="1:22">
      <c r="V17" s="336"/>
    </row>
    <row r="18" spans="1:22">
      <c r="V18" s="336"/>
    </row>
    <row r="19" spans="1:22">
      <c r="V19" s="336"/>
    </row>
    <row r="20" spans="1:22">
      <c r="V20" s="336"/>
    </row>
    <row r="21" spans="1:22">
      <c r="V21" s="336"/>
    </row>
    <row r="22" spans="1:22">
      <c r="G22" s="380"/>
      <c r="V22" s="336"/>
    </row>
    <row r="23" spans="1:22" s="480" customFormat="1">
      <c r="G23" s="563"/>
      <c r="V23" s="336"/>
    </row>
    <row r="24" spans="1:22" s="480" customFormat="1">
      <c r="A24" s="1" t="s">
        <v>325</v>
      </c>
      <c r="B24" s="1" t="s">
        <v>455</v>
      </c>
      <c r="G24" s="563"/>
      <c r="V24" s="336"/>
    </row>
    <row r="25" spans="1:22" s="480" customFormat="1" ht="12.75" thickBot="1">
      <c r="G25" s="563"/>
      <c r="V25" s="336"/>
    </row>
    <row r="26" spans="1:22" s="480" customFormat="1">
      <c r="B26" s="825"/>
      <c r="C26" s="827" t="s">
        <v>456</v>
      </c>
      <c r="D26" s="827" t="s">
        <v>457</v>
      </c>
      <c r="E26" s="827" t="s">
        <v>458</v>
      </c>
      <c r="G26" s="563"/>
      <c r="V26" s="336"/>
    </row>
    <row r="27" spans="1:22" s="480" customFormat="1">
      <c r="B27" s="826"/>
      <c r="C27" s="828"/>
      <c r="D27" s="828"/>
      <c r="E27" s="828"/>
      <c r="G27" s="563"/>
      <c r="V27" s="336"/>
    </row>
    <row r="28" spans="1:22" s="480" customFormat="1">
      <c r="B28" s="362" t="s">
        <v>223</v>
      </c>
      <c r="C28" s="371">
        <f>K10</f>
        <v>9.5237911069730535E-2</v>
      </c>
      <c r="D28" s="371">
        <f>O10</f>
        <v>9.2995822535997544E-2</v>
      </c>
      <c r="E28" s="371">
        <f>S10</f>
        <v>8.5290358104215064E-2</v>
      </c>
      <c r="G28" s="563"/>
      <c r="V28" s="336"/>
    </row>
    <row r="29" spans="1:22" s="480" customFormat="1">
      <c r="B29" s="361" t="s">
        <v>224</v>
      </c>
      <c r="C29" s="371">
        <f>K11</f>
        <v>1.1507125603644731E-2</v>
      </c>
      <c r="D29" s="371">
        <f>O11</f>
        <v>1.9557091785461708E-2</v>
      </c>
      <c r="E29" s="371">
        <f>S11</f>
        <v>8.6695616581819387E-3</v>
      </c>
      <c r="G29" s="563"/>
      <c r="V29" s="336"/>
    </row>
    <row r="30" spans="1:22" s="480" customFormat="1">
      <c r="B30" s="363" t="s">
        <v>225</v>
      </c>
      <c r="C30" s="372">
        <f>K12</f>
        <v>0.10674503667337526</v>
      </c>
      <c r="D30" s="372">
        <f>O12</f>
        <v>0.11255291432145925</v>
      </c>
      <c r="E30" s="372">
        <f>S12</f>
        <v>9.3959919762397009E-2</v>
      </c>
      <c r="G30" s="563"/>
      <c r="V30" s="336"/>
    </row>
    <row r="31" spans="1:22" s="480" customFormat="1">
      <c r="E31" s="180" t="s">
        <v>376</v>
      </c>
      <c r="G31" s="563"/>
      <c r="V31" s="336"/>
    </row>
    <row r="32" spans="1:22">
      <c r="G32" s="380"/>
      <c r="V32" s="336"/>
    </row>
    <row r="33" spans="1:22">
      <c r="V33" s="336"/>
    </row>
    <row r="34" spans="1:22">
      <c r="A34" s="336"/>
      <c r="B34" s="336"/>
      <c r="C34" s="336"/>
      <c r="D34" s="336"/>
      <c r="E34" s="336"/>
      <c r="F34" s="336"/>
      <c r="G34" s="336"/>
      <c r="H34" s="336"/>
      <c r="I34" s="336"/>
      <c r="J34" s="336"/>
      <c r="K34" s="336"/>
      <c r="L34" s="336"/>
      <c r="M34" s="336"/>
      <c r="N34" s="336"/>
      <c r="O34" s="336"/>
      <c r="P34" s="336"/>
      <c r="Q34" s="336"/>
      <c r="R34" s="336"/>
      <c r="S34" s="336"/>
      <c r="T34" s="336"/>
      <c r="U34" s="336"/>
      <c r="V34" s="336"/>
    </row>
    <row r="49" ht="12.75" customHeight="1"/>
    <row r="55" ht="12.75" customHeight="1"/>
    <row r="67" ht="23.25" customHeight="1"/>
    <row r="74" ht="23.25" customHeight="1"/>
    <row r="81" ht="23.25" customHeight="1"/>
    <row r="110" ht="12.75" customHeight="1"/>
    <row r="116" ht="12.75" customHeight="1"/>
  </sheetData>
  <mergeCells count="9">
    <mergeCell ref="I3:S3"/>
    <mergeCell ref="I4:T4"/>
    <mergeCell ref="I5:K5"/>
    <mergeCell ref="M5:O5"/>
    <mergeCell ref="B26:B27"/>
    <mergeCell ref="C26:C27"/>
    <mergeCell ref="D26:D27"/>
    <mergeCell ref="E26:E27"/>
    <mergeCell ref="Q5:S5"/>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U29"/>
  <sheetViews>
    <sheetView zoomScale="80" zoomScaleNormal="80" workbookViewId="0">
      <selection activeCell="B19" sqref="B19:G19"/>
    </sheetView>
  </sheetViews>
  <sheetFormatPr defaultRowHeight="12.4"/>
  <cols>
    <col min="1" max="1" width="11.3515625" bestFit="1" customWidth="1"/>
    <col min="2" max="2" width="40.87890625" customWidth="1"/>
    <col min="3" max="3" width="35.234375" customWidth="1"/>
    <col min="4" max="4" width="23.46875" customWidth="1"/>
    <col min="5" max="5" width="24.76171875" customWidth="1"/>
    <col min="6" max="6" width="12.3515625" customWidth="1"/>
    <col min="9" max="9" width="32.3515625" customWidth="1"/>
    <col min="10" max="10" width="42.1171875" customWidth="1"/>
    <col min="11" max="11" width="15" customWidth="1"/>
    <col min="12" max="12" width="17" customWidth="1"/>
    <col min="13" max="13" width="21.3515625" customWidth="1"/>
    <col min="17" max="17" width="17.87890625" customWidth="1"/>
  </cols>
  <sheetData>
    <row r="1" spans="1:21" s="116" customFormat="1" ht="59.25" customHeight="1">
      <c r="B1" s="832" t="s">
        <v>226</v>
      </c>
      <c r="C1" s="833"/>
      <c r="D1" s="833"/>
      <c r="E1" s="833"/>
      <c r="F1" s="833"/>
      <c r="G1" s="833"/>
      <c r="H1" s="833"/>
      <c r="I1" s="834"/>
    </row>
    <row r="2" spans="1:21" s="116" customFormat="1" ht="37.5" customHeight="1" thickBot="1">
      <c r="B2" s="835"/>
      <c r="C2" s="836"/>
      <c r="D2" s="836"/>
      <c r="E2" s="836"/>
      <c r="F2" s="836"/>
      <c r="G2" s="836"/>
      <c r="H2" s="836"/>
      <c r="I2" s="837"/>
      <c r="J2" s="228"/>
      <c r="K2" s="169"/>
      <c r="L2" s="169"/>
      <c r="M2" s="169"/>
      <c r="N2" s="169"/>
      <c r="O2" s="169"/>
      <c r="P2" s="169"/>
      <c r="Q2" s="169"/>
    </row>
    <row r="3" spans="1:21" s="116" customFormat="1"/>
    <row r="4" spans="1:21">
      <c r="B4" s="30"/>
      <c r="J4" s="171"/>
      <c r="K4" s="847"/>
      <c r="L4" s="847"/>
      <c r="M4" s="847"/>
      <c r="N4" s="848"/>
      <c r="O4" s="848"/>
      <c r="P4" s="848"/>
      <c r="Q4" s="848"/>
      <c r="R4" s="848"/>
      <c r="S4" s="848"/>
      <c r="T4" s="848"/>
      <c r="U4" s="83"/>
    </row>
    <row r="5" spans="1:21">
      <c r="A5" s="1" t="s">
        <v>327</v>
      </c>
      <c r="B5" s="28" t="s">
        <v>326</v>
      </c>
      <c r="J5" s="171"/>
      <c r="K5" s="849"/>
      <c r="L5" s="849"/>
      <c r="M5" s="849"/>
      <c r="N5" s="850"/>
      <c r="O5" s="850"/>
      <c r="P5" s="847"/>
      <c r="Q5" s="847"/>
      <c r="R5" s="849"/>
      <c r="S5" s="847"/>
      <c r="T5" s="157"/>
      <c r="U5" s="83"/>
    </row>
    <row r="6" spans="1:21" ht="13.5" thickBot="1">
      <c r="A6" s="1"/>
      <c r="B6" s="118"/>
      <c r="C6" s="118">
        <v>1</v>
      </c>
      <c r="D6" s="118">
        <v>2</v>
      </c>
      <c r="E6" s="93" t="s">
        <v>129</v>
      </c>
      <c r="F6" s="118">
        <v>4</v>
      </c>
      <c r="G6" s="842">
        <v>5</v>
      </c>
      <c r="H6" s="842"/>
      <c r="I6" s="93" t="s">
        <v>130</v>
      </c>
      <c r="J6" s="42"/>
      <c r="K6" s="42"/>
      <c r="L6" s="42"/>
      <c r="M6" s="42"/>
      <c r="N6" s="42"/>
      <c r="O6" s="42"/>
      <c r="P6" s="42"/>
      <c r="Q6" s="42"/>
      <c r="R6" s="42"/>
      <c r="S6" s="42"/>
      <c r="T6" s="42"/>
    </row>
    <row r="7" spans="1:21" ht="35.25" thickBot="1">
      <c r="A7" s="1"/>
      <c r="B7" s="94" t="s">
        <v>425</v>
      </c>
      <c r="C7" s="118" t="s">
        <v>147</v>
      </c>
      <c r="D7" s="118" t="s">
        <v>131</v>
      </c>
      <c r="E7" s="93" t="s">
        <v>132</v>
      </c>
      <c r="F7" s="117" t="s">
        <v>133</v>
      </c>
      <c r="G7" s="843" t="s">
        <v>472</v>
      </c>
      <c r="H7" s="844"/>
      <c r="I7" s="95" t="s">
        <v>134</v>
      </c>
      <c r="J7" s="92"/>
    </row>
    <row r="8" spans="1:21">
      <c r="A8" s="1"/>
      <c r="B8" s="160" t="s">
        <v>2</v>
      </c>
      <c r="C8" s="161">
        <f>'[11]TRUE UP'!$N$56*'[11]TRUE UP'!$J$25</f>
        <v>307.99700000000001</v>
      </c>
      <c r="D8" s="162">
        <v>0</v>
      </c>
      <c r="E8" s="163">
        <f>C8+D8</f>
        <v>307.99700000000001</v>
      </c>
      <c r="F8" s="164">
        <f>'[11]TRUE UP'!$N$67*'[11]TRUE UP'!$J$25</f>
        <v>-55.061400914187764</v>
      </c>
      <c r="G8" s="845">
        <f>'[11]TRUE UP'!$N$63*'[11]TRUE UP'!$J$25</f>
        <v>156.44558380977426</v>
      </c>
      <c r="H8" s="846"/>
      <c r="I8" s="165">
        <f>F8+G8</f>
        <v>101.38418289558649</v>
      </c>
      <c r="J8" s="92"/>
    </row>
    <row r="9" spans="1:21">
      <c r="A9" s="1"/>
      <c r="B9" s="838" t="s">
        <v>135</v>
      </c>
      <c r="C9" s="839"/>
      <c r="D9" s="839"/>
      <c r="E9" s="839"/>
      <c r="F9" s="839"/>
      <c r="G9" s="839"/>
      <c r="H9" s="166"/>
      <c r="I9" s="159">
        <f>I8-E8</f>
        <v>-206.61281710441352</v>
      </c>
      <c r="J9" s="92"/>
    </row>
    <row r="10" spans="1:21">
      <c r="A10" s="1"/>
      <c r="B10" s="116"/>
      <c r="C10" s="116"/>
      <c r="D10" s="116"/>
      <c r="E10" s="116"/>
      <c r="F10" s="116"/>
      <c r="G10" s="116"/>
      <c r="H10" s="116"/>
      <c r="I10" s="116"/>
      <c r="J10" s="92"/>
    </row>
    <row r="11" spans="1:21">
      <c r="A11" s="1"/>
      <c r="B11" s="838" t="s">
        <v>470</v>
      </c>
      <c r="C11" s="839"/>
      <c r="D11" s="839"/>
      <c r="E11" s="839"/>
      <c r="F11" s="839"/>
      <c r="G11" s="839"/>
      <c r="H11" s="158"/>
      <c r="I11" s="159">
        <f>'[11]TRUE UP'!$N$76</f>
        <v>-193.55194602195428</v>
      </c>
      <c r="J11" s="92"/>
    </row>
    <row r="12" spans="1:21">
      <c r="A12" s="1"/>
      <c r="B12" s="838"/>
      <c r="C12" s="839"/>
      <c r="D12" s="839"/>
      <c r="E12" s="839"/>
      <c r="F12" s="839"/>
      <c r="G12" s="839"/>
      <c r="I12" s="30"/>
      <c r="J12" s="92"/>
    </row>
    <row r="13" spans="1:21">
      <c r="A13" s="1" t="s">
        <v>328</v>
      </c>
      <c r="B13" s="28" t="s">
        <v>330</v>
      </c>
      <c r="J13" s="92"/>
    </row>
    <row r="14" spans="1:21" ht="12.75" thickBot="1">
      <c r="A14" s="1"/>
      <c r="B14" s="118"/>
      <c r="C14" s="118">
        <v>1</v>
      </c>
      <c r="D14" s="118">
        <v>2</v>
      </c>
      <c r="E14" s="93" t="s">
        <v>129</v>
      </c>
      <c r="F14" s="118">
        <v>4</v>
      </c>
      <c r="G14" s="842">
        <v>5</v>
      </c>
      <c r="H14" s="842"/>
      <c r="I14" s="93" t="s">
        <v>130</v>
      </c>
      <c r="J14" s="92"/>
    </row>
    <row r="15" spans="1:21" ht="35.25" customHeight="1" thickBot="1">
      <c r="A15" s="1"/>
      <c r="B15" s="94" t="str">
        <f>B7</f>
        <v>£m, 2019/20 prices</v>
      </c>
      <c r="C15" s="118" t="s">
        <v>147</v>
      </c>
      <c r="D15" s="118" t="s">
        <v>131</v>
      </c>
      <c r="E15" s="93" t="s">
        <v>132</v>
      </c>
      <c r="F15" s="117" t="s">
        <v>133</v>
      </c>
      <c r="G15" s="843" t="s">
        <v>471</v>
      </c>
      <c r="H15" s="844"/>
      <c r="I15" s="95" t="s">
        <v>134</v>
      </c>
      <c r="J15" s="92"/>
    </row>
    <row r="16" spans="1:21">
      <c r="A16" s="1"/>
      <c r="B16" s="160" t="s">
        <v>2</v>
      </c>
      <c r="C16" s="161">
        <f>('[12]TRUE UP'!$N$107)*1.34702</f>
        <v>128.3976882407465</v>
      </c>
      <c r="D16" s="162">
        <f>'[12]TRUE UP'!$N$110*1.34702</f>
        <v>-60.656705898367278</v>
      </c>
      <c r="E16" s="163">
        <f>C16+D16</f>
        <v>67.740982342379226</v>
      </c>
      <c r="F16" s="164">
        <f>'[12]TRUE UP'!$N$117*1.34702</f>
        <v>-82.322096431817158</v>
      </c>
      <c r="G16" s="840">
        <f>'[12]TRUE UP'!$N$116*1.34702</f>
        <v>134.94990940373492</v>
      </c>
      <c r="H16" s="841"/>
      <c r="I16" s="165">
        <f>F16+G16</f>
        <v>52.627812971917763</v>
      </c>
      <c r="J16" s="92"/>
    </row>
    <row r="17" spans="1:10">
      <c r="A17" s="1"/>
      <c r="B17" s="838" t="s">
        <v>135</v>
      </c>
      <c r="C17" s="839"/>
      <c r="D17" s="839"/>
      <c r="E17" s="839"/>
      <c r="F17" s="839"/>
      <c r="G17" s="839"/>
      <c r="H17" s="166"/>
      <c r="I17" s="168">
        <f>I16-E16</f>
        <v>-15.113169370461463</v>
      </c>
      <c r="J17" s="92"/>
    </row>
    <row r="18" spans="1:10">
      <c r="A18" s="1"/>
      <c r="B18" s="116"/>
      <c r="C18" s="116"/>
      <c r="D18" s="116"/>
      <c r="E18" s="116"/>
      <c r="F18" s="116"/>
      <c r="G18" s="116"/>
      <c r="H18" s="116"/>
      <c r="I18" s="116"/>
      <c r="J18" s="92"/>
    </row>
    <row r="19" spans="1:10">
      <c r="A19" s="1"/>
      <c r="B19" s="838" t="s">
        <v>470</v>
      </c>
      <c r="C19" s="839"/>
      <c r="D19" s="839"/>
      <c r="E19" s="839"/>
      <c r="F19" s="839"/>
      <c r="G19" s="839"/>
      <c r="H19" s="158"/>
      <c r="I19" s="167">
        <f>'[12]TRUE UP'!$S$121</f>
        <v>-10.077378405150453</v>
      </c>
      <c r="J19" s="92"/>
    </row>
    <row r="20" spans="1:10">
      <c r="A20" s="1"/>
      <c r="B20" s="838"/>
      <c r="C20" s="839"/>
      <c r="D20" s="839"/>
      <c r="E20" s="839"/>
      <c r="F20" s="839"/>
      <c r="G20" s="839"/>
      <c r="J20" s="92"/>
    </row>
    <row r="21" spans="1:10">
      <c r="A21" s="1"/>
      <c r="B21" s="60"/>
      <c r="J21" s="92"/>
    </row>
    <row r="22" spans="1:10">
      <c r="A22" s="1" t="s">
        <v>329</v>
      </c>
      <c r="B22" s="28" t="s">
        <v>331</v>
      </c>
      <c r="C22" s="116"/>
      <c r="D22" s="116"/>
      <c r="E22" s="116"/>
      <c r="F22" s="116"/>
      <c r="G22" s="116"/>
      <c r="H22" s="116"/>
      <c r="I22" s="116"/>
      <c r="J22" s="92"/>
    </row>
    <row r="23" spans="1:10" ht="12.75" thickBot="1">
      <c r="B23" s="118"/>
      <c r="C23" s="118">
        <v>1</v>
      </c>
      <c r="D23" s="118">
        <v>2</v>
      </c>
      <c r="E23" s="93" t="s">
        <v>129</v>
      </c>
      <c r="F23" s="118">
        <v>4</v>
      </c>
      <c r="G23" s="842">
        <v>5</v>
      </c>
      <c r="H23" s="842"/>
      <c r="I23" s="93" t="s">
        <v>130</v>
      </c>
      <c r="J23" s="92"/>
    </row>
    <row r="24" spans="1:10" ht="35.25" thickBot="1">
      <c r="B24" s="94" t="str">
        <f>B7</f>
        <v>£m, 2019/20 prices</v>
      </c>
      <c r="C24" s="118" t="s">
        <v>147</v>
      </c>
      <c r="D24" s="118" t="s">
        <v>131</v>
      </c>
      <c r="E24" s="93" t="s">
        <v>132</v>
      </c>
      <c r="F24" s="117" t="s">
        <v>133</v>
      </c>
      <c r="G24" s="843" t="s">
        <v>472</v>
      </c>
      <c r="H24" s="844"/>
      <c r="I24" s="95" t="s">
        <v>134</v>
      </c>
      <c r="J24" s="92"/>
    </row>
    <row r="25" spans="1:10">
      <c r="B25" s="160" t="s">
        <v>2</v>
      </c>
      <c r="C25" s="161">
        <f>'[13]True up'!$O$5*1.34702</f>
        <v>730.18421952768938</v>
      </c>
      <c r="D25" s="162">
        <f>'[13]True up'!$O$8*1.34702</f>
        <v>-294.30450188088332</v>
      </c>
      <c r="E25" s="163">
        <f>C25+D25</f>
        <v>435.87971764680606</v>
      </c>
      <c r="F25" s="164">
        <f>'[13]True up'!$O$14*1.34702</f>
        <v>-284.16627992243701</v>
      </c>
      <c r="G25" s="845">
        <f>'[13]True up'!$O$13*1.34702</f>
        <v>444.23043037399378</v>
      </c>
      <c r="H25" s="846"/>
      <c r="I25" s="165">
        <f>F25+G25</f>
        <v>160.06415045155677</v>
      </c>
    </row>
    <row r="26" spans="1:10">
      <c r="B26" s="838" t="s">
        <v>135</v>
      </c>
      <c r="C26" s="839"/>
      <c r="D26" s="839"/>
      <c r="E26" s="839"/>
      <c r="F26" s="839"/>
      <c r="G26" s="839"/>
      <c r="H26" s="166"/>
      <c r="I26" s="159">
        <f>I25-E25</f>
        <v>-275.81556719524929</v>
      </c>
    </row>
    <row r="28" spans="1:10">
      <c r="B28" s="838" t="s">
        <v>470</v>
      </c>
      <c r="C28" s="839"/>
      <c r="D28" s="839"/>
      <c r="E28" s="839"/>
      <c r="F28" s="839"/>
      <c r="G28" s="839"/>
      <c r="H28" s="158"/>
      <c r="I28" s="159">
        <f>'[13]True up'!$O$30</f>
        <v>-249.65284604777028</v>
      </c>
    </row>
    <row r="29" spans="1:10">
      <c r="B29" s="838"/>
      <c r="C29" s="839"/>
      <c r="D29" s="839"/>
      <c r="E29" s="839"/>
      <c r="F29" s="839"/>
      <c r="G29" s="839"/>
    </row>
  </sheetData>
  <mergeCells count="25">
    <mergeCell ref="B20:G20"/>
    <mergeCell ref="B29:G29"/>
    <mergeCell ref="B12:G12"/>
    <mergeCell ref="K4:M4"/>
    <mergeCell ref="N4:T4"/>
    <mergeCell ref="K5:M5"/>
    <mergeCell ref="N5:O5"/>
    <mergeCell ref="P5:Q5"/>
    <mergeCell ref="R5:S5"/>
    <mergeCell ref="B1:I2"/>
    <mergeCell ref="B28:G28"/>
    <mergeCell ref="B17:G17"/>
    <mergeCell ref="B19:G19"/>
    <mergeCell ref="B9:G9"/>
    <mergeCell ref="B11:G11"/>
    <mergeCell ref="G16:H16"/>
    <mergeCell ref="G23:H23"/>
    <mergeCell ref="G24:H24"/>
    <mergeCell ref="G25:H25"/>
    <mergeCell ref="B26:G26"/>
    <mergeCell ref="G6:H6"/>
    <mergeCell ref="G7:H7"/>
    <mergeCell ref="G8:H8"/>
    <mergeCell ref="G14:H14"/>
    <mergeCell ref="G15:H15"/>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J28"/>
  <sheetViews>
    <sheetView zoomScale="80" zoomScaleNormal="80" workbookViewId="0">
      <selection activeCell="E33" sqref="E33"/>
    </sheetView>
  </sheetViews>
  <sheetFormatPr defaultColWidth="9" defaultRowHeight="12.4"/>
  <cols>
    <col min="1" max="1" width="11.3515625" style="116" bestFit="1" customWidth="1"/>
    <col min="2" max="2" width="40.87890625" style="116" customWidth="1"/>
    <col min="3" max="3" width="35.234375" style="116" customWidth="1"/>
    <col min="4" max="4" width="23.46875" style="116" customWidth="1"/>
    <col min="5" max="5" width="24.76171875" style="116" customWidth="1"/>
    <col min="6" max="6" width="12.3515625" style="116" customWidth="1"/>
    <col min="7" max="8" width="9" style="116"/>
    <col min="9" max="9" width="31.3515625" style="116" customWidth="1"/>
    <col min="10" max="10" width="42.1171875" style="116" customWidth="1"/>
    <col min="11" max="11" width="15" style="116" customWidth="1"/>
    <col min="12" max="12" width="17" style="116" customWidth="1"/>
    <col min="13" max="13" width="21.3515625" style="116" customWidth="1"/>
    <col min="14" max="16" width="9" style="116"/>
    <col min="17" max="17" width="17.87890625" style="116" customWidth="1"/>
    <col min="18" max="16384" width="9" style="116"/>
  </cols>
  <sheetData>
    <row r="1" spans="1:10" ht="37.5" customHeight="1">
      <c r="B1" s="832" t="s">
        <v>179</v>
      </c>
      <c r="C1" s="833"/>
      <c r="D1" s="833"/>
      <c r="E1" s="833"/>
      <c r="F1" s="833"/>
      <c r="G1" s="833"/>
      <c r="H1" s="833"/>
      <c r="I1" s="834"/>
    </row>
    <row r="2" spans="1:10" ht="36.75" customHeight="1" thickBot="1">
      <c r="B2" s="835"/>
      <c r="C2" s="836"/>
      <c r="D2" s="836"/>
      <c r="E2" s="836"/>
      <c r="F2" s="836"/>
      <c r="G2" s="836"/>
      <c r="H2" s="836"/>
      <c r="I2" s="837"/>
    </row>
    <row r="3" spans="1:10" ht="30.4" customHeight="1">
      <c r="B3" s="172"/>
      <c r="C3" s="172"/>
      <c r="D3" s="172"/>
      <c r="E3" s="172"/>
      <c r="F3" s="172"/>
      <c r="G3" s="172"/>
      <c r="H3" s="172"/>
    </row>
    <row r="5" spans="1:10">
      <c r="A5" s="1" t="s">
        <v>332</v>
      </c>
      <c r="B5" s="28" t="s">
        <v>337</v>
      </c>
    </row>
    <row r="6" spans="1:10" ht="12.75" thickBot="1">
      <c r="A6" s="1"/>
      <c r="B6" s="118"/>
      <c r="C6" s="118">
        <v>1</v>
      </c>
      <c r="D6" s="118">
        <v>2</v>
      </c>
      <c r="E6" s="93" t="s">
        <v>129</v>
      </c>
      <c r="F6" s="118">
        <v>4</v>
      </c>
      <c r="G6" s="842">
        <v>5</v>
      </c>
      <c r="H6" s="842"/>
      <c r="I6" s="93" t="s">
        <v>130</v>
      </c>
    </row>
    <row r="7" spans="1:10" ht="35.25" customHeight="1" thickBot="1">
      <c r="A7" s="1"/>
      <c r="B7" s="94" t="s">
        <v>424</v>
      </c>
      <c r="C7" s="118" t="s">
        <v>147</v>
      </c>
      <c r="D7" s="118" t="s">
        <v>131</v>
      </c>
      <c r="E7" s="93" t="s">
        <v>132</v>
      </c>
      <c r="F7" s="117" t="s">
        <v>133</v>
      </c>
      <c r="G7" s="843" t="str">
        <f>'Forecast "True up" 1'!G7</f>
        <v xml:space="preserve">Current view of expenditure </v>
      </c>
      <c r="H7" s="844"/>
      <c r="I7" s="95" t="s">
        <v>134</v>
      </c>
    </row>
    <row r="8" spans="1:10" ht="12.75" thickBot="1">
      <c r="A8" s="1"/>
      <c r="B8" s="160" t="s">
        <v>2</v>
      </c>
      <c r="C8" s="161">
        <f>'[4]6.7_BWW_and_SWW_outputs'!$O$201</f>
        <v>96.413789468184092</v>
      </c>
      <c r="D8" s="162">
        <v>0</v>
      </c>
      <c r="E8" s="163">
        <f>C8+D8</f>
        <v>96.413789468184092</v>
      </c>
      <c r="F8" s="164">
        <f>'[11]3L only'!$W$56</f>
        <v>-2.4387871592347694</v>
      </c>
      <c r="G8" s="845">
        <f>'[11]3L only'!$M$61</f>
        <v>103.8272038511456</v>
      </c>
      <c r="H8" s="846"/>
      <c r="I8" s="165">
        <f>F8+G8</f>
        <v>101.38841669191083</v>
      </c>
    </row>
    <row r="9" spans="1:10" ht="12.75" thickBot="1">
      <c r="A9" s="1"/>
      <c r="B9" s="838" t="s">
        <v>135</v>
      </c>
      <c r="C9" s="839"/>
      <c r="D9" s="839"/>
      <c r="E9" s="839"/>
      <c r="F9" s="839"/>
      <c r="G9" s="839"/>
      <c r="H9" s="166"/>
      <c r="I9" s="583">
        <f>I8-E8</f>
        <v>4.9746272237267419</v>
      </c>
      <c r="J9" s="1"/>
    </row>
    <row r="10" spans="1:10" ht="12.75" thickBot="1">
      <c r="A10" s="1"/>
    </row>
    <row r="11" spans="1:10" ht="12.4" customHeight="1" thickBot="1">
      <c r="A11" s="1"/>
      <c r="B11" s="838" t="s">
        <v>470</v>
      </c>
      <c r="C11" s="839"/>
      <c r="D11" s="839"/>
      <c r="E11" s="839"/>
      <c r="F11" s="839"/>
      <c r="G11" s="839"/>
      <c r="I11" s="582">
        <f>I8-91</f>
        <v>10.388416691910834</v>
      </c>
    </row>
    <row r="12" spans="1:10">
      <c r="A12" s="1"/>
      <c r="B12" s="30"/>
      <c r="I12" s="581"/>
    </row>
    <row r="13" spans="1:10">
      <c r="A13" s="1" t="s">
        <v>333</v>
      </c>
      <c r="B13" s="28" t="s">
        <v>335</v>
      </c>
    </row>
    <row r="14" spans="1:10" ht="12.75" thickBot="1">
      <c r="A14" s="1"/>
      <c r="B14" s="118"/>
      <c r="C14" s="118">
        <v>1</v>
      </c>
      <c r="D14" s="118">
        <v>2</v>
      </c>
      <c r="E14" s="93" t="s">
        <v>129</v>
      </c>
      <c r="F14" s="118">
        <v>4</v>
      </c>
      <c r="G14" s="842">
        <v>5</v>
      </c>
      <c r="H14" s="842"/>
      <c r="I14" s="93" t="s">
        <v>130</v>
      </c>
    </row>
    <row r="15" spans="1:10" ht="35.25" thickBot="1">
      <c r="A15" s="1"/>
      <c r="B15" s="94" t="str">
        <f>B7</f>
        <v>£m, 2019/20</v>
      </c>
      <c r="C15" s="118" t="s">
        <v>147</v>
      </c>
      <c r="D15" s="118" t="s">
        <v>131</v>
      </c>
      <c r="E15" s="93" t="s">
        <v>132</v>
      </c>
      <c r="F15" s="117" t="s">
        <v>133</v>
      </c>
      <c r="G15" s="843" t="str">
        <f>'Forecast "True up" 1'!G15</f>
        <v>Current view of expenditure (excl RPMs disallowed)</v>
      </c>
      <c r="H15" s="844"/>
      <c r="I15" s="95" t="s">
        <v>134</v>
      </c>
    </row>
    <row r="16" spans="1:10" ht="12.75" thickBot="1">
      <c r="A16" s="1"/>
      <c r="B16" s="160" t="s">
        <v>2</v>
      </c>
      <c r="C16" s="161">
        <f>'[12]SpC 3L'!$V$68</f>
        <v>29.633205517457114</v>
      </c>
      <c r="D16" s="162">
        <v>0</v>
      </c>
      <c r="E16" s="163">
        <f>C16+D16</f>
        <v>29.633205517457114</v>
      </c>
      <c r="F16" s="164">
        <v>0</v>
      </c>
      <c r="G16" s="840">
        <f>'[12]SpC 3L'!$V$87</f>
        <v>31.079221095101492</v>
      </c>
      <c r="H16" s="841"/>
      <c r="I16" s="165">
        <f>F16+G16</f>
        <v>31.079221095101492</v>
      </c>
    </row>
    <row r="17" spans="1:9" ht="13.15" thickBot="1">
      <c r="A17" s="1"/>
      <c r="B17" s="838" t="s">
        <v>135</v>
      </c>
      <c r="C17" s="839"/>
      <c r="D17" s="839"/>
      <c r="E17" s="839"/>
      <c r="F17" s="839"/>
      <c r="G17" s="839"/>
      <c r="H17" s="166"/>
      <c r="I17" s="582">
        <f>I16-C16</f>
        <v>1.4460155776443777</v>
      </c>
    </row>
    <row r="18" spans="1:9" ht="12.75" thickBot="1">
      <c r="A18" s="1"/>
    </row>
    <row r="19" spans="1:9" ht="13.15" thickBot="1">
      <c r="A19" s="1"/>
      <c r="B19" s="838" t="s">
        <v>470</v>
      </c>
      <c r="C19" s="839"/>
      <c r="D19" s="839"/>
      <c r="E19" s="839"/>
      <c r="F19" s="839"/>
      <c r="G19" s="839"/>
      <c r="I19" s="582">
        <f>I16-28.63</f>
        <v>2.4492210951014926</v>
      </c>
    </row>
    <row r="20" spans="1:9">
      <c r="A20" s="1"/>
    </row>
    <row r="21" spans="1:9">
      <c r="A21" s="1"/>
    </row>
    <row r="22" spans="1:9">
      <c r="A22" s="1" t="s">
        <v>334</v>
      </c>
      <c r="B22" s="28" t="s">
        <v>336</v>
      </c>
    </row>
    <row r="23" spans="1:9" ht="12.75" thickBot="1">
      <c r="B23" s="118"/>
      <c r="C23" s="118">
        <v>1</v>
      </c>
      <c r="D23" s="118">
        <v>2</v>
      </c>
      <c r="E23" s="93" t="s">
        <v>129</v>
      </c>
      <c r="F23" s="118">
        <v>4</v>
      </c>
      <c r="G23" s="842">
        <v>5</v>
      </c>
      <c r="H23" s="842"/>
      <c r="I23" s="93" t="s">
        <v>130</v>
      </c>
    </row>
    <row r="24" spans="1:9" ht="35.25" thickBot="1">
      <c r="B24" s="94" t="str">
        <f>B7</f>
        <v>£m, 2019/20</v>
      </c>
      <c r="C24" s="118" t="s">
        <v>147</v>
      </c>
      <c r="D24" s="118" t="s">
        <v>131</v>
      </c>
      <c r="E24" s="93" t="s">
        <v>132</v>
      </c>
      <c r="F24" s="117" t="s">
        <v>133</v>
      </c>
      <c r="G24" s="843" t="str">
        <f>G7</f>
        <v xml:space="preserve">Current view of expenditure </v>
      </c>
      <c r="H24" s="844"/>
      <c r="I24" s="95" t="s">
        <v>134</v>
      </c>
    </row>
    <row r="25" spans="1:9" ht="12.75" thickBot="1">
      <c r="B25" s="160" t="s">
        <v>2</v>
      </c>
      <c r="C25" s="161">
        <f>'[13]SpC 3L pre con'!$V$39</f>
        <v>63.363745388688372</v>
      </c>
      <c r="D25" s="162">
        <v>0</v>
      </c>
      <c r="E25" s="163">
        <f>C25+D25</f>
        <v>63.363745388688372</v>
      </c>
      <c r="F25" s="164">
        <v>0</v>
      </c>
      <c r="G25" s="845">
        <f>'[13]SpC 3L pre con'!$U$32</f>
        <v>91.514320562356488</v>
      </c>
      <c r="H25" s="846"/>
      <c r="I25" s="165">
        <f>F25+G25</f>
        <v>91.514320562356488</v>
      </c>
    </row>
    <row r="26" spans="1:9" ht="13.15" thickBot="1">
      <c r="B26" s="838" t="s">
        <v>135</v>
      </c>
      <c r="C26" s="839"/>
      <c r="D26" s="839"/>
      <c r="E26" s="839"/>
      <c r="F26" s="839"/>
      <c r="G26" s="839"/>
      <c r="H26" s="166"/>
      <c r="I26" s="582">
        <f>I25-C25</f>
        <v>28.150575173668116</v>
      </c>
    </row>
    <row r="27" spans="1:9" ht="12.75" thickBot="1">
      <c r="I27" s="480"/>
    </row>
    <row r="28" spans="1:9" ht="13.15" thickBot="1">
      <c r="B28" s="838" t="s">
        <v>470</v>
      </c>
      <c r="C28" s="839"/>
      <c r="D28" s="839"/>
      <c r="E28" s="839"/>
      <c r="F28" s="839"/>
      <c r="G28" s="839"/>
      <c r="I28" s="582">
        <f>I25-61.968</f>
        <v>29.546320562356485</v>
      </c>
    </row>
  </sheetData>
  <mergeCells count="16">
    <mergeCell ref="B28:G28"/>
    <mergeCell ref="G6:H6"/>
    <mergeCell ref="G7:H7"/>
    <mergeCell ref="G8:H8"/>
    <mergeCell ref="B9:G9"/>
    <mergeCell ref="B1:I2"/>
    <mergeCell ref="G23:H23"/>
    <mergeCell ref="G24:H24"/>
    <mergeCell ref="G25:H25"/>
    <mergeCell ref="B26:G26"/>
    <mergeCell ref="G14:H14"/>
    <mergeCell ref="G15:H15"/>
    <mergeCell ref="G16:H16"/>
    <mergeCell ref="B17:G17"/>
    <mergeCell ref="B11:G11"/>
    <mergeCell ref="B19:G19"/>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H56"/>
  <sheetViews>
    <sheetView zoomScale="50" zoomScaleNormal="50" workbookViewId="0">
      <selection activeCell="F46" sqref="F46"/>
    </sheetView>
  </sheetViews>
  <sheetFormatPr defaultColWidth="9" defaultRowHeight="13.5"/>
  <cols>
    <col min="1" max="1" width="16" style="22" customWidth="1"/>
    <col min="2" max="2" width="52.3515625" style="22" bestFit="1" customWidth="1"/>
    <col min="3" max="3" width="26.46875" style="22" bestFit="1" customWidth="1"/>
  </cols>
  <sheetData>
    <row r="1" spans="1:3" ht="25.15">
      <c r="A1" s="5" t="s">
        <v>7</v>
      </c>
      <c r="B1" s="6"/>
      <c r="C1" s="6"/>
    </row>
    <row r="2" spans="1:3" ht="25.15">
      <c r="A2" s="5"/>
      <c r="B2" s="6"/>
      <c r="C2" s="6"/>
    </row>
    <row r="3" spans="1:3" ht="21" thickBot="1">
      <c r="A3" s="7" t="s">
        <v>44</v>
      </c>
      <c r="B3" s="6"/>
      <c r="C3" s="6"/>
    </row>
    <row r="4" spans="1:3" ht="13.15">
      <c r="A4" s="8"/>
      <c r="B4"/>
      <c r="C4"/>
    </row>
    <row r="5" spans="1:3" ht="20.65">
      <c r="A5" s="9" t="s">
        <v>8</v>
      </c>
      <c r="B5"/>
      <c r="C5"/>
    </row>
    <row r="6" spans="1:3" ht="12.4">
      <c r="A6"/>
      <c r="B6"/>
      <c r="C6"/>
    </row>
    <row r="7" spans="1:3" ht="12.4">
      <c r="A7"/>
      <c r="B7"/>
      <c r="C7"/>
    </row>
    <row r="8" spans="1:3" ht="12.4">
      <c r="A8"/>
      <c r="B8" s="10" t="s">
        <v>9</v>
      </c>
      <c r="C8" s="11"/>
    </row>
    <row r="9" spans="1:3" ht="12.4">
      <c r="A9"/>
      <c r="B9" s="10" t="s">
        <v>10</v>
      </c>
      <c r="C9" s="11"/>
    </row>
    <row r="10" spans="1:3" ht="12.4">
      <c r="A10"/>
      <c r="B10" s="10" t="s">
        <v>11</v>
      </c>
      <c r="C10" s="11">
        <v>2020</v>
      </c>
    </row>
    <row r="11" spans="1:3" ht="12.4">
      <c r="A11"/>
      <c r="B11" s="10" t="s">
        <v>12</v>
      </c>
      <c r="C11" s="12"/>
    </row>
    <row r="12" spans="1:3" ht="12.4">
      <c r="A12"/>
      <c r="B12" s="10" t="s">
        <v>13</v>
      </c>
      <c r="C12" s="13">
        <v>43677</v>
      </c>
    </row>
    <row r="13" spans="1:3" ht="12.4">
      <c r="A13"/>
      <c r="B13" s="10"/>
      <c r="C13" s="10"/>
    </row>
    <row r="14" spans="1:3" ht="12.4">
      <c r="A14"/>
      <c r="B14" s="10"/>
      <c r="C14" s="10"/>
    </row>
    <row r="15" spans="1:3" ht="12.4">
      <c r="A15"/>
      <c r="B15" s="10" t="s">
        <v>14</v>
      </c>
      <c r="C15" s="14" t="str">
        <f>$C$10-6&amp;"/"&amp;RIGHT($C$10-5,2)</f>
        <v>2014/15</v>
      </c>
    </row>
    <row r="16" spans="1:3" ht="12.4">
      <c r="A16"/>
      <c r="B16" s="10" t="s">
        <v>15</v>
      </c>
      <c r="C16" s="14" t="str">
        <f>$C$10-6&amp;"/"&amp;RIGHT($C$10-5,2)</f>
        <v>2014/15</v>
      </c>
    </row>
    <row r="17" spans="1:3" ht="12.4">
      <c r="A17"/>
      <c r="B17" s="10" t="s">
        <v>16</v>
      </c>
      <c r="C17" s="14" t="str">
        <f>$C$10-5&amp;"/"&amp;RIGHT($C$10-4,2)</f>
        <v>2015/16</v>
      </c>
    </row>
    <row r="18" spans="1:3" ht="12.4">
      <c r="A18"/>
      <c r="B18" s="10" t="s">
        <v>17</v>
      </c>
      <c r="C18" s="14" t="str">
        <f>$C$10-4&amp;"/"&amp;RIGHT($C$10-3,2)</f>
        <v>2016/17</v>
      </c>
    </row>
    <row r="19" spans="1:3" ht="12.4">
      <c r="A19"/>
      <c r="B19" s="10" t="s">
        <v>18</v>
      </c>
      <c r="C19" s="14" t="str">
        <f>$C$10-3&amp;"/"&amp;RIGHT($C$10-2,2)</f>
        <v>2017/18</v>
      </c>
    </row>
    <row r="20" spans="1:3" ht="12.4">
      <c r="A20"/>
      <c r="B20" s="10" t="s">
        <v>19</v>
      </c>
      <c r="C20" s="14" t="str">
        <f>$C$10-2&amp;"/"&amp;RIGHT($C$10-1,2)</f>
        <v>2018/19</v>
      </c>
    </row>
    <row r="21" spans="1:3" ht="12.4">
      <c r="A21"/>
      <c r="B21" s="15" t="s">
        <v>20</v>
      </c>
      <c r="C21" s="14" t="str">
        <f>$C$10-1&amp;"/"&amp;RIGHT($C$10-0,2)</f>
        <v>2019/20</v>
      </c>
    </row>
    <row r="22" spans="1:3" ht="12.4">
      <c r="A22"/>
      <c r="B22" s="10" t="s">
        <v>21</v>
      </c>
      <c r="C22" s="14" t="str">
        <f>$C$10&amp;"/"&amp;RIGHT($C$10+1,2)</f>
        <v>2020/21</v>
      </c>
    </row>
    <row r="23" spans="1:3" ht="12.4">
      <c r="A23"/>
      <c r="B23" s="10" t="s">
        <v>22</v>
      </c>
      <c r="C23" s="14" t="str">
        <f>$C$10+1&amp;"/"&amp;RIGHT($C$10+2,2)</f>
        <v>2021/22</v>
      </c>
    </row>
    <row r="24" spans="1:3" ht="12.4">
      <c r="A24"/>
      <c r="B24" s="10" t="s">
        <v>23</v>
      </c>
      <c r="C24" s="14" t="str">
        <f>$C$10+2&amp;"/"&amp;RIGHT($C$10+3,2)</f>
        <v>2022/23</v>
      </c>
    </row>
    <row r="25" spans="1:3" ht="12.4">
      <c r="A25"/>
      <c r="B25" s="10" t="s">
        <v>24</v>
      </c>
      <c r="C25" s="14" t="str">
        <f>$C$10+3&amp;"/"&amp;RIGHT($C$10+4,2)</f>
        <v>2023/24</v>
      </c>
    </row>
    <row r="26" spans="1:3" ht="12.4">
      <c r="A26"/>
      <c r="B26" s="10" t="s">
        <v>25</v>
      </c>
      <c r="C26" s="14" t="str">
        <f>$C$10+4&amp;"/"&amp;RIGHT($C$10+5,2)</f>
        <v>2024/25</v>
      </c>
    </row>
    <row r="27" spans="1:3" ht="12.4">
      <c r="A27"/>
      <c r="B27" s="10"/>
      <c r="C27" s="10"/>
    </row>
    <row r="28" spans="1:3" ht="12.4">
      <c r="A28"/>
      <c r="B28" s="10"/>
      <c r="C28" s="10"/>
    </row>
    <row r="29" spans="1:3" ht="12.4">
      <c r="A29"/>
      <c r="B29" s="10" t="s">
        <v>26</v>
      </c>
      <c r="C29" s="16">
        <v>0.2</v>
      </c>
    </row>
    <row r="30" spans="1:3" ht="12.4">
      <c r="A30"/>
      <c r="B30" s="10"/>
      <c r="C30" s="10"/>
    </row>
    <row r="31" spans="1:3" ht="12.4">
      <c r="A31"/>
      <c r="B31" s="17" t="s">
        <v>27</v>
      </c>
      <c r="C31" s="18" t="s">
        <v>28</v>
      </c>
    </row>
    <row r="32" spans="1:3" ht="12.4">
      <c r="A32"/>
      <c r="B32" s="10" t="s">
        <v>29</v>
      </c>
      <c r="C32" s="19">
        <v>182.47499999999999</v>
      </c>
    </row>
    <row r="33" spans="1:8" ht="12.4">
      <c r="A33"/>
      <c r="B33" s="10" t="s">
        <v>30</v>
      </c>
      <c r="C33" s="19">
        <v>188.15</v>
      </c>
    </row>
    <row r="34" spans="1:8" ht="12.4">
      <c r="A34"/>
      <c r="B34" s="10" t="s">
        <v>31</v>
      </c>
      <c r="C34" s="19">
        <v>193.10830000000001</v>
      </c>
    </row>
    <row r="35" spans="1:8" ht="12.4">
      <c r="A35"/>
      <c r="B35" s="10" t="s">
        <v>32</v>
      </c>
      <c r="C35" s="19">
        <v>200.3167</v>
      </c>
    </row>
    <row r="36" spans="1:8" ht="12.4">
      <c r="A36"/>
      <c r="B36" s="10" t="s">
        <v>33</v>
      </c>
      <c r="C36" s="19">
        <v>208.5917</v>
      </c>
    </row>
    <row r="37" spans="1:8" ht="12.4">
      <c r="A37"/>
      <c r="B37" s="10" t="s">
        <v>34</v>
      </c>
      <c r="C37" s="19">
        <v>214.7833</v>
      </c>
    </row>
    <row r="38" spans="1:8" ht="12.4">
      <c r="A38"/>
      <c r="B38" s="10" t="s">
        <v>35</v>
      </c>
      <c r="C38" s="19">
        <v>215.76669999999999</v>
      </c>
    </row>
    <row r="39" spans="1:8" ht="12.4">
      <c r="A39"/>
      <c r="B39" s="10" t="s">
        <v>36</v>
      </c>
      <c r="C39" s="19">
        <v>226.47499999999999</v>
      </c>
    </row>
    <row r="40" spans="1:8" ht="12.4">
      <c r="A40"/>
      <c r="B40" s="10" t="s">
        <v>37</v>
      </c>
      <c r="C40" s="19">
        <v>237.3417</v>
      </c>
    </row>
    <row r="41" spans="1:8" ht="12.4">
      <c r="A41"/>
      <c r="B41" s="10" t="s">
        <v>38</v>
      </c>
      <c r="C41" s="19">
        <v>244.67500000000001</v>
      </c>
    </row>
    <row r="42" spans="1:8" ht="12.4">
      <c r="A42"/>
      <c r="B42" s="10" t="s">
        <v>39</v>
      </c>
      <c r="C42" s="19">
        <v>251.733</v>
      </c>
    </row>
    <row r="43" spans="1:8" ht="12.4">
      <c r="A43"/>
      <c r="B43" s="10" t="s">
        <v>40</v>
      </c>
      <c r="C43" s="19">
        <v>256.66666666666669</v>
      </c>
    </row>
    <row r="44" spans="1:8" ht="14.25" customHeight="1">
      <c r="A44"/>
      <c r="B44" s="10" t="s">
        <v>41</v>
      </c>
      <c r="C44" s="19">
        <v>259.43333333333334</v>
      </c>
    </row>
    <row r="45" spans="1:8" ht="12" customHeight="1">
      <c r="A45"/>
      <c r="B45" s="10" t="s">
        <v>42</v>
      </c>
      <c r="C45" s="20">
        <v>264.99200000000002</v>
      </c>
      <c r="H45" s="21"/>
    </row>
    <row r="46" spans="1:8" ht="12.4">
      <c r="A46"/>
      <c r="B46" s="10" t="s">
        <v>43</v>
      </c>
      <c r="C46" s="19">
        <v>274.90800000000002</v>
      </c>
    </row>
    <row r="47" spans="1:8" ht="12.4">
      <c r="A47"/>
      <c r="B47" s="10" t="s">
        <v>44</v>
      </c>
      <c r="C47" s="19">
        <v>283.30799999999999</v>
      </c>
    </row>
    <row r="48" spans="1:8" ht="12.4">
      <c r="A48"/>
      <c r="B48" s="10" t="s">
        <v>45</v>
      </c>
      <c r="C48" s="522">
        <v>290.642</v>
      </c>
    </row>
    <row r="49" spans="1:3" ht="12.4">
      <c r="A49"/>
      <c r="B49" s="10" t="s">
        <v>46</v>
      </c>
      <c r="C49" s="19"/>
    </row>
    <row r="50" spans="1:3">
      <c r="A50"/>
    </row>
    <row r="51" spans="1:3" ht="12.4">
      <c r="A51"/>
      <c r="B51" s="525" t="str">
        <f>"Convert 2009/10 prices to "&amp;$C$20</f>
        <v>Convert 2009/10 prices to 2018/19</v>
      </c>
      <c r="C51" s="526">
        <v>1.3130293043365822</v>
      </c>
    </row>
    <row r="52" spans="1:3" ht="12.4">
      <c r="A52"/>
      <c r="B52" s="525" t="str">
        <f>"Convert "&amp;$C$20&amp;" to 2009/10"</f>
        <v>Convert 2018/19 to 2009/10</v>
      </c>
      <c r="C52" s="526">
        <v>0.76159762519942953</v>
      </c>
    </row>
    <row r="53" spans="1:3">
      <c r="A53"/>
      <c r="B53" s="23"/>
      <c r="C53" s="23"/>
    </row>
    <row r="54" spans="1:3" ht="12.4">
      <c r="A54" s="100"/>
      <c r="B54" s="523" t="str">
        <f>"Convert 2009/10 prices to "&amp;$C$21</f>
        <v>Convert 2009/10 prices to 2019/20</v>
      </c>
      <c r="C54" s="524">
        <f>VLOOKUP($C$21,$B$32:$C$49,2,FALSE)/$C$38</f>
        <v>1.3470197208373675</v>
      </c>
    </row>
    <row r="55" spans="1:3">
      <c r="B55" s="523" t="str">
        <f>"Convert "&amp;$C$21&amp;" to 2009/10"</f>
        <v>Convert 2019/20 to 2009/10</v>
      </c>
      <c r="C55" s="524">
        <f>1/C54</f>
        <v>0.74237962854645911</v>
      </c>
    </row>
    <row r="56" spans="1:3">
      <c r="C56" s="24"/>
    </row>
  </sheetData>
  <pageMargins left="0.74803149606299213" right="0.74803149606299213" top="0.98425196850393704" bottom="0.98425196850393704" header="0.51181102362204722" footer="0.51181102362204722"/>
  <pageSetup paperSize="8" orientation="portrait" r:id="rId1"/>
  <headerFooter alignWithMargins="0">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B1:J100"/>
  <sheetViews>
    <sheetView zoomScale="80" zoomScaleNormal="80" workbookViewId="0">
      <selection activeCell="B51" sqref="B51"/>
    </sheetView>
  </sheetViews>
  <sheetFormatPr defaultRowHeight="12.4"/>
  <cols>
    <col min="1" max="1" width="2.76171875" customWidth="1"/>
    <col min="2" max="2" width="151.87890625" customWidth="1"/>
    <col min="5" max="5" width="14.64453125" customWidth="1"/>
  </cols>
  <sheetData>
    <row r="1" spans="2:10" ht="12.75" thickBot="1"/>
    <row r="2" spans="2:10" ht="15" thickBot="1">
      <c r="B2" s="4" t="s">
        <v>5</v>
      </c>
      <c r="F2" s="379" t="s">
        <v>377</v>
      </c>
      <c r="G2" s="376"/>
      <c r="H2" s="376"/>
      <c r="I2" s="376"/>
      <c r="J2" s="377"/>
    </row>
    <row r="3" spans="2:10">
      <c r="B3" s="224" t="str">
        <f>Outputs!B2</f>
        <v>Table 1: Outputs and measures of performance</v>
      </c>
    </row>
    <row r="4" spans="2:10">
      <c r="B4" s="225" t="str">
        <f>'Incentives - tables'!C3</f>
        <v>Table 2: Performance Scores for the SSO Survey</v>
      </c>
      <c r="D4" s="116"/>
      <c r="F4" s="231" t="s">
        <v>380</v>
      </c>
    </row>
    <row r="5" spans="2:10">
      <c r="B5" s="226" t="str">
        <f>'Incentives - tables'!C20</f>
        <v xml:space="preserve">Table 3: ENS performance </v>
      </c>
      <c r="F5" s="231" t="s">
        <v>379</v>
      </c>
    </row>
    <row r="6" spans="2:10">
      <c r="B6" s="226" t="str">
        <f>'Incentives - tables'!C30</f>
        <v xml:space="preserve">Table 4: SF6 performance </v>
      </c>
      <c r="F6" s="231" t="s">
        <v>381</v>
      </c>
    </row>
    <row r="7" spans="2:10">
      <c r="B7" s="226" t="str">
        <f>'Incentives - charts '!B66</f>
        <v>Table 5 - BCF in terms of tonnes of CO2 equivalent per licensee in 2019-20</v>
      </c>
    </row>
    <row r="8" spans="2:10">
      <c r="B8" s="671" t="str">
        <f>Innovation!B4</f>
        <v>Table 6 – Company activity under the NIA</v>
      </c>
    </row>
    <row r="9" spans="2:10">
      <c r="B9" s="226" t="str">
        <f>'Consumer bill impact'!D6</f>
        <v>Table 7a: Regional estimates of typical GB consumer cost to meet allowed revenue (£ Real (2019-20 price basis) customer bill per typical domestic consumer)</v>
      </c>
    </row>
    <row r="10" spans="2:10" s="116" customFormat="1">
      <c r="B10" s="226" t="str">
        <f>'Consumer bill impact'!D28</f>
        <v>Table 7b: Regional estimates of typical GB consumer cost to meet allowed revenue (£ (nominal) customer bill per typical domestic consumer)</v>
      </c>
    </row>
    <row r="11" spans="2:10">
      <c r="B11" s="226" t="s">
        <v>178</v>
      </c>
      <c r="F11" t="s">
        <v>395</v>
      </c>
    </row>
    <row r="12" spans="2:10" s="116" customFormat="1">
      <c r="B12" s="226" t="s">
        <v>217</v>
      </c>
    </row>
    <row r="13" spans="2:10" s="116" customFormat="1">
      <c r="B13" s="226" t="s">
        <v>218</v>
      </c>
    </row>
    <row r="14" spans="2:10" s="116" customFormat="1">
      <c r="B14" s="226" t="s">
        <v>265</v>
      </c>
    </row>
    <row r="15" spans="2:10" s="480" customFormat="1">
      <c r="B15" s="226" t="str">
        <f>'8-year TO forecast'!B91</f>
        <v>Table 8e: TO view of totex expenditure vs adjusted allowed totex (£m).  Pre-true up of excluded services. Impact of 'hand back'/voluntary deferral/GEF included</v>
      </c>
    </row>
    <row r="16" spans="2:10" s="480" customFormat="1">
      <c r="B16" s="226" t="str">
        <f>'8-year TO forecast'!B102</f>
        <v>Table 8f: TO view of totex expenditure vs adjusted allowed totex (£m).  Post-true up of excluded services. Impact of 'hand back'/voluntary deferral/GEF included</v>
      </c>
    </row>
    <row r="17" spans="2:6">
      <c r="B17" s="226" t="s">
        <v>161</v>
      </c>
      <c r="C17" s="116"/>
    </row>
    <row r="18" spans="2:6" s="116" customFormat="1">
      <c r="B18" s="226" t="s">
        <v>173</v>
      </c>
    </row>
    <row r="19" spans="2:6" s="116" customFormat="1">
      <c r="B19" s="226" t="s">
        <v>184</v>
      </c>
    </row>
    <row r="20" spans="2:6" s="116" customFormat="1">
      <c r="B20" s="226" t="s">
        <v>186</v>
      </c>
    </row>
    <row r="21" spans="2:6" s="116" customFormat="1">
      <c r="B21" s="226" t="s">
        <v>162</v>
      </c>
    </row>
    <row r="22" spans="2:6" s="116" customFormat="1">
      <c r="B22" s="226" t="s">
        <v>174</v>
      </c>
    </row>
    <row r="23" spans="2:6" s="116" customFormat="1">
      <c r="B23" s="473" t="s">
        <v>383</v>
      </c>
    </row>
    <row r="24" spans="2:6" s="116" customFormat="1">
      <c r="B24" s="226" t="s">
        <v>382</v>
      </c>
    </row>
    <row r="25" spans="2:6" s="116" customFormat="1">
      <c r="B25" s="226" t="s">
        <v>360</v>
      </c>
      <c r="F25" s="116" t="s">
        <v>396</v>
      </c>
    </row>
    <row r="26" spans="2:6" s="116" customFormat="1">
      <c r="B26" s="226" t="s">
        <v>360</v>
      </c>
    </row>
    <row r="27" spans="2:6" s="116" customFormat="1">
      <c r="B27" s="226" t="s">
        <v>361</v>
      </c>
    </row>
    <row r="28" spans="2:6" s="116" customFormat="1">
      <c r="B28" s="26" t="s">
        <v>362</v>
      </c>
      <c r="F28" s="231" t="s">
        <v>397</v>
      </c>
    </row>
    <row r="29" spans="2:6">
      <c r="B29" s="227" t="s">
        <v>548</v>
      </c>
    </row>
    <row r="30" spans="2:6" s="116" customFormat="1">
      <c r="B30" s="227" t="s">
        <v>551</v>
      </c>
    </row>
    <row r="31" spans="2:6">
      <c r="B31" s="227" t="s">
        <v>550</v>
      </c>
    </row>
    <row r="32" spans="2:6" s="480" customFormat="1">
      <c r="B32" s="227" t="s">
        <v>549</v>
      </c>
    </row>
    <row r="33" spans="2:6">
      <c r="B33" s="227" t="s">
        <v>552</v>
      </c>
    </row>
    <row r="34" spans="2:6" s="116" customFormat="1">
      <c r="B34" s="227" t="s">
        <v>553</v>
      </c>
    </row>
    <row r="35" spans="2:6" s="116" customFormat="1">
      <c r="B35" s="27" t="s">
        <v>554</v>
      </c>
    </row>
    <row r="36" spans="2:6" s="116" customFormat="1">
      <c r="B36" s="27" t="s">
        <v>555</v>
      </c>
    </row>
    <row r="37" spans="2:6">
      <c r="B37" s="227" t="s">
        <v>317</v>
      </c>
    </row>
    <row r="38" spans="2:6" s="116" customFormat="1">
      <c r="B38" s="227" t="s">
        <v>318</v>
      </c>
    </row>
    <row r="39" spans="2:6" s="116" customFormat="1">
      <c r="B39" s="227" t="s">
        <v>319</v>
      </c>
    </row>
    <row r="40" spans="2:6" s="116" customFormat="1">
      <c r="B40" s="26" t="s">
        <v>556</v>
      </c>
      <c r="F40" s="116" t="s">
        <v>398</v>
      </c>
    </row>
    <row r="41" spans="2:6" s="116" customFormat="1"/>
    <row r="42" spans="2:6" ht="12.75" thickBot="1">
      <c r="B42" s="28"/>
    </row>
    <row r="43" spans="2:6" ht="15" customHeight="1">
      <c r="B43" s="688" t="s">
        <v>180</v>
      </c>
    </row>
    <row r="44" spans="2:6" ht="13.5" customHeight="1">
      <c r="B44" s="689"/>
    </row>
    <row r="45" spans="2:6" ht="14.25" customHeight="1" thickBot="1">
      <c r="B45" s="690"/>
    </row>
    <row r="46" spans="2:6">
      <c r="B46" s="28"/>
    </row>
    <row r="48" spans="2:6">
      <c r="B48" s="1"/>
    </row>
    <row r="49" spans="2:2">
      <c r="B49" s="28"/>
    </row>
    <row r="50" spans="2:2">
      <c r="B50" s="28"/>
    </row>
    <row r="51" spans="2:2">
      <c r="B51" s="28"/>
    </row>
    <row r="52" spans="2:2">
      <c r="B52" s="28"/>
    </row>
    <row r="53" spans="2:2">
      <c r="B53" s="28"/>
    </row>
    <row r="54" spans="2:2">
      <c r="B54" s="28"/>
    </row>
    <row r="55" spans="2:2">
      <c r="B55" s="28"/>
    </row>
    <row r="56" spans="2:2">
      <c r="B56" s="1"/>
    </row>
    <row r="57" spans="2:2">
      <c r="B57" s="1"/>
    </row>
    <row r="58" spans="2:2">
      <c r="B58" s="28"/>
    </row>
    <row r="59" spans="2:2">
      <c r="B59" s="1"/>
    </row>
    <row r="60" spans="2:2">
      <c r="B60" s="1"/>
    </row>
    <row r="61" spans="2:2">
      <c r="B61" s="1"/>
    </row>
    <row r="62" spans="2:2">
      <c r="B62" s="28"/>
    </row>
    <row r="63" spans="2:2">
      <c r="B63" s="1"/>
    </row>
    <row r="64" spans="2:2">
      <c r="B64" s="1"/>
    </row>
    <row r="65" spans="2:2">
      <c r="B65" s="1"/>
    </row>
    <row r="66" spans="2:2">
      <c r="B66" s="1"/>
    </row>
    <row r="67" spans="2:2">
      <c r="B67" s="28"/>
    </row>
    <row r="68" spans="2:2">
      <c r="B68" s="28"/>
    </row>
    <row r="69" spans="2:2">
      <c r="B69" s="28"/>
    </row>
    <row r="70" spans="2:2">
      <c r="B70" s="1"/>
    </row>
    <row r="71" spans="2:2">
      <c r="B71" s="28"/>
    </row>
    <row r="72" spans="2:2">
      <c r="B72" s="28"/>
    </row>
    <row r="73" spans="2:2">
      <c r="B73" s="28"/>
    </row>
    <row r="74" spans="2:2">
      <c r="B74" s="28"/>
    </row>
    <row r="75" spans="2:2">
      <c r="B75" s="27"/>
    </row>
    <row r="76" spans="2:2">
      <c r="B76" s="26"/>
    </row>
    <row r="77" spans="2:2">
      <c r="B77" s="27"/>
    </row>
    <row r="78" spans="2:2">
      <c r="B78" s="27"/>
    </row>
    <row r="79" spans="2:2">
      <c r="B79" s="27"/>
    </row>
    <row r="80" spans="2:2">
      <c r="B80" s="27"/>
    </row>
    <row r="81" spans="2:2">
      <c r="B81" s="1"/>
    </row>
    <row r="82" spans="2:2">
      <c r="B82" s="28"/>
    </row>
    <row r="83" spans="2:2">
      <c r="B83" s="28"/>
    </row>
    <row r="84" spans="2:2">
      <c r="B84" s="28"/>
    </row>
    <row r="85" spans="2:2">
      <c r="B85" s="28"/>
    </row>
    <row r="86" spans="2:2">
      <c r="B86" s="1"/>
    </row>
    <row r="87" spans="2:2">
      <c r="B87" s="1"/>
    </row>
    <row r="88" spans="2:2">
      <c r="B88" s="1"/>
    </row>
    <row r="89" spans="2:2">
      <c r="B89" s="1"/>
    </row>
    <row r="90" spans="2:2">
      <c r="B90" s="1"/>
    </row>
    <row r="91" spans="2:2">
      <c r="B91" s="1"/>
    </row>
    <row r="92" spans="2:2">
      <c r="B92" s="1"/>
    </row>
    <row r="93" spans="2:2">
      <c r="B93" s="1"/>
    </row>
    <row r="94" spans="2:2">
      <c r="B94" s="28"/>
    </row>
    <row r="95" spans="2:2">
      <c r="B95" s="1"/>
    </row>
    <row r="96" spans="2:2">
      <c r="B96" s="1"/>
    </row>
    <row r="97" spans="2:2">
      <c r="B97" s="1"/>
    </row>
    <row r="98" spans="2:2">
      <c r="B98" s="26"/>
    </row>
    <row r="99" spans="2:2">
      <c r="B99" s="27"/>
    </row>
    <row r="100" spans="2:2">
      <c r="B100" s="26"/>
    </row>
  </sheetData>
  <mergeCells count="1">
    <mergeCell ref="B43:B45"/>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autoPageBreaks="0"/>
  </sheetPr>
  <dimension ref="B1:K97"/>
  <sheetViews>
    <sheetView tabSelected="1" zoomScale="80" zoomScaleNormal="80" workbookViewId="0"/>
  </sheetViews>
  <sheetFormatPr defaultRowHeight="12.4"/>
  <cols>
    <col min="2" max="2" width="54.234375" customWidth="1"/>
    <col min="3" max="3" width="48.46875" customWidth="1"/>
    <col min="4" max="4" width="49.87890625" customWidth="1"/>
    <col min="5" max="5" width="20.87890625" customWidth="1"/>
  </cols>
  <sheetData>
    <row r="1" spans="2:5" ht="25.15" thickBot="1">
      <c r="E1" s="627" t="s">
        <v>509</v>
      </c>
    </row>
    <row r="2" spans="2:5" ht="25.15" thickBot="1">
      <c r="B2" s="189" t="s">
        <v>81</v>
      </c>
      <c r="E2" s="628" t="s">
        <v>510</v>
      </c>
    </row>
    <row r="3" spans="2:5" ht="25.15" thickBot="1">
      <c r="B3" s="32"/>
      <c r="C3" s="32"/>
      <c r="D3" s="32"/>
      <c r="E3" s="629" t="s">
        <v>511</v>
      </c>
    </row>
    <row r="4" spans="2:5" ht="25.15" thickBot="1">
      <c r="B4" s="187" t="s">
        <v>54</v>
      </c>
      <c r="C4" s="188" t="s">
        <v>55</v>
      </c>
      <c r="D4" s="188" t="s">
        <v>156</v>
      </c>
      <c r="E4" s="630" t="s">
        <v>512</v>
      </c>
    </row>
    <row r="5" spans="2:5" ht="15" thickBot="1">
      <c r="B5" s="714" t="s">
        <v>56</v>
      </c>
      <c r="C5" s="715"/>
      <c r="D5" s="716"/>
    </row>
    <row r="6" spans="2:5" ht="32.25" customHeight="1">
      <c r="B6" s="693" t="s">
        <v>82</v>
      </c>
      <c r="C6" s="696" t="s">
        <v>57</v>
      </c>
      <c r="D6" s="723" t="s">
        <v>58</v>
      </c>
    </row>
    <row r="7" spans="2:5" ht="12.75" thickBot="1">
      <c r="B7" s="695"/>
      <c r="C7" s="698"/>
      <c r="D7" s="724"/>
    </row>
    <row r="8" spans="2:5" ht="12.75" customHeight="1" thickBot="1">
      <c r="B8" s="714" t="s">
        <v>59</v>
      </c>
      <c r="C8" s="715"/>
      <c r="D8" s="716"/>
    </row>
    <row r="9" spans="2:5">
      <c r="B9" s="693" t="s">
        <v>60</v>
      </c>
      <c r="C9" s="62" t="s">
        <v>426</v>
      </c>
      <c r="D9" s="725" t="s">
        <v>83</v>
      </c>
    </row>
    <row r="10" spans="2:5">
      <c r="B10" s="694"/>
      <c r="C10" s="34"/>
      <c r="D10" s="708"/>
    </row>
    <row r="11" spans="2:5">
      <c r="B11" s="694"/>
      <c r="C11" s="34" t="s">
        <v>430</v>
      </c>
      <c r="D11" s="708"/>
    </row>
    <row r="12" spans="2:5">
      <c r="B12" s="694"/>
      <c r="C12" s="34" t="s">
        <v>431</v>
      </c>
      <c r="D12" s="708"/>
    </row>
    <row r="13" spans="2:5">
      <c r="B13" s="694"/>
      <c r="C13" s="34" t="s">
        <v>429</v>
      </c>
      <c r="D13" s="708"/>
    </row>
    <row r="14" spans="2:5" ht="12.75" thickBot="1">
      <c r="B14" s="695"/>
      <c r="C14" s="63"/>
      <c r="D14" s="709"/>
    </row>
    <row r="15" spans="2:5" ht="15" thickBot="1">
      <c r="B15" s="714" t="s">
        <v>61</v>
      </c>
      <c r="C15" s="715"/>
      <c r="D15" s="716"/>
    </row>
    <row r="16" spans="2:5" ht="24.4" customHeight="1" thickBot="1">
      <c r="B16" s="182" t="s">
        <v>84</v>
      </c>
      <c r="C16" s="40" t="s">
        <v>62</v>
      </c>
      <c r="D16" s="183" t="s">
        <v>58</v>
      </c>
    </row>
    <row r="17" spans="2:11" ht="15" thickBot="1">
      <c r="B17" s="714" t="s">
        <v>63</v>
      </c>
      <c r="C17" s="715"/>
      <c r="D17" s="716"/>
    </row>
    <row r="18" spans="2:11">
      <c r="B18" s="693" t="s">
        <v>151</v>
      </c>
      <c r="C18" s="96" t="s">
        <v>427</v>
      </c>
      <c r="D18" s="718" t="s">
        <v>513</v>
      </c>
      <c r="E18" s="116"/>
    </row>
    <row r="19" spans="2:11">
      <c r="B19" s="708"/>
      <c r="C19" s="101"/>
      <c r="D19" s="719"/>
    </row>
    <row r="20" spans="2:11" ht="12.75" thickBot="1">
      <c r="B20" s="708"/>
      <c r="C20" s="101" t="s">
        <v>432</v>
      </c>
      <c r="D20" s="720"/>
      <c r="H20" s="116"/>
      <c r="I20" s="116"/>
      <c r="J20" s="116"/>
      <c r="K20" s="116"/>
    </row>
    <row r="21" spans="2:11" ht="13.5" customHeight="1">
      <c r="B21" s="708"/>
      <c r="C21" s="101" t="s">
        <v>433</v>
      </c>
      <c r="D21" s="721" t="s">
        <v>514</v>
      </c>
    </row>
    <row r="22" spans="2:11" ht="12.75" thickBot="1">
      <c r="B22" s="709"/>
      <c r="C22" s="101" t="s">
        <v>434</v>
      </c>
      <c r="D22" s="722"/>
    </row>
    <row r="23" spans="2:11">
      <c r="B23" s="693" t="s">
        <v>152</v>
      </c>
      <c r="C23" s="102" t="s">
        <v>64</v>
      </c>
      <c r="D23" s="107" t="s">
        <v>569</v>
      </c>
    </row>
    <row r="24" spans="2:11" ht="12.75" customHeight="1">
      <c r="B24" s="708"/>
      <c r="C24" s="103"/>
      <c r="D24" s="105"/>
    </row>
    <row r="25" spans="2:11">
      <c r="B25" s="708"/>
      <c r="C25" s="101" t="s">
        <v>564</v>
      </c>
      <c r="D25" s="210" t="s">
        <v>564</v>
      </c>
      <c r="J25" s="116"/>
      <c r="K25" s="116"/>
    </row>
    <row r="26" spans="2:11">
      <c r="B26" s="708"/>
      <c r="C26" s="101" t="s">
        <v>565</v>
      </c>
      <c r="D26" s="210" t="s">
        <v>565</v>
      </c>
    </row>
    <row r="27" spans="2:11">
      <c r="B27" s="708"/>
      <c r="C27" s="101" t="s">
        <v>567</v>
      </c>
      <c r="D27" s="210" t="s">
        <v>566</v>
      </c>
    </row>
    <row r="28" spans="2:11" ht="12.75" thickBot="1">
      <c r="B28" s="709"/>
      <c r="C28" s="104"/>
      <c r="D28" s="106"/>
    </row>
    <row r="29" spans="2:11" ht="13.5" customHeight="1">
      <c r="B29" s="693" t="s">
        <v>153</v>
      </c>
      <c r="C29" s="696" t="s">
        <v>65</v>
      </c>
      <c r="D29" s="704" t="s">
        <v>58</v>
      </c>
    </row>
    <row r="30" spans="2:11">
      <c r="B30" s="705"/>
      <c r="C30" s="697"/>
      <c r="D30" s="700"/>
    </row>
    <row r="31" spans="2:11" ht="12.75" thickBot="1">
      <c r="B31" s="706"/>
      <c r="C31" s="698"/>
      <c r="D31" s="703"/>
    </row>
    <row r="32" spans="2:11" ht="15" thickBot="1">
      <c r="B32" s="714" t="s">
        <v>66</v>
      </c>
      <c r="C32" s="715"/>
      <c r="D32" s="716"/>
      <c r="H32" s="116"/>
    </row>
    <row r="33" spans="2:11">
      <c r="B33" s="707" t="s">
        <v>85</v>
      </c>
      <c r="C33" s="36" t="s">
        <v>428</v>
      </c>
      <c r="D33" s="37" t="s">
        <v>90</v>
      </c>
    </row>
    <row r="34" spans="2:11">
      <c r="B34" s="708"/>
      <c r="C34" s="64" t="s">
        <v>86</v>
      </c>
      <c r="D34" s="184" t="s">
        <v>435</v>
      </c>
    </row>
    <row r="35" spans="2:11">
      <c r="B35" s="708"/>
      <c r="C35" s="65"/>
      <c r="D35" s="184"/>
    </row>
    <row r="36" spans="2:11">
      <c r="B36" s="708"/>
      <c r="C36" s="64" t="s">
        <v>87</v>
      </c>
      <c r="D36" s="184" t="s">
        <v>436</v>
      </c>
    </row>
    <row r="37" spans="2:11">
      <c r="B37" s="708"/>
      <c r="C37" s="64" t="s">
        <v>88</v>
      </c>
      <c r="D37" s="184" t="s">
        <v>136</v>
      </c>
    </row>
    <row r="38" spans="2:11" ht="12.75" thickBot="1">
      <c r="B38" s="709"/>
      <c r="C38" s="66" t="s">
        <v>89</v>
      </c>
      <c r="D38" s="185" t="s">
        <v>563</v>
      </c>
    </row>
    <row r="39" spans="2:11" ht="12.75" customHeight="1">
      <c r="B39" s="707" t="s">
        <v>437</v>
      </c>
      <c r="C39" s="696" t="s">
        <v>91</v>
      </c>
      <c r="D39" s="107" t="s">
        <v>443</v>
      </c>
      <c r="G39" s="205"/>
      <c r="K39" s="206"/>
    </row>
    <row r="40" spans="2:11" s="480" customFormat="1" ht="12.75" customHeight="1">
      <c r="B40" s="712"/>
      <c r="C40" s="697"/>
      <c r="D40" s="569"/>
      <c r="G40" s="205"/>
      <c r="K40" s="206"/>
    </row>
    <row r="41" spans="2:11" s="116" customFormat="1" ht="12.75" customHeight="1">
      <c r="B41" s="712"/>
      <c r="C41" s="702"/>
      <c r="D41" s="208" t="s">
        <v>441</v>
      </c>
      <c r="G41" s="205"/>
      <c r="H41"/>
      <c r="I41" s="206"/>
      <c r="J41"/>
      <c r="K41"/>
    </row>
    <row r="42" spans="2:11" s="116" customFormat="1" ht="12.75" customHeight="1">
      <c r="B42" s="712"/>
      <c r="C42" s="702"/>
      <c r="D42" s="208" t="s">
        <v>440</v>
      </c>
      <c r="G42" s="205"/>
      <c r="H42"/>
      <c r="I42"/>
      <c r="J42" s="206"/>
      <c r="K42"/>
    </row>
    <row r="43" spans="2:11" ht="13.15">
      <c r="B43" s="712"/>
      <c r="C43" s="702"/>
      <c r="D43" s="208" t="s">
        <v>442</v>
      </c>
      <c r="G43" s="205"/>
      <c r="I43" s="206"/>
    </row>
    <row r="44" spans="2:11" ht="12.75" thickBot="1">
      <c r="B44" s="717"/>
      <c r="C44" s="711"/>
      <c r="D44" s="186"/>
      <c r="G44" s="207"/>
    </row>
    <row r="45" spans="2:11" ht="15" thickBot="1">
      <c r="B45" s="714" t="s">
        <v>67</v>
      </c>
      <c r="C45" s="715"/>
      <c r="D45" s="716"/>
    </row>
    <row r="46" spans="2:11" ht="25.15" thickBot="1">
      <c r="B46" s="73" t="s">
        <v>92</v>
      </c>
      <c r="C46" s="35" t="s">
        <v>93</v>
      </c>
      <c r="D46" s="108" t="s">
        <v>150</v>
      </c>
    </row>
    <row r="47" spans="2:11" ht="15" thickBot="1">
      <c r="B47" s="714" t="s">
        <v>94</v>
      </c>
      <c r="C47" s="715"/>
      <c r="D47" s="716"/>
    </row>
    <row r="48" spans="2:11">
      <c r="B48" s="693" t="s">
        <v>68</v>
      </c>
      <c r="C48" s="292" t="s">
        <v>216</v>
      </c>
      <c r="D48" s="693" t="s">
        <v>97</v>
      </c>
    </row>
    <row r="49" spans="2:10" ht="12.75" customHeight="1">
      <c r="B49" s="710"/>
      <c r="C49" s="570" t="s">
        <v>515</v>
      </c>
      <c r="D49" s="710"/>
    </row>
    <row r="50" spans="2:10">
      <c r="B50" s="694" t="s">
        <v>95</v>
      </c>
      <c r="C50" s="110"/>
      <c r="D50" s="700"/>
    </row>
    <row r="51" spans="2:10" ht="13.5" customHeight="1">
      <c r="B51" s="708"/>
      <c r="C51" s="109" t="s">
        <v>96</v>
      </c>
      <c r="D51" s="700"/>
    </row>
    <row r="52" spans="2:10" ht="12.75" customHeight="1" thickBot="1">
      <c r="B52" s="709"/>
      <c r="C52" s="111" t="s">
        <v>516</v>
      </c>
      <c r="D52" s="700"/>
    </row>
    <row r="53" spans="2:10">
      <c r="B53" s="693" t="s">
        <v>69</v>
      </c>
      <c r="C53" s="290" t="s">
        <v>210</v>
      </c>
      <c r="D53" s="700"/>
    </row>
    <row r="54" spans="2:10">
      <c r="B54" s="710"/>
      <c r="C54" s="109" t="s">
        <v>463</v>
      </c>
      <c r="D54" s="700"/>
    </row>
    <row r="55" spans="2:10">
      <c r="B55" s="694" t="s">
        <v>154</v>
      </c>
      <c r="C55" s="110"/>
      <c r="D55" s="700"/>
    </row>
    <row r="56" spans="2:10">
      <c r="B56" s="708"/>
      <c r="C56" s="109" t="s">
        <v>98</v>
      </c>
      <c r="D56" s="700"/>
    </row>
    <row r="57" spans="2:10" ht="12.75" thickBot="1">
      <c r="B57" s="709"/>
      <c r="C57" s="111" t="s">
        <v>462</v>
      </c>
      <c r="D57" s="700"/>
    </row>
    <row r="58" spans="2:10">
      <c r="B58" s="693" t="s">
        <v>99</v>
      </c>
      <c r="C58" s="290" t="s">
        <v>211</v>
      </c>
      <c r="D58" s="700"/>
    </row>
    <row r="59" spans="2:10">
      <c r="B59" s="694"/>
      <c r="C59" s="110" t="s">
        <v>90</v>
      </c>
      <c r="D59" s="700"/>
    </row>
    <row r="60" spans="2:10" ht="12.75" thickBot="1">
      <c r="B60" s="695"/>
      <c r="C60" s="111" t="s">
        <v>461</v>
      </c>
      <c r="D60" s="703"/>
    </row>
    <row r="61" spans="2:10">
      <c r="B61" s="693" t="s">
        <v>70</v>
      </c>
      <c r="C61" s="291" t="s">
        <v>212</v>
      </c>
      <c r="D61" s="693" t="s">
        <v>100</v>
      </c>
      <c r="F61" s="480"/>
      <c r="G61" s="116"/>
      <c r="H61" s="116"/>
      <c r="I61" s="116"/>
      <c r="J61" s="116"/>
    </row>
    <row r="62" spans="2:10" ht="22.5" customHeight="1">
      <c r="B62" s="694"/>
      <c r="C62" s="67"/>
      <c r="D62" s="700"/>
      <c r="F62" s="480"/>
      <c r="G62" s="116"/>
      <c r="H62" s="116"/>
      <c r="I62" s="116"/>
      <c r="J62" s="116"/>
    </row>
    <row r="63" spans="2:10" ht="12.75" thickBot="1">
      <c r="B63" s="695"/>
      <c r="C63" s="580" t="s">
        <v>460</v>
      </c>
      <c r="D63" s="700"/>
      <c r="F63" s="480"/>
      <c r="G63" s="116"/>
      <c r="H63" s="116"/>
      <c r="I63" s="116"/>
      <c r="J63" s="116"/>
    </row>
    <row r="64" spans="2:10">
      <c r="B64" s="693" t="s">
        <v>101</v>
      </c>
      <c r="C64" s="291" t="s">
        <v>213</v>
      </c>
      <c r="D64" s="700"/>
      <c r="F64" s="480"/>
      <c r="G64" s="116"/>
      <c r="H64" s="116"/>
      <c r="I64" s="116"/>
      <c r="J64" s="116"/>
    </row>
    <row r="65" spans="2:11">
      <c r="B65" s="694"/>
      <c r="C65" s="67"/>
      <c r="D65" s="700"/>
      <c r="F65" s="480"/>
      <c r="G65" s="116"/>
      <c r="H65" s="116"/>
      <c r="I65" s="116"/>
      <c r="J65" s="116"/>
    </row>
    <row r="66" spans="2:11" ht="12.75" thickBot="1">
      <c r="B66" s="695"/>
      <c r="C66" s="631" t="s">
        <v>517</v>
      </c>
      <c r="D66" s="700"/>
      <c r="F66" s="480"/>
    </row>
    <row r="67" spans="2:11">
      <c r="B67" s="693" t="s">
        <v>155</v>
      </c>
      <c r="C67" s="291" t="s">
        <v>214</v>
      </c>
      <c r="D67" s="700"/>
      <c r="F67" s="480"/>
    </row>
    <row r="68" spans="2:11">
      <c r="B68" s="694"/>
      <c r="C68" s="67"/>
      <c r="D68" s="700"/>
      <c r="F68" s="480"/>
    </row>
    <row r="69" spans="2:11" ht="13.5" customHeight="1" thickBot="1">
      <c r="B69" s="695"/>
      <c r="C69" s="580" t="s">
        <v>464</v>
      </c>
      <c r="D69" s="700"/>
      <c r="F69" s="480"/>
    </row>
    <row r="70" spans="2:11">
      <c r="B70" s="693" t="s">
        <v>102</v>
      </c>
      <c r="C70" s="291" t="s">
        <v>215</v>
      </c>
      <c r="D70" s="700"/>
      <c r="F70" s="480"/>
    </row>
    <row r="71" spans="2:11">
      <c r="B71" s="694"/>
      <c r="C71" s="67"/>
      <c r="D71" s="700"/>
      <c r="F71" s="480"/>
    </row>
    <row r="72" spans="2:11" ht="12.75" thickBot="1">
      <c r="B72" s="695"/>
      <c r="C72" s="580" t="s">
        <v>465</v>
      </c>
      <c r="D72" s="703"/>
      <c r="F72" s="480"/>
    </row>
    <row r="73" spans="2:11" ht="37.5" customHeight="1">
      <c r="B73" s="707" t="s">
        <v>103</v>
      </c>
      <c r="C73" s="699" t="s">
        <v>466</v>
      </c>
      <c r="D73" s="693"/>
      <c r="F73" s="480"/>
    </row>
    <row r="74" spans="2:11">
      <c r="B74" s="710"/>
      <c r="C74" s="700"/>
      <c r="D74" s="694"/>
      <c r="F74" s="480"/>
    </row>
    <row r="75" spans="2:11">
      <c r="B75" s="710"/>
      <c r="C75" s="701" t="s">
        <v>104</v>
      </c>
      <c r="D75" s="694"/>
      <c r="F75" s="480"/>
    </row>
    <row r="76" spans="2:11" ht="13.5" customHeight="1">
      <c r="B76" s="710"/>
      <c r="C76" s="702"/>
      <c r="D76" s="694"/>
      <c r="F76" s="480"/>
      <c r="K76" s="30"/>
    </row>
    <row r="77" spans="2:11">
      <c r="B77" s="710"/>
      <c r="C77" s="701" t="s">
        <v>467</v>
      </c>
      <c r="D77" s="694"/>
      <c r="F77" s="480"/>
    </row>
    <row r="78" spans="2:11" ht="12.75" thickBot="1">
      <c r="B78" s="713"/>
      <c r="C78" s="703"/>
      <c r="D78" s="694"/>
      <c r="F78" s="480"/>
    </row>
    <row r="79" spans="2:11" ht="33" thickBot="1">
      <c r="B79" s="712" t="s">
        <v>105</v>
      </c>
      <c r="C79" s="112" t="s">
        <v>468</v>
      </c>
      <c r="D79" s="694"/>
      <c r="F79" s="480"/>
    </row>
    <row r="80" spans="2:11">
      <c r="B80" s="710"/>
      <c r="C80" s="701" t="s">
        <v>530</v>
      </c>
      <c r="D80" s="694"/>
      <c r="F80" s="480"/>
    </row>
    <row r="81" spans="2:9" ht="36.4" customHeight="1" thickBot="1">
      <c r="B81" s="710"/>
      <c r="C81" s="702"/>
      <c r="D81" s="694"/>
      <c r="F81" s="480"/>
    </row>
    <row r="82" spans="2:9">
      <c r="B82" s="710"/>
      <c r="C82" s="691" t="s">
        <v>529</v>
      </c>
      <c r="D82" s="694"/>
      <c r="F82" s="480"/>
    </row>
    <row r="83" spans="2:9" ht="28.9" customHeight="1" thickBot="1">
      <c r="B83" s="713"/>
      <c r="C83" s="692"/>
      <c r="D83" s="695"/>
    </row>
    <row r="86" spans="2:9">
      <c r="B86" s="30" t="s">
        <v>106</v>
      </c>
    </row>
    <row r="87" spans="2:9">
      <c r="B87" s="30" t="s">
        <v>107</v>
      </c>
    </row>
    <row r="88" spans="2:9">
      <c r="B88" s="30" t="s">
        <v>561</v>
      </c>
    </row>
    <row r="89" spans="2:9">
      <c r="B89" s="672" t="s">
        <v>568</v>
      </c>
      <c r="C89" s="480"/>
      <c r="D89" s="216"/>
      <c r="I89" s="181"/>
    </row>
    <row r="90" spans="2:9">
      <c r="B90" s="30" t="s">
        <v>562</v>
      </c>
      <c r="I90" s="181"/>
    </row>
    <row r="91" spans="2:9">
      <c r="B91" s="30" t="s">
        <v>439</v>
      </c>
      <c r="C91" s="30" t="s">
        <v>438</v>
      </c>
      <c r="I91" s="181"/>
    </row>
    <row r="92" spans="2:9">
      <c r="B92" s="30" t="s">
        <v>384</v>
      </c>
    </row>
    <row r="93" spans="2:9">
      <c r="B93" s="30" t="s">
        <v>444</v>
      </c>
    </row>
    <row r="94" spans="2:9">
      <c r="B94" s="30" t="s">
        <v>149</v>
      </c>
    </row>
    <row r="95" spans="2:9">
      <c r="B95" s="30" t="s">
        <v>469</v>
      </c>
    </row>
    <row r="96" spans="2:9">
      <c r="B96" s="644" t="s">
        <v>528</v>
      </c>
    </row>
    <row r="97" spans="4:4">
      <c r="D97" t="s">
        <v>90</v>
      </c>
    </row>
  </sheetData>
  <sortState xmlns:xlrd2="http://schemas.microsoft.com/office/spreadsheetml/2017/richdata2" ref="B6:E10">
    <sortCondition descending="1" ref="E6:E10"/>
  </sortState>
  <mergeCells count="41">
    <mergeCell ref="B5:D5"/>
    <mergeCell ref="C6:C7"/>
    <mergeCell ref="B8:D8"/>
    <mergeCell ref="B15:D15"/>
    <mergeCell ref="B9:B14"/>
    <mergeCell ref="D6:D7"/>
    <mergeCell ref="D9:D14"/>
    <mergeCell ref="B79:B83"/>
    <mergeCell ref="B18:B22"/>
    <mergeCell ref="B23:B28"/>
    <mergeCell ref="B6:B7"/>
    <mergeCell ref="B17:D17"/>
    <mergeCell ref="B39:B44"/>
    <mergeCell ref="B45:D45"/>
    <mergeCell ref="B47:D47"/>
    <mergeCell ref="B58:B60"/>
    <mergeCell ref="D18:D20"/>
    <mergeCell ref="D21:D22"/>
    <mergeCell ref="B73:B78"/>
    <mergeCell ref="B70:B72"/>
    <mergeCell ref="B32:D32"/>
    <mergeCell ref="B61:B63"/>
    <mergeCell ref="B64:B66"/>
    <mergeCell ref="B67:B69"/>
    <mergeCell ref="D61:D72"/>
    <mergeCell ref="C39:C44"/>
    <mergeCell ref="D48:D60"/>
    <mergeCell ref="B55:B57"/>
    <mergeCell ref="B29:B31"/>
    <mergeCell ref="B33:B38"/>
    <mergeCell ref="B48:B49"/>
    <mergeCell ref="B50:B52"/>
    <mergeCell ref="B53:B54"/>
    <mergeCell ref="C82:C83"/>
    <mergeCell ref="D73:D83"/>
    <mergeCell ref="C29:C31"/>
    <mergeCell ref="C73:C74"/>
    <mergeCell ref="C75:C76"/>
    <mergeCell ref="C77:C78"/>
    <mergeCell ref="C80:C81"/>
    <mergeCell ref="D29:D31"/>
  </mergeCells>
  <hyperlinks>
    <hyperlink ref="B86" location="_ftnref1" display="_ftnref1" xr:uid="{00000000-0004-0000-0300-000000000000}"/>
    <hyperlink ref="B87" location="_ftnref2" display="_ftnref2" xr:uid="{00000000-0004-0000-0300-000001000000}"/>
    <hyperlink ref="B90" location="_ftnref5" display="_ftnref5" xr:uid="{00000000-0004-0000-0300-000003000000}"/>
    <hyperlink ref="B92" location="_ftnref6" display="_ftnref6" xr:uid="{00000000-0004-0000-0300-000004000000}"/>
    <hyperlink ref="B93" location="Outputs!_ftnref7" display="[8] The baseline assumed 33.7GW of generation would connect during the 8-year period, which was based on an energy outlook premised on the 2012 Gone Green scenario and NGET’s 2012 Business Plan. This value is reflected in Table 1 of  special licence condition 6F (Baseline Generation Connections Outputs and Generation Connections volume driver) " xr:uid="{00000000-0004-0000-0300-000005000000}"/>
    <hyperlink ref="B94" location="_ftnref8" display="_ftnref8" xr:uid="{00000000-0004-0000-0300-000006000000}"/>
    <hyperlink ref="B89" r:id="rId1" display="EDR decision letter" xr:uid="{00000000-0004-0000-0300-000009000000}"/>
    <hyperlink ref="B91" r:id="rId2" xr:uid="{4E7702E8-E790-4DF7-9966-B93706E62441}"/>
    <hyperlink ref="B95" r:id="rId3" xr:uid="{FF2014E6-C775-427F-94CF-6857C01B2145}"/>
    <hyperlink ref="B88" location="_ftnref3" display="_ftnref3" xr:uid="{00000000-0004-0000-0300-000002000000}"/>
  </hyperlinks>
  <pageMargins left="0.7" right="0.7" top="0.75" bottom="0.75" header="0.3" footer="0.3"/>
  <pageSetup paperSize="9" orientation="portrait" r:id="rId4"/>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autoPageBreaks="0"/>
  </sheetPr>
  <dimension ref="C2:AB63"/>
  <sheetViews>
    <sheetView zoomScale="50" zoomScaleNormal="50" workbookViewId="0">
      <selection activeCell="R34" sqref="R34"/>
    </sheetView>
  </sheetViews>
  <sheetFormatPr defaultRowHeight="12.4"/>
  <cols>
    <col min="2" max="2" width="20.87890625" customWidth="1"/>
    <col min="3" max="3" width="18" customWidth="1"/>
    <col min="4" max="4" width="11.87890625" customWidth="1"/>
    <col min="5" max="5" width="10.1171875" customWidth="1"/>
    <col min="6" max="6" width="10.46875" style="98" customWidth="1"/>
    <col min="7" max="7" width="10.46875" style="480" customWidth="1"/>
    <col min="8" max="8" width="11" customWidth="1"/>
    <col min="9" max="9" width="10.64453125" customWidth="1"/>
    <col min="10" max="10" width="11" customWidth="1"/>
    <col min="12" max="12" width="10.87890625" bestFit="1" customWidth="1"/>
    <col min="14" max="14" width="11.76171875" customWidth="1"/>
    <col min="15" max="15" width="11.76171875" style="98" customWidth="1"/>
    <col min="16" max="16" width="9" style="98"/>
    <col min="17" max="17" width="10.46875" bestFit="1" customWidth="1"/>
    <col min="19" max="19" width="21.87890625" customWidth="1"/>
    <col min="20" max="20" width="11.64453125" customWidth="1"/>
    <col min="21" max="21" width="10.46875" bestFit="1" customWidth="1"/>
    <col min="22" max="22" width="10.76171875" customWidth="1"/>
    <col min="23" max="24" width="10.46875" bestFit="1" customWidth="1"/>
  </cols>
  <sheetData>
    <row r="2" spans="3:25">
      <c r="C2" s="98"/>
      <c r="D2" s="98"/>
      <c r="E2" s="98"/>
      <c r="H2" s="98"/>
      <c r="I2" s="98"/>
      <c r="J2" s="83"/>
      <c r="K2" s="83"/>
      <c r="L2" s="83"/>
      <c r="M2" s="83"/>
      <c r="N2" s="83"/>
      <c r="O2" s="83"/>
      <c r="P2" s="83"/>
      <c r="Q2" s="83"/>
    </row>
    <row r="3" spans="3:25" ht="12.75" thickBot="1">
      <c r="C3" s="28" t="s">
        <v>378</v>
      </c>
      <c r="I3" s="98"/>
      <c r="J3" s="87"/>
      <c r="K3" s="83"/>
      <c r="L3" s="83"/>
      <c r="M3" s="83"/>
      <c r="N3" s="83"/>
      <c r="O3" s="83"/>
      <c r="P3" s="83"/>
      <c r="Q3" s="83"/>
    </row>
    <row r="4" spans="3:25" ht="12.75" thickBot="1">
      <c r="C4" s="71"/>
      <c r="D4" s="72" t="s">
        <v>114</v>
      </c>
      <c r="E4" s="72" t="s">
        <v>115</v>
      </c>
      <c r="F4" s="72" t="s">
        <v>138</v>
      </c>
      <c r="G4" s="72" t="s">
        <v>445</v>
      </c>
      <c r="H4" s="72" t="s">
        <v>116</v>
      </c>
      <c r="I4" s="98"/>
      <c r="J4" s="88"/>
      <c r="K4" s="267"/>
      <c r="L4" s="267"/>
      <c r="M4" s="267"/>
      <c r="N4" s="267"/>
      <c r="O4" s="83"/>
      <c r="P4" s="83"/>
      <c r="Q4" s="83"/>
    </row>
    <row r="5" spans="3:25" ht="12.75" thickBot="1">
      <c r="C5" s="730" t="s">
        <v>195</v>
      </c>
      <c r="D5" s="731"/>
      <c r="E5" s="731"/>
      <c r="F5" s="731"/>
      <c r="G5" s="731"/>
      <c r="H5" s="732"/>
      <c r="I5" s="98"/>
      <c r="J5" s="83"/>
      <c r="K5" s="83"/>
      <c r="L5" s="83"/>
      <c r="M5" s="83"/>
      <c r="N5" s="83"/>
      <c r="O5" s="83"/>
      <c r="P5" s="83"/>
      <c r="Q5" s="83"/>
    </row>
    <row r="6" spans="3:25" ht="32.25" customHeight="1" thickBot="1">
      <c r="C6" s="73" t="s">
        <v>113</v>
      </c>
      <c r="D6" s="113">
        <v>7.9</v>
      </c>
      <c r="E6" s="113">
        <v>8.3000000000000007</v>
      </c>
      <c r="F6" s="113">
        <v>8.5</v>
      </c>
      <c r="G6" s="113">
        <v>8.5</v>
      </c>
      <c r="H6" s="735" t="s">
        <v>201</v>
      </c>
      <c r="I6" s="98"/>
    </row>
    <row r="7" spans="3:25" ht="12.75" thickBot="1">
      <c r="C7" s="73" t="s">
        <v>71</v>
      </c>
      <c r="D7" s="113">
        <v>8.6999999999999993</v>
      </c>
      <c r="E7" s="113">
        <v>8</v>
      </c>
      <c r="F7" s="113">
        <v>8.1999999999999993</v>
      </c>
      <c r="G7" s="113">
        <v>8.4</v>
      </c>
      <c r="H7" s="736"/>
    </row>
    <row r="8" spans="3:25" ht="12.75" customHeight="1" thickBot="1">
      <c r="C8" s="73" t="s">
        <v>187</v>
      </c>
      <c r="D8" s="262">
        <v>7.6609999999999996</v>
      </c>
      <c r="E8" s="262">
        <v>7.883</v>
      </c>
      <c r="F8" s="113">
        <v>7.9189999999999996</v>
      </c>
      <c r="G8" s="113">
        <v>8.64</v>
      </c>
      <c r="H8" s="737"/>
      <c r="I8" s="98"/>
    </row>
    <row r="9" spans="3:25" ht="15.75" customHeight="1" thickBot="1">
      <c r="C9" s="730" t="s">
        <v>117</v>
      </c>
      <c r="D9" s="731"/>
      <c r="E9" s="731"/>
      <c r="F9" s="731"/>
      <c r="G9" s="731"/>
      <c r="H9" s="732"/>
      <c r="I9" s="98"/>
    </row>
    <row r="10" spans="3:25" ht="12.75" thickBot="1">
      <c r="C10" s="73" t="s">
        <v>113</v>
      </c>
      <c r="D10" s="74">
        <v>77</v>
      </c>
      <c r="E10" s="74">
        <v>78</v>
      </c>
      <c r="F10" s="261">
        <v>70.7</v>
      </c>
      <c r="G10" s="262">
        <v>77</v>
      </c>
      <c r="H10" s="268" t="s">
        <v>199</v>
      </c>
      <c r="I10" s="98"/>
    </row>
    <row r="11" spans="3:25" ht="12.75" thickBot="1">
      <c r="C11" s="73" t="s">
        <v>51</v>
      </c>
      <c r="D11" s="74">
        <v>69</v>
      </c>
      <c r="E11" s="74">
        <v>76</v>
      </c>
      <c r="F11" s="262">
        <v>87</v>
      </c>
      <c r="G11" s="262">
        <v>87</v>
      </c>
      <c r="H11" s="268" t="s">
        <v>200</v>
      </c>
      <c r="I11" s="98"/>
    </row>
    <row r="12" spans="3:25" s="116" customFormat="1" ht="12.75" thickBot="1">
      <c r="C12" s="730" t="s">
        <v>194</v>
      </c>
      <c r="D12" s="731"/>
      <c r="E12" s="731"/>
      <c r="F12" s="731"/>
      <c r="G12" s="731"/>
      <c r="H12" s="732"/>
    </row>
    <row r="13" spans="3:25" s="116" customFormat="1" ht="12.75" thickBot="1">
      <c r="C13" s="73" t="s">
        <v>113</v>
      </c>
      <c r="D13" s="262">
        <v>6.25</v>
      </c>
      <c r="E13" s="262">
        <v>6.4</v>
      </c>
      <c r="F13" s="262">
        <v>4.9000000000000004</v>
      </c>
      <c r="G13" s="262">
        <v>5.94</v>
      </c>
      <c r="H13" s="739" t="s">
        <v>198</v>
      </c>
    </row>
    <row r="14" spans="3:25" s="116" customFormat="1" ht="12.75" thickBot="1">
      <c r="C14" s="73" t="s">
        <v>51</v>
      </c>
      <c r="D14" s="262">
        <v>5.4</v>
      </c>
      <c r="E14" s="262">
        <v>3.25</v>
      </c>
      <c r="F14" s="262">
        <v>4.0599999999999996</v>
      </c>
      <c r="G14" s="262">
        <v>6.55</v>
      </c>
      <c r="H14" s="740"/>
    </row>
    <row r="15" spans="3:25" ht="12.75" thickBot="1">
      <c r="C15" s="73" t="s">
        <v>187</v>
      </c>
      <c r="D15" s="262">
        <v>7</v>
      </c>
      <c r="E15" s="262">
        <v>5.0999999999999996</v>
      </c>
      <c r="F15" s="262">
        <v>5.54</v>
      </c>
      <c r="G15" s="262">
        <v>5.91</v>
      </c>
      <c r="H15" s="741"/>
    </row>
    <row r="16" spans="3:25" ht="16.5" customHeight="1" thickBot="1">
      <c r="C16" s="730" t="s">
        <v>196</v>
      </c>
      <c r="D16" s="731"/>
      <c r="E16" s="731"/>
      <c r="F16" s="731"/>
      <c r="G16" s="731"/>
      <c r="H16" s="732"/>
      <c r="S16" s="177"/>
      <c r="T16" s="176"/>
      <c r="U16" s="176"/>
      <c r="V16" s="176"/>
      <c r="W16" s="176"/>
      <c r="X16" s="176"/>
      <c r="Y16" s="176"/>
    </row>
    <row r="17" spans="3:28" s="116" customFormat="1" ht="16.5" customHeight="1" thickBot="1">
      <c r="C17" s="73" t="s">
        <v>197</v>
      </c>
      <c r="D17" s="265">
        <v>7.41</v>
      </c>
      <c r="E17" s="265">
        <v>7.7430000000000003</v>
      </c>
      <c r="F17" s="265">
        <v>7.9240000000000004</v>
      </c>
      <c r="G17" s="265">
        <v>8.2100000000000009</v>
      </c>
      <c r="H17" s="268" t="s">
        <v>202</v>
      </c>
      <c r="S17" s="177"/>
      <c r="T17" s="176"/>
      <c r="U17" s="176"/>
      <c r="V17" s="176"/>
      <c r="W17" s="176"/>
      <c r="X17" s="176"/>
      <c r="Y17" s="176"/>
    </row>
    <row r="18" spans="3:28" s="116" customFormat="1" ht="16.5" customHeight="1">
      <c r="C18" s="263"/>
      <c r="D18" s="266"/>
      <c r="E18" s="266"/>
      <c r="F18" s="266"/>
      <c r="G18" s="266"/>
      <c r="H18" s="180" t="s">
        <v>374</v>
      </c>
      <c r="S18" s="177"/>
      <c r="T18" s="176"/>
      <c r="U18" s="176"/>
      <c r="V18" s="176"/>
      <c r="W18" s="176"/>
      <c r="X18" s="176"/>
      <c r="Y18" s="176"/>
    </row>
    <row r="19" spans="3:28" s="116" customFormat="1" ht="16.5" customHeight="1">
      <c r="C19" s="263"/>
      <c r="D19" s="266"/>
      <c r="E19" s="266"/>
      <c r="F19" s="266"/>
      <c r="G19" s="266"/>
      <c r="H19" s="264"/>
      <c r="S19" s="177"/>
      <c r="T19" s="176"/>
      <c r="U19" s="176"/>
      <c r="V19" s="176"/>
      <c r="W19" s="176"/>
      <c r="X19" s="176"/>
      <c r="Y19" s="176"/>
    </row>
    <row r="20" spans="3:28" ht="14.25">
      <c r="C20" s="28" t="s">
        <v>140</v>
      </c>
      <c r="H20" s="116"/>
      <c r="I20" s="116"/>
      <c r="J20" s="116"/>
      <c r="K20" s="116"/>
      <c r="L20" s="116"/>
      <c r="M20" s="116"/>
      <c r="S20" s="178"/>
      <c r="T20" s="51"/>
      <c r="U20" s="51"/>
      <c r="V20" s="51"/>
      <c r="W20" s="51"/>
      <c r="X20" s="51"/>
      <c r="Y20" s="51"/>
    </row>
    <row r="21" spans="3:28" ht="14.65" thickBot="1">
      <c r="C21" s="61"/>
      <c r="S21" s="52"/>
      <c r="T21" s="51"/>
      <c r="U21" s="51"/>
      <c r="V21" s="51"/>
      <c r="W21" s="51"/>
      <c r="X21" s="51"/>
      <c r="Y21" s="51"/>
    </row>
    <row r="22" spans="3:28" ht="12.75" thickBot="1">
      <c r="C22" s="68"/>
      <c r="D22" s="727" t="s">
        <v>108</v>
      </c>
      <c r="E22" s="728"/>
      <c r="F22" s="727" t="s">
        <v>109</v>
      </c>
      <c r="G22" s="738"/>
      <c r="H22" s="727" t="s">
        <v>110</v>
      </c>
      <c r="I22" s="728"/>
      <c r="J22" s="727" t="s">
        <v>111</v>
      </c>
      <c r="K22" s="728"/>
      <c r="L22" s="727" t="s">
        <v>112</v>
      </c>
      <c r="M22" s="728"/>
      <c r="N22" s="727" t="s">
        <v>137</v>
      </c>
      <c r="O22" s="728"/>
      <c r="P22" s="727" t="s">
        <v>260</v>
      </c>
      <c r="Q22" s="728"/>
    </row>
    <row r="23" spans="3:28" ht="22.9" thickBot="1">
      <c r="C23" s="48"/>
      <c r="D23" s="35" t="s">
        <v>118</v>
      </c>
      <c r="E23" s="35" t="s">
        <v>119</v>
      </c>
      <c r="F23" s="35" t="s">
        <v>118</v>
      </c>
      <c r="G23" s="35" t="s">
        <v>119</v>
      </c>
      <c r="H23" s="35" t="s">
        <v>118</v>
      </c>
      <c r="I23" s="35" t="s">
        <v>119</v>
      </c>
      <c r="J23" s="35" t="s">
        <v>118</v>
      </c>
      <c r="K23" s="35" t="s">
        <v>119</v>
      </c>
      <c r="L23" s="35" t="s">
        <v>118</v>
      </c>
      <c r="M23" s="35" t="s">
        <v>119</v>
      </c>
      <c r="N23" s="35" t="s">
        <v>118</v>
      </c>
      <c r="O23" s="35" t="s">
        <v>119</v>
      </c>
      <c r="P23" s="35" t="s">
        <v>118</v>
      </c>
      <c r="Q23" s="35" t="s">
        <v>119</v>
      </c>
      <c r="R23" s="83"/>
      <c r="S23" s="641" t="s">
        <v>518</v>
      </c>
      <c r="AA23" s="83"/>
      <c r="AB23" s="83"/>
    </row>
    <row r="24" spans="3:28" ht="12.75" thickBot="1">
      <c r="C24" s="48" t="s">
        <v>113</v>
      </c>
      <c r="D24" s="35">
        <v>42.2</v>
      </c>
      <c r="E24" s="75">
        <v>0.81</v>
      </c>
      <c r="F24" s="35">
        <v>2.8</v>
      </c>
      <c r="G24" s="75">
        <v>0.99</v>
      </c>
      <c r="H24" s="35">
        <v>13.9</v>
      </c>
      <c r="I24" s="75">
        <v>0.94</v>
      </c>
      <c r="J24" s="35">
        <v>10.3</v>
      </c>
      <c r="K24" s="75">
        <v>0.95</v>
      </c>
      <c r="L24" s="35">
        <v>3</v>
      </c>
      <c r="M24" s="75">
        <v>0.99</v>
      </c>
      <c r="N24" s="35">
        <v>39.1</v>
      </c>
      <c r="O24" s="75">
        <v>0.83</v>
      </c>
      <c r="P24" s="35">
        <v>2</v>
      </c>
      <c r="Q24" s="75">
        <v>0.99</v>
      </c>
      <c r="R24" s="143">
        <f t="shared" ref="R24:S26" si="0">AVERAGE(D24,F24,H24,J24,L24,N24,P24)</f>
        <v>16.185714285714287</v>
      </c>
      <c r="S24" s="640">
        <f t="shared" si="0"/>
        <v>0.92857142857142871</v>
      </c>
      <c r="AA24" s="83"/>
      <c r="AB24" s="83"/>
    </row>
    <row r="25" spans="3:28" ht="12.75" thickBot="1">
      <c r="C25" s="48" t="s">
        <v>50</v>
      </c>
      <c r="D25" s="35">
        <v>135</v>
      </c>
      <c r="E25" s="75">
        <v>0.56999999999999995</v>
      </c>
      <c r="F25" s="35">
        <v>8.6999999999999993</v>
      </c>
      <c r="G25" s="75">
        <v>0.97</v>
      </c>
      <c r="H25" s="35">
        <v>4.5</v>
      </c>
      <c r="I25" s="75">
        <v>0.99</v>
      </c>
      <c r="J25" s="35">
        <v>6.8</v>
      </c>
      <c r="K25" s="75">
        <v>0.98</v>
      </c>
      <c r="L25" s="35">
        <v>39.700000000000003</v>
      </c>
      <c r="M25" s="75">
        <v>0.87</v>
      </c>
      <c r="N25" s="35">
        <v>12</v>
      </c>
      <c r="O25" s="75">
        <v>0.96</v>
      </c>
      <c r="P25" s="35">
        <v>54.4</v>
      </c>
      <c r="Q25" s="75">
        <v>0.83</v>
      </c>
      <c r="R25" s="143">
        <f t="shared" si="0"/>
        <v>37.299999999999997</v>
      </c>
      <c r="S25" s="640">
        <f t="shared" si="0"/>
        <v>0.88142857142857145</v>
      </c>
      <c r="AA25" s="83"/>
      <c r="AB25" s="83"/>
    </row>
    <row r="26" spans="3:28" ht="12.75" thickBot="1">
      <c r="C26" s="48" t="s">
        <v>51</v>
      </c>
      <c r="D26" s="35">
        <v>35.6</v>
      </c>
      <c r="E26" s="75">
        <v>0.7</v>
      </c>
      <c r="F26" s="35">
        <v>106.1</v>
      </c>
      <c r="G26" s="75">
        <v>0.12</v>
      </c>
      <c r="H26" s="35">
        <v>0</v>
      </c>
      <c r="I26" s="75">
        <v>1</v>
      </c>
      <c r="J26" s="35">
        <v>4.4000000000000004</v>
      </c>
      <c r="K26" s="75">
        <v>0.96</v>
      </c>
      <c r="L26" s="35">
        <v>24.3</v>
      </c>
      <c r="M26" s="75">
        <v>0.8</v>
      </c>
      <c r="N26" s="35">
        <v>0</v>
      </c>
      <c r="O26" s="75">
        <v>1</v>
      </c>
      <c r="P26" s="35">
        <v>1.2</v>
      </c>
      <c r="Q26" s="75">
        <v>0.99</v>
      </c>
      <c r="R26" s="143">
        <f t="shared" si="0"/>
        <v>24.514285714285712</v>
      </c>
      <c r="S26" s="640">
        <f t="shared" si="0"/>
        <v>0.79571428571428571</v>
      </c>
      <c r="AA26" s="83"/>
      <c r="AB26" s="83"/>
    </row>
    <row r="27" spans="3:28">
      <c r="R27" s="83"/>
      <c r="S27" s="734"/>
      <c r="T27" s="733"/>
      <c r="U27" s="729"/>
      <c r="V27" s="729"/>
      <c r="W27" s="729"/>
      <c r="X27" s="729"/>
      <c r="Y27" s="84"/>
      <c r="Z27" s="83"/>
      <c r="AA27" s="83"/>
      <c r="AB27" s="83"/>
    </row>
    <row r="28" spans="3:28">
      <c r="R28" s="83"/>
      <c r="S28" s="734"/>
      <c r="T28" s="733"/>
      <c r="U28" s="729"/>
      <c r="V28" s="729"/>
      <c r="W28" s="729"/>
      <c r="X28" s="729"/>
      <c r="Y28" s="84"/>
      <c r="Z28" s="83"/>
      <c r="AA28" s="83"/>
      <c r="AB28" s="83"/>
    </row>
    <row r="29" spans="3:28">
      <c r="R29" s="83"/>
      <c r="S29" s="83"/>
      <c r="T29" s="84"/>
      <c r="U29" s="85"/>
      <c r="V29" s="85"/>
      <c r="W29" s="85"/>
      <c r="X29" s="86"/>
      <c r="Y29" s="86"/>
      <c r="Z29" s="83"/>
      <c r="AA29" s="83"/>
      <c r="AB29" s="83"/>
    </row>
    <row r="30" spans="3:28" ht="15.75" thickBot="1">
      <c r="C30" s="28" t="s">
        <v>141</v>
      </c>
      <c r="R30" s="83"/>
      <c r="Z30" s="83"/>
      <c r="AA30" s="83"/>
      <c r="AB30" s="83"/>
    </row>
    <row r="31" spans="3:28" ht="46.15" customHeight="1" thickBot="1">
      <c r="C31" s="33"/>
      <c r="D31" s="69" t="s">
        <v>108</v>
      </c>
      <c r="E31" s="69" t="s">
        <v>109</v>
      </c>
      <c r="F31" s="69" t="s">
        <v>110</v>
      </c>
      <c r="G31" s="69" t="s">
        <v>111</v>
      </c>
      <c r="H31" s="69" t="s">
        <v>112</v>
      </c>
      <c r="I31" s="97" t="s">
        <v>137</v>
      </c>
      <c r="J31" s="561" t="s">
        <v>260</v>
      </c>
      <c r="L31" s="135" t="s">
        <v>207</v>
      </c>
      <c r="M31" s="135" t="s">
        <v>208</v>
      </c>
      <c r="N31" s="135" t="s">
        <v>446</v>
      </c>
      <c r="O31" s="564" t="s">
        <v>447</v>
      </c>
      <c r="R31" s="83"/>
      <c r="Z31" s="83"/>
      <c r="AA31" s="83"/>
      <c r="AB31" s="83"/>
    </row>
    <row r="32" spans="3:28" ht="38.65" customHeight="1" thickBot="1">
      <c r="C32" s="48"/>
      <c r="D32" s="70" t="s">
        <v>120</v>
      </c>
      <c r="E32" s="70" t="s">
        <v>120</v>
      </c>
      <c r="F32" s="70" t="s">
        <v>120</v>
      </c>
      <c r="G32" s="70" t="s">
        <v>120</v>
      </c>
      <c r="H32" s="70" t="s">
        <v>120</v>
      </c>
      <c r="I32" s="70" t="s">
        <v>120</v>
      </c>
      <c r="J32" s="70" t="s">
        <v>120</v>
      </c>
      <c r="L32" t="s">
        <v>209</v>
      </c>
      <c r="M32" t="s">
        <v>209</v>
      </c>
      <c r="N32" s="480" t="s">
        <v>209</v>
      </c>
      <c r="Q32" s="83"/>
      <c r="S32" s="382" t="s">
        <v>187</v>
      </c>
      <c r="T32" s="382" t="s">
        <v>1</v>
      </c>
      <c r="U32" s="382" t="s">
        <v>51</v>
      </c>
      <c r="W32" s="480"/>
      <c r="X32" s="480"/>
      <c r="Y32" s="1"/>
      <c r="Z32" s="270"/>
      <c r="AA32" s="83"/>
      <c r="AB32" s="83"/>
    </row>
    <row r="33" spans="3:28" ht="12.75" thickBot="1">
      <c r="C33" s="48" t="s">
        <v>113</v>
      </c>
      <c r="D33" s="76">
        <f t="shared" ref="D33:F33" si="1">D45</f>
        <v>-0.27252717617410482</v>
      </c>
      <c r="E33" s="76">
        <f t="shared" si="1"/>
        <v>0.16420147558716242</v>
      </c>
      <c r="F33" s="76">
        <f t="shared" si="1"/>
        <v>0.28740764475865299</v>
      </c>
      <c r="G33" s="76">
        <f>G45</f>
        <v>0.45136530166126609</v>
      </c>
      <c r="H33" s="76">
        <f>H45</f>
        <v>0.41183397709809366</v>
      </c>
      <c r="I33" s="76">
        <f>I45</f>
        <v>0.11758157360666516</v>
      </c>
      <c r="J33" s="76">
        <f>J45</f>
        <v>0.40470100574831341</v>
      </c>
      <c r="L33" s="288">
        <f>H37+H42+H47</f>
        <v>10403.84</v>
      </c>
      <c r="M33" s="288">
        <f>I37+I42+I47</f>
        <v>13338.19</v>
      </c>
      <c r="N33" s="288">
        <f>J37+J42+J47</f>
        <v>13403.53</v>
      </c>
      <c r="O33" s="288">
        <f>N33-M33</f>
        <v>65.340000000000146</v>
      </c>
      <c r="P33" s="98" t="s">
        <v>209</v>
      </c>
      <c r="S33" s="456">
        <f>D39</f>
        <v>1943.9941574999993</v>
      </c>
      <c r="T33" s="456">
        <f>D44</f>
        <v>-156.23130000000003</v>
      </c>
      <c r="U33" s="456">
        <f>D49</f>
        <v>-184.57</v>
      </c>
      <c r="Z33" s="83"/>
      <c r="AA33" s="83"/>
      <c r="AB33" s="83"/>
    </row>
    <row r="34" spans="3:28" ht="12.75" thickBot="1">
      <c r="C34" s="48" t="s">
        <v>50</v>
      </c>
      <c r="D34" s="76">
        <f t="shared" ref="D34:F34" si="2">D40</f>
        <v>0.16127385927845714</v>
      </c>
      <c r="E34" s="76">
        <f t="shared" si="2"/>
        <v>0.21507787697695321</v>
      </c>
      <c r="F34" s="76">
        <f t="shared" si="2"/>
        <v>0.20798453387896987</v>
      </c>
      <c r="G34" s="76">
        <f>G40</f>
        <v>0.10959707249148709</v>
      </c>
      <c r="H34" s="76">
        <f>H40</f>
        <v>0.2282424538396074</v>
      </c>
      <c r="I34" s="76">
        <f>I40</f>
        <v>1.6544396691948526E-2</v>
      </c>
      <c r="J34" s="76">
        <f>J40</f>
        <v>3.6228032562880021E-3</v>
      </c>
      <c r="O34" s="271">
        <f>O33/M33</f>
        <v>4.8987156428271107E-3</v>
      </c>
      <c r="S34" s="456">
        <f>E39</f>
        <v>2615.1680500000002</v>
      </c>
      <c r="T34" s="456">
        <f>E44</f>
        <v>97.171374999999898</v>
      </c>
      <c r="U34" s="456">
        <f>E49</f>
        <v>-166.1</v>
      </c>
      <c r="Z34" s="83"/>
      <c r="AA34" s="83"/>
      <c r="AB34" s="83"/>
    </row>
    <row r="35" spans="3:28" ht="12.75" thickBot="1">
      <c r="C35" s="48" t="s">
        <v>51</v>
      </c>
      <c r="D35" s="76">
        <f t="shared" ref="D35:F35" si="3">D50</f>
        <v>-1.2247511612475117</v>
      </c>
      <c r="E35" s="76">
        <f t="shared" si="3"/>
        <v>-0.9595609474292317</v>
      </c>
      <c r="F35" s="76">
        <f t="shared" si="3"/>
        <v>-0.2171526157202508</v>
      </c>
      <c r="G35" s="77">
        <f>G50</f>
        <v>-3.1282049251411744E-4</v>
      </c>
      <c r="H35" s="76">
        <f>H50</f>
        <v>3.9143213493270518E-2</v>
      </c>
      <c r="I35" s="76">
        <f>I50</f>
        <v>1.3434681172175458E-2</v>
      </c>
      <c r="J35" s="76">
        <f>J50</f>
        <v>-0.11869988443503325</v>
      </c>
      <c r="K35" s="98"/>
      <c r="L35" s="289"/>
      <c r="O35" s="271">
        <f>O33/N33</f>
        <v>4.8748352113212072E-3</v>
      </c>
      <c r="S35" s="456">
        <f>F39</f>
        <v>2558.7900550000013</v>
      </c>
      <c r="T35" s="456">
        <f>F44</f>
        <v>177.86715000000004</v>
      </c>
      <c r="U35" s="456">
        <f>F49</f>
        <v>-48.574000000000012</v>
      </c>
      <c r="Z35" s="83"/>
      <c r="AA35" s="83"/>
      <c r="AB35" s="83"/>
    </row>
    <row r="36" spans="3:28">
      <c r="C36" s="272" t="s">
        <v>187</v>
      </c>
      <c r="D36" s="273"/>
      <c r="E36" s="273"/>
      <c r="F36" s="273"/>
      <c r="G36" s="273"/>
      <c r="H36" s="273"/>
      <c r="I36" s="274"/>
      <c r="J36" s="274"/>
      <c r="S36" s="456">
        <f>G39</f>
        <v>1353.9575850000019</v>
      </c>
      <c r="T36" s="456">
        <f>G44</f>
        <v>319.30882500000007</v>
      </c>
      <c r="U36" s="456">
        <f>G49</f>
        <v>-7.9000000000007731E-2</v>
      </c>
      <c r="AA36" s="83"/>
      <c r="AB36" s="83"/>
    </row>
    <row r="37" spans="3:28">
      <c r="C37" s="275" t="s">
        <v>205</v>
      </c>
      <c r="D37" s="276">
        <f>'[2]2.5_Outputs'!C22</f>
        <v>10110</v>
      </c>
      <c r="E37" s="276">
        <f>'[2]2.5_Outputs'!D22</f>
        <v>9544</v>
      </c>
      <c r="F37" s="276">
        <f>'[2]2.5_Outputs'!E22</f>
        <v>9744</v>
      </c>
      <c r="G37" s="276">
        <f>'[2]2.5_Outputs'!F22</f>
        <v>11000</v>
      </c>
      <c r="H37" s="276">
        <f>'[2]2.5_Outputs'!G22</f>
        <v>9617</v>
      </c>
      <c r="I37" s="277">
        <f>'[2]2.5_Outputs'!$H$22</f>
        <v>12270</v>
      </c>
      <c r="J37" s="277">
        <f>'[2]2.5_Outputs'!$I$22</f>
        <v>12440.8</v>
      </c>
      <c r="L37" s="288"/>
      <c r="O37" s="288">
        <f>J37-I37</f>
        <v>170.79999999999927</v>
      </c>
      <c r="P37" s="98" t="s">
        <v>209</v>
      </c>
      <c r="Q37" s="288"/>
      <c r="S37" s="456">
        <f>H39</f>
        <v>2844.1674325000004</v>
      </c>
      <c r="T37" s="456">
        <f>H44</f>
        <v>322.09209999999996</v>
      </c>
      <c r="U37" s="456">
        <f>H49</f>
        <v>13.31475000000006</v>
      </c>
      <c r="Y37" s="83"/>
      <c r="Z37" s="83"/>
      <c r="AA37" s="83"/>
      <c r="AB37" s="83"/>
    </row>
    <row r="38" spans="3:28">
      <c r="C38" s="275" t="s">
        <v>206</v>
      </c>
      <c r="D38" s="276">
        <f>'[2]2.5_Outputs'!C23</f>
        <v>12053.994157499999</v>
      </c>
      <c r="E38" s="276">
        <f>'[2]2.5_Outputs'!D23</f>
        <v>12159.16805</v>
      </c>
      <c r="F38" s="276">
        <f>'[2]2.5_Outputs'!E23</f>
        <v>12302.790055000001</v>
      </c>
      <c r="G38" s="276">
        <f>'[2]2.5_Outputs'!F23</f>
        <v>12353.957585000002</v>
      </c>
      <c r="H38" s="276">
        <f>'[2]2.5_Outputs'!G23</f>
        <v>12461.1674325</v>
      </c>
      <c r="I38" s="277">
        <f>'[2]2.5_Outputs'!$H$23</f>
        <v>12476.414755</v>
      </c>
      <c r="J38" s="277">
        <f>'[2]2.5_Outputs'!$I$23</f>
        <v>12486.034446249998</v>
      </c>
      <c r="O38" s="271">
        <f>O37/I37</f>
        <v>1.3920130399347945E-2</v>
      </c>
      <c r="S38" s="456">
        <f>I39</f>
        <v>206.41475499999979</v>
      </c>
      <c r="T38" s="456">
        <f>I44</f>
        <v>92.708150000000046</v>
      </c>
      <c r="U38" s="456">
        <f>I49</f>
        <v>5.0717500000000086</v>
      </c>
      <c r="Y38" s="83"/>
      <c r="Z38" s="83"/>
      <c r="AA38" s="83"/>
      <c r="AB38" s="83"/>
    </row>
    <row r="39" spans="3:28">
      <c r="C39" s="281" t="s">
        <v>204</v>
      </c>
      <c r="D39" s="282">
        <f t="shared" ref="D39:F39" si="4">D38-D37</f>
        <v>1943.9941574999993</v>
      </c>
      <c r="E39" s="282">
        <f t="shared" si="4"/>
        <v>2615.1680500000002</v>
      </c>
      <c r="F39" s="282">
        <f t="shared" si="4"/>
        <v>2558.7900550000013</v>
      </c>
      <c r="G39" s="282">
        <f>G38-G37</f>
        <v>1353.9575850000019</v>
      </c>
      <c r="H39" s="282">
        <f>H38-H37</f>
        <v>2844.1674325000004</v>
      </c>
      <c r="I39" s="283">
        <f>I38-I37</f>
        <v>206.41475499999979</v>
      </c>
      <c r="J39" s="283">
        <f>J38-J37</f>
        <v>45.234446249998655</v>
      </c>
      <c r="O39" s="271">
        <f>O37/J37</f>
        <v>1.3729020641759314E-2</v>
      </c>
      <c r="S39" s="456">
        <f>J39</f>
        <v>45.234446249998655</v>
      </c>
      <c r="T39" s="456">
        <f>J44</f>
        <v>360.15935000000047</v>
      </c>
      <c r="U39" s="456">
        <f>J49</f>
        <v>-45.938249999999982</v>
      </c>
    </row>
    <row r="40" spans="3:28">
      <c r="C40" s="281" t="s">
        <v>203</v>
      </c>
      <c r="D40" s="284">
        <f t="shared" ref="D40:F40" si="5">D39/D38</f>
        <v>0.16127385927845714</v>
      </c>
      <c r="E40" s="284">
        <f t="shared" si="5"/>
        <v>0.21507787697695321</v>
      </c>
      <c r="F40" s="284">
        <f t="shared" si="5"/>
        <v>0.20798453387896987</v>
      </c>
      <c r="G40" s="284">
        <f>G39/G38</f>
        <v>0.10959707249148709</v>
      </c>
      <c r="H40" s="284">
        <f>H39/H38</f>
        <v>0.2282424538396074</v>
      </c>
      <c r="I40" s="680">
        <f>I39/I38</f>
        <v>1.6544396691948526E-2</v>
      </c>
      <c r="J40" s="572">
        <f>J39/J38</f>
        <v>3.6228032562880021E-3</v>
      </c>
      <c r="O40" s="288"/>
    </row>
    <row r="41" spans="3:28">
      <c r="C41" s="278" t="s">
        <v>1</v>
      </c>
      <c r="D41" s="279"/>
      <c r="E41" s="279"/>
      <c r="F41" s="279"/>
      <c r="G41" s="279"/>
      <c r="H41" s="279"/>
      <c r="I41" s="280"/>
      <c r="J41" s="280"/>
      <c r="O41" s="288"/>
    </row>
    <row r="42" spans="3:28" ht="12.75" customHeight="1">
      <c r="C42" s="275" t="s">
        <v>205</v>
      </c>
      <c r="D42" s="276">
        <v>729.5</v>
      </c>
      <c r="E42" s="276">
        <v>494.61</v>
      </c>
      <c r="F42" s="276">
        <v>441</v>
      </c>
      <c r="G42" s="276">
        <v>388.12</v>
      </c>
      <c r="H42" s="276">
        <v>460</v>
      </c>
      <c r="I42" s="277">
        <v>695.75</v>
      </c>
      <c r="J42" s="277">
        <f>'[3]2.5_Outputs'!$I$22</f>
        <v>529.78</v>
      </c>
      <c r="O42" s="288">
        <f>J42-I42</f>
        <v>-165.97000000000003</v>
      </c>
      <c r="P42" s="98" t="s">
        <v>209</v>
      </c>
    </row>
    <row r="43" spans="3:28">
      <c r="C43" s="275" t="s">
        <v>206</v>
      </c>
      <c r="D43" s="276">
        <v>573.26869999999997</v>
      </c>
      <c r="E43" s="276">
        <v>591.78137499999991</v>
      </c>
      <c r="F43" s="276">
        <v>618.86715000000004</v>
      </c>
      <c r="G43" s="276">
        <v>707.42882500000007</v>
      </c>
      <c r="H43" s="276">
        <v>782.09209999999996</v>
      </c>
      <c r="I43" s="277">
        <v>788.45815000000005</v>
      </c>
      <c r="J43" s="277">
        <f>'[3]2.5_Outputs'!$I$23</f>
        <v>889.93935000000045</v>
      </c>
      <c r="O43" s="271">
        <f>O42/I42</f>
        <v>-0.23854832914121454</v>
      </c>
    </row>
    <row r="44" spans="3:28">
      <c r="C44" s="281" t="s">
        <v>204</v>
      </c>
      <c r="D44" s="282">
        <f t="shared" ref="D44:F44" si="6">D43-D42</f>
        <v>-156.23130000000003</v>
      </c>
      <c r="E44" s="282">
        <f t="shared" si="6"/>
        <v>97.171374999999898</v>
      </c>
      <c r="F44" s="282">
        <f t="shared" si="6"/>
        <v>177.86715000000004</v>
      </c>
      <c r="G44" s="282">
        <f>G43-G42</f>
        <v>319.30882500000007</v>
      </c>
      <c r="H44" s="282">
        <f>H43-H42</f>
        <v>322.09209999999996</v>
      </c>
      <c r="I44" s="283">
        <f>I43-I42</f>
        <v>92.708150000000046</v>
      </c>
      <c r="J44" s="283">
        <f>J43-J42</f>
        <v>360.15935000000047</v>
      </c>
      <c r="M44" s="288"/>
      <c r="O44" s="271">
        <f>O42/J42</f>
        <v>-0.31328098455962861</v>
      </c>
    </row>
    <row r="45" spans="3:28">
      <c r="C45" s="281" t="s">
        <v>203</v>
      </c>
      <c r="D45" s="284">
        <f>D44/D43</f>
        <v>-0.27252717617410482</v>
      </c>
      <c r="E45" s="284">
        <f t="shared" ref="E45:F45" si="7">E44/E43</f>
        <v>0.16420147558716242</v>
      </c>
      <c r="F45" s="284">
        <f t="shared" si="7"/>
        <v>0.28740764475865299</v>
      </c>
      <c r="G45" s="284">
        <f>G44/G43</f>
        <v>0.45136530166126609</v>
      </c>
      <c r="H45" s="284">
        <f>H44/H43</f>
        <v>0.41183397709809366</v>
      </c>
      <c r="I45" s="285">
        <f>I44/I43</f>
        <v>0.11758157360666516</v>
      </c>
      <c r="J45" s="285">
        <f>J44/J43</f>
        <v>0.40470100574831341</v>
      </c>
      <c r="O45" s="288"/>
    </row>
    <row r="46" spans="3:28">
      <c r="C46" s="278" t="s">
        <v>51</v>
      </c>
      <c r="D46" s="279"/>
      <c r="E46" s="279"/>
      <c r="F46" s="279"/>
      <c r="G46" s="279"/>
      <c r="H46" s="279"/>
      <c r="I46" s="280"/>
      <c r="J46" s="280"/>
      <c r="O46" s="288"/>
    </row>
    <row r="47" spans="3:28">
      <c r="C47" s="275" t="s">
        <v>205</v>
      </c>
      <c r="D47" s="276">
        <v>335.27</v>
      </c>
      <c r="E47" s="276">
        <v>339.2</v>
      </c>
      <c r="F47" s="276">
        <v>272.26</v>
      </c>
      <c r="G47" s="485">
        <v>252.62</v>
      </c>
      <c r="H47" s="276">
        <v>326.83999999999997</v>
      </c>
      <c r="I47" s="277">
        <v>372.44</v>
      </c>
      <c r="J47" s="673">
        <f>'[4]2.5_Outputs'!$I$22</f>
        <v>432.95</v>
      </c>
      <c r="M47" s="288"/>
      <c r="O47" s="288">
        <f>J47-I47</f>
        <v>60.509999999999991</v>
      </c>
      <c r="P47" s="98" t="s">
        <v>209</v>
      </c>
    </row>
    <row r="48" spans="3:28">
      <c r="C48" s="275" t="s">
        <v>206</v>
      </c>
      <c r="D48" s="276">
        <v>150.69999999999999</v>
      </c>
      <c r="E48" s="276">
        <v>173.1</v>
      </c>
      <c r="F48" s="276">
        <v>223.68599999999998</v>
      </c>
      <c r="G48" s="485">
        <v>252.541</v>
      </c>
      <c r="H48" s="276">
        <v>340.15475000000004</v>
      </c>
      <c r="I48" s="277">
        <v>377.51175000000001</v>
      </c>
      <c r="J48" s="277">
        <f>'[4]2.5_Outputs'!$I$23</f>
        <v>387.01175000000001</v>
      </c>
      <c r="K48" s="83"/>
      <c r="M48" s="288"/>
      <c r="O48" s="271">
        <f>O47/I47</f>
        <v>0.16246912254322843</v>
      </c>
    </row>
    <row r="49" spans="3:21" ht="12.75" customHeight="1">
      <c r="C49" s="281" t="s">
        <v>204</v>
      </c>
      <c r="D49" s="282">
        <f t="shared" ref="D49:E49" si="8">D48-D47</f>
        <v>-184.57</v>
      </c>
      <c r="E49" s="282">
        <f t="shared" si="8"/>
        <v>-166.1</v>
      </c>
      <c r="F49" s="282">
        <f t="shared" ref="F49" si="9">F48-F47</f>
        <v>-48.574000000000012</v>
      </c>
      <c r="G49" s="282">
        <f t="shared" ref="G49:H49" si="10">G48-G47</f>
        <v>-7.9000000000007731E-2</v>
      </c>
      <c r="H49" s="282">
        <f t="shared" si="10"/>
        <v>13.31475000000006</v>
      </c>
      <c r="I49" s="283">
        <f>I48-I47</f>
        <v>5.0717500000000086</v>
      </c>
      <c r="J49" s="283">
        <f>J48-J47</f>
        <v>-45.938249999999982</v>
      </c>
      <c r="K49" s="83"/>
      <c r="O49" s="271">
        <f>O47/J47</f>
        <v>0.13976209723986602</v>
      </c>
      <c r="Q49" s="289"/>
    </row>
    <row r="50" spans="3:21" ht="12.75" thickBot="1">
      <c r="C50" s="286" t="s">
        <v>203</v>
      </c>
      <c r="D50" s="287">
        <f t="shared" ref="D50:F50" si="11">D49/D48</f>
        <v>-1.2247511612475117</v>
      </c>
      <c r="E50" s="287">
        <f t="shared" si="11"/>
        <v>-0.9595609474292317</v>
      </c>
      <c r="F50" s="287">
        <f t="shared" si="11"/>
        <v>-0.2171526157202508</v>
      </c>
      <c r="G50" s="287">
        <f>G49/G48</f>
        <v>-3.1282049251411744E-4</v>
      </c>
      <c r="H50" s="287">
        <f>H49/H48</f>
        <v>3.9143213493270518E-2</v>
      </c>
      <c r="I50" s="486">
        <f>I49/I48</f>
        <v>1.3434681172175458E-2</v>
      </c>
      <c r="J50" s="486">
        <f>J49/J48</f>
        <v>-0.11869988443503325</v>
      </c>
      <c r="K50" s="83"/>
    </row>
    <row r="51" spans="3:21">
      <c r="C51" s="114"/>
      <c r="D51" s="726"/>
      <c r="E51" s="726"/>
      <c r="F51" s="726"/>
      <c r="G51" s="726"/>
      <c r="H51" s="726"/>
      <c r="I51" s="726"/>
      <c r="J51" s="726"/>
      <c r="K51" s="83"/>
    </row>
    <row r="52" spans="3:21" s="116" customFormat="1">
      <c r="C52" s="114"/>
      <c r="D52" s="295"/>
      <c r="E52" s="295"/>
      <c r="F52" s="295"/>
      <c r="G52" s="562"/>
      <c r="H52" s="295"/>
      <c r="I52" s="295"/>
      <c r="J52" s="295"/>
      <c r="K52" s="83"/>
    </row>
    <row r="53" spans="3:21" ht="26.25" customHeight="1" thickBot="1">
      <c r="C53" s="28" t="s">
        <v>448</v>
      </c>
      <c r="F53"/>
      <c r="H53" s="115"/>
      <c r="I53" s="115"/>
      <c r="J53" s="642">
        <f>J49-I49</f>
        <v>-51.009999999999991</v>
      </c>
      <c r="K53" s="83"/>
    </row>
    <row r="54" spans="3:21" ht="14.65" thickBot="1">
      <c r="C54" s="78" t="s">
        <v>53</v>
      </c>
      <c r="D54" s="79" t="s">
        <v>50</v>
      </c>
      <c r="E54" s="79" t="s">
        <v>51</v>
      </c>
      <c r="F54" s="79" t="s">
        <v>1</v>
      </c>
      <c r="G54" s="51"/>
      <c r="I54" s="115"/>
      <c r="O54" s="116"/>
      <c r="P54" s="116"/>
      <c r="Q54" s="116"/>
      <c r="R54" s="116"/>
      <c r="S54" s="116"/>
      <c r="T54" s="116"/>
      <c r="U54" s="116"/>
    </row>
    <row r="55" spans="3:21" ht="14.25">
      <c r="C55" s="31" t="s">
        <v>108</v>
      </c>
      <c r="D55" s="173">
        <v>2233421</v>
      </c>
      <c r="E55" s="173">
        <v>183857</v>
      </c>
      <c r="F55" s="173">
        <v>189616.81615909899</v>
      </c>
      <c r="G55" s="173"/>
      <c r="H55" s="674"/>
      <c r="I55" s="115"/>
      <c r="O55" s="116"/>
      <c r="P55" s="116"/>
      <c r="Q55" s="116"/>
      <c r="R55" s="116"/>
      <c r="S55" s="116"/>
      <c r="T55" s="116"/>
      <c r="U55" s="116"/>
    </row>
    <row r="56" spans="3:21" ht="14.25">
      <c r="C56" s="31" t="s">
        <v>109</v>
      </c>
      <c r="D56" s="173">
        <v>2552420</v>
      </c>
      <c r="E56" s="173">
        <v>346188</v>
      </c>
      <c r="F56" s="173">
        <v>258498.06617693813</v>
      </c>
      <c r="G56" s="173"/>
      <c r="H56" s="674"/>
      <c r="I56" s="83"/>
      <c r="O56" s="116"/>
      <c r="P56" s="116"/>
      <c r="Q56" s="116"/>
      <c r="R56" s="116"/>
      <c r="S56" s="116"/>
      <c r="T56" s="116"/>
      <c r="U56" s="116"/>
    </row>
    <row r="57" spans="3:21" ht="14.25">
      <c r="C57" s="31" t="s">
        <v>110</v>
      </c>
      <c r="D57" s="173">
        <v>2400267</v>
      </c>
      <c r="E57" s="173">
        <v>306158</v>
      </c>
      <c r="F57" s="173">
        <v>210090.54150672312</v>
      </c>
      <c r="G57" s="173"/>
      <c r="H57" s="674"/>
      <c r="O57" s="116"/>
      <c r="P57" s="116"/>
      <c r="Q57" s="116"/>
      <c r="R57" s="116"/>
      <c r="S57" s="116"/>
      <c r="T57" s="116"/>
      <c r="U57" s="116"/>
    </row>
    <row r="58" spans="3:21" ht="14.25">
      <c r="C58" s="31" t="s">
        <v>111</v>
      </c>
      <c r="D58" s="173">
        <v>1986349</v>
      </c>
      <c r="E58" s="173">
        <v>124173</v>
      </c>
      <c r="F58" s="173">
        <v>278778.14340608648</v>
      </c>
      <c r="G58" s="173"/>
      <c r="H58" s="674"/>
      <c r="O58" s="116"/>
      <c r="P58" s="116"/>
      <c r="Q58" s="116"/>
      <c r="R58" s="116"/>
      <c r="S58" s="116"/>
      <c r="T58" s="116"/>
      <c r="U58" s="116"/>
    </row>
    <row r="59" spans="3:21" ht="15" customHeight="1">
      <c r="C59" s="119" t="s">
        <v>112</v>
      </c>
      <c r="D59" s="174">
        <v>1886503</v>
      </c>
      <c r="E59" s="174">
        <v>122642</v>
      </c>
      <c r="F59" s="174">
        <v>203164.27696665018</v>
      </c>
      <c r="G59" s="174"/>
      <c r="H59" s="674"/>
      <c r="O59" s="116"/>
      <c r="P59" s="116"/>
      <c r="Q59" s="116"/>
      <c r="R59" s="116"/>
      <c r="S59" s="116"/>
      <c r="T59" s="116"/>
      <c r="U59" s="116"/>
    </row>
    <row r="60" spans="3:21" ht="14.25">
      <c r="C60" s="120" t="s">
        <v>137</v>
      </c>
      <c r="D60" s="175">
        <v>1594730.6738931057</v>
      </c>
      <c r="E60" s="175">
        <v>122017</v>
      </c>
      <c r="F60" s="175">
        <v>225588.52340744235</v>
      </c>
      <c r="G60" s="571"/>
      <c r="H60" s="674"/>
      <c r="O60" s="116"/>
      <c r="P60" s="116"/>
      <c r="Q60" s="116"/>
      <c r="R60" s="116"/>
      <c r="S60" s="116"/>
      <c r="T60" s="116"/>
      <c r="U60" s="116"/>
    </row>
    <row r="61" spans="3:21" ht="14.25">
      <c r="C61" s="120" t="s">
        <v>260</v>
      </c>
      <c r="D61" s="175">
        <v>1784260.43</v>
      </c>
      <c r="E61" s="175">
        <v>129361</v>
      </c>
      <c r="F61" s="175">
        <v>209156.92</v>
      </c>
      <c r="H61" s="674"/>
      <c r="O61" s="116"/>
      <c r="P61" s="116"/>
      <c r="Q61" s="116"/>
      <c r="R61" s="116"/>
      <c r="S61" s="116"/>
      <c r="T61" s="116"/>
      <c r="U61" s="116"/>
    </row>
    <row r="62" spans="3:21">
      <c r="H62" s="674"/>
      <c r="O62" s="116"/>
      <c r="P62" s="116"/>
      <c r="Q62" s="116"/>
      <c r="R62" s="116"/>
      <c r="S62" s="116"/>
      <c r="T62" s="116"/>
      <c r="U62" s="116"/>
    </row>
    <row r="63" spans="3:21" ht="55.5" customHeight="1">
      <c r="O63" s="116"/>
      <c r="P63" s="116"/>
      <c r="Q63" s="116"/>
      <c r="R63" s="116"/>
      <c r="S63" s="116"/>
      <c r="T63" s="116"/>
      <c r="U63" s="116"/>
    </row>
  </sheetData>
  <mergeCells count="20">
    <mergeCell ref="X27:X28"/>
    <mergeCell ref="C5:H5"/>
    <mergeCell ref="T27:T28"/>
    <mergeCell ref="U27:U28"/>
    <mergeCell ref="V27:V28"/>
    <mergeCell ref="S27:S28"/>
    <mergeCell ref="N22:O22"/>
    <mergeCell ref="C16:H16"/>
    <mergeCell ref="H6:H8"/>
    <mergeCell ref="F22:G22"/>
    <mergeCell ref="P22:Q22"/>
    <mergeCell ref="W27:W28"/>
    <mergeCell ref="C9:H9"/>
    <mergeCell ref="C12:H12"/>
    <mergeCell ref="H13:H15"/>
    <mergeCell ref="D51:J51"/>
    <mergeCell ref="J22:K22"/>
    <mergeCell ref="L22:M22"/>
    <mergeCell ref="D22:E22"/>
    <mergeCell ref="H22:I22"/>
  </mergeCells>
  <phoneticPr fontId="81" type="noConversion"/>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autoPageBreaks="0"/>
  </sheetPr>
  <dimension ref="B3:U92"/>
  <sheetViews>
    <sheetView zoomScale="50" zoomScaleNormal="50" workbookViewId="0">
      <selection activeCell="U35" sqref="U35"/>
    </sheetView>
  </sheetViews>
  <sheetFormatPr defaultColWidth="9" defaultRowHeight="12.4"/>
  <cols>
    <col min="1" max="2" width="9" style="116"/>
    <col min="3" max="3" width="13.64453125" style="116" bestFit="1" customWidth="1"/>
    <col min="4" max="5" width="11.87890625" style="116" bestFit="1" customWidth="1"/>
    <col min="6" max="16384" width="9" style="116"/>
  </cols>
  <sheetData>
    <row r="3" spans="2:21">
      <c r="R3" s="28" t="s">
        <v>193</v>
      </c>
    </row>
    <row r="4" spans="2:21">
      <c r="B4" s="28" t="s">
        <v>192</v>
      </c>
    </row>
    <row r="5" spans="2:21">
      <c r="S5" s="233" t="s">
        <v>187</v>
      </c>
      <c r="T5" s="233"/>
      <c r="U5" s="233"/>
    </row>
    <row r="6" spans="2:21">
      <c r="C6" s="233" t="s">
        <v>1</v>
      </c>
      <c r="D6" s="233" t="s">
        <v>51</v>
      </c>
      <c r="E6" s="233" t="s">
        <v>187</v>
      </c>
      <c r="F6" s="233"/>
      <c r="R6" s="234" t="s">
        <v>108</v>
      </c>
      <c r="S6" s="144">
        <v>7.4089999999999998</v>
      </c>
      <c r="T6" s="144"/>
    </row>
    <row r="7" spans="2:21">
      <c r="B7" s="234" t="s">
        <v>112</v>
      </c>
      <c r="C7" s="144">
        <v>8.3000000000000007</v>
      </c>
      <c r="D7" s="144">
        <v>8</v>
      </c>
      <c r="E7" s="144">
        <v>7.883</v>
      </c>
      <c r="F7" s="144"/>
      <c r="R7" s="234" t="s">
        <v>109</v>
      </c>
      <c r="S7" s="144">
        <v>7.4009999999999998</v>
      </c>
      <c r="T7" s="144"/>
    </row>
    <row r="8" spans="2:21">
      <c r="B8" s="234" t="s">
        <v>137</v>
      </c>
      <c r="C8" s="144">
        <v>8.5</v>
      </c>
      <c r="D8" s="144">
        <v>8.1999999999999993</v>
      </c>
      <c r="E8" s="144">
        <v>7.9189999999999996</v>
      </c>
      <c r="F8" s="144"/>
      <c r="R8" s="234" t="s">
        <v>110</v>
      </c>
      <c r="S8" s="144">
        <v>7.5380000000000003</v>
      </c>
      <c r="T8" s="143"/>
    </row>
    <row r="9" spans="2:21">
      <c r="B9" s="234" t="s">
        <v>260</v>
      </c>
      <c r="C9" s="144">
        <f>'Incentives - tables'!G6</f>
        <v>8.5</v>
      </c>
      <c r="D9" s="144">
        <f>'Incentives - tables'!G7</f>
        <v>8.4</v>
      </c>
      <c r="E9" s="144">
        <f>'Incentives - tables'!G8</f>
        <v>8.64</v>
      </c>
      <c r="F9" s="144"/>
      <c r="R9" s="234" t="s">
        <v>111</v>
      </c>
      <c r="S9" s="144">
        <v>7.41</v>
      </c>
      <c r="T9" s="143"/>
    </row>
    <row r="10" spans="2:21">
      <c r="B10" s="234" t="s">
        <v>116</v>
      </c>
      <c r="C10" s="116">
        <v>7.4</v>
      </c>
      <c r="F10" s="144"/>
      <c r="R10" s="234" t="s">
        <v>112</v>
      </c>
      <c r="S10" s="144">
        <v>7.7430000000000003</v>
      </c>
      <c r="T10" s="143"/>
    </row>
    <row r="11" spans="2:21">
      <c r="F11" s="144"/>
      <c r="R11" s="234" t="s">
        <v>137</v>
      </c>
      <c r="S11" s="144">
        <v>7.9240000000000004</v>
      </c>
      <c r="T11" s="144"/>
    </row>
    <row r="12" spans="2:21">
      <c r="B12" s="234" t="s">
        <v>270</v>
      </c>
      <c r="C12" s="143">
        <f>AVERAGE(C7:C9)</f>
        <v>8.4333333333333336</v>
      </c>
      <c r="D12" s="143">
        <f>AVERAGE(D7:D9)</f>
        <v>8.2000000000000011</v>
      </c>
      <c r="E12" s="143">
        <f>AVERAGE(E7:E9)</f>
        <v>8.147333333333334</v>
      </c>
      <c r="F12" s="144"/>
      <c r="R12" s="234" t="s">
        <v>260</v>
      </c>
      <c r="S12" s="144">
        <f>'Incentives - tables'!G17</f>
        <v>8.2100000000000009</v>
      </c>
    </row>
    <row r="14" spans="2:21">
      <c r="R14" s="234" t="s">
        <v>116</v>
      </c>
      <c r="S14" s="116">
        <v>6.9</v>
      </c>
    </row>
    <row r="15" spans="2:21">
      <c r="R15" s="234" t="s">
        <v>271</v>
      </c>
      <c r="S15" s="144">
        <f>AVERAGE(S6:S12)</f>
        <v>7.6621428571428565</v>
      </c>
    </row>
    <row r="16" spans="2:21" ht="12.75">
      <c r="B16" s="236"/>
    </row>
    <row r="18" spans="2:5">
      <c r="B18" s="1"/>
    </row>
    <row r="24" spans="2:5">
      <c r="B24" s="28" t="s">
        <v>140</v>
      </c>
    </row>
    <row r="25" spans="2:5">
      <c r="C25" s="233" t="s">
        <v>1</v>
      </c>
      <c r="D25" s="233" t="s">
        <v>187</v>
      </c>
      <c r="E25" s="233" t="s">
        <v>51</v>
      </c>
    </row>
    <row r="26" spans="2:5">
      <c r="B26" s="234" t="s">
        <v>108</v>
      </c>
      <c r="C26" s="116">
        <v>42.2</v>
      </c>
      <c r="D26" s="116">
        <v>135</v>
      </c>
      <c r="E26" s="116">
        <v>35.6</v>
      </c>
    </row>
    <row r="27" spans="2:5">
      <c r="B27" s="234" t="s">
        <v>109</v>
      </c>
      <c r="C27" s="211">
        <v>2.8</v>
      </c>
      <c r="D27" s="116">
        <v>8.6999999999999993</v>
      </c>
      <c r="E27" s="116">
        <v>106.1</v>
      </c>
    </row>
    <row r="28" spans="2:5">
      <c r="B28" s="234" t="s">
        <v>110</v>
      </c>
      <c r="C28" s="211">
        <v>13.879999999999999</v>
      </c>
      <c r="D28" s="116">
        <v>4.5</v>
      </c>
      <c r="E28" s="116">
        <v>0</v>
      </c>
    </row>
    <row r="29" spans="2:5">
      <c r="B29" s="234" t="s">
        <v>111</v>
      </c>
      <c r="C29" s="211">
        <v>10.315693333333332</v>
      </c>
      <c r="D29" s="116">
        <v>6.8</v>
      </c>
      <c r="E29" s="116">
        <v>4.4000000000000004</v>
      </c>
    </row>
    <row r="30" spans="2:5">
      <c r="B30" s="234" t="s">
        <v>112</v>
      </c>
      <c r="C30" s="211">
        <v>3.04</v>
      </c>
      <c r="D30" s="116">
        <v>39.700000000000003</v>
      </c>
      <c r="E30" s="116">
        <v>24.3</v>
      </c>
    </row>
    <row r="31" spans="2:5">
      <c r="B31" s="234" t="s">
        <v>137</v>
      </c>
      <c r="C31" s="211">
        <v>39.086958335678325</v>
      </c>
      <c r="D31" s="116">
        <v>12</v>
      </c>
      <c r="E31" s="116">
        <v>0</v>
      </c>
    </row>
    <row r="32" spans="2:5">
      <c r="B32" s="234" t="s">
        <v>260</v>
      </c>
      <c r="C32" s="211">
        <f>'Incentives - tables'!P24</f>
        <v>2</v>
      </c>
      <c r="D32" s="116">
        <v>54.4</v>
      </c>
      <c r="E32" s="116">
        <v>1.1499999999999999</v>
      </c>
    </row>
    <row r="33" spans="2:19">
      <c r="B33" s="234"/>
    </row>
    <row r="34" spans="2:19">
      <c r="B34" s="234" t="s">
        <v>270</v>
      </c>
      <c r="C34" s="211">
        <f>AVERAGE(C26:C32)</f>
        <v>16.188950238430238</v>
      </c>
      <c r="D34" s="211">
        <f>AVERAGE(D26:D32)</f>
        <v>37.299999999999997</v>
      </c>
      <c r="E34" s="211">
        <f>AVERAGE(E26:E32)</f>
        <v>24.50714285714286</v>
      </c>
    </row>
    <row r="37" spans="2:19">
      <c r="C37" s="116" t="s">
        <v>188</v>
      </c>
    </row>
    <row r="38" spans="2:19">
      <c r="C38" s="116" t="s">
        <v>189</v>
      </c>
      <c r="I38" s="180" t="s">
        <v>373</v>
      </c>
    </row>
    <row r="39" spans="2:19">
      <c r="C39" s="116" t="s">
        <v>190</v>
      </c>
    </row>
    <row r="45" spans="2:19">
      <c r="J45" s="180" t="s">
        <v>371</v>
      </c>
      <c r="S45" s="180" t="s">
        <v>372</v>
      </c>
    </row>
    <row r="47" spans="2:19" ht="15.4">
      <c r="B47" s="28" t="s">
        <v>191</v>
      </c>
    </row>
    <row r="49" spans="2:10">
      <c r="C49" s="233" t="s">
        <v>1</v>
      </c>
      <c r="D49" s="233" t="s">
        <v>51</v>
      </c>
      <c r="E49" s="233"/>
      <c r="G49" s="233" t="s">
        <v>50</v>
      </c>
    </row>
    <row r="50" spans="2:10">
      <c r="B50" s="643" t="str">
        <f>B26</f>
        <v>2013-14</v>
      </c>
      <c r="C50" s="116">
        <f>-'Incentives - tables'!T33</f>
        <v>156.23130000000003</v>
      </c>
      <c r="D50" s="116">
        <f>-'Incentives - tables'!U33</f>
        <v>184.57</v>
      </c>
      <c r="F50" s="643" t="s">
        <v>108</v>
      </c>
      <c r="G50" s="116">
        <f>-'Incentives - tables'!S33</f>
        <v>-1943.9941574999993</v>
      </c>
    </row>
    <row r="51" spans="2:10">
      <c r="B51" s="234" t="s">
        <v>109</v>
      </c>
      <c r="C51" s="480">
        <f>-'Incentives - tables'!T34</f>
        <v>-97.171374999999898</v>
      </c>
      <c r="D51" s="480">
        <f>-'Incentives - tables'!U34</f>
        <v>166.1</v>
      </c>
      <c r="F51" s="234" t="s">
        <v>109</v>
      </c>
      <c r="G51" s="480">
        <f>-'Incentives - tables'!S34</f>
        <v>-2615.1680500000002</v>
      </c>
    </row>
    <row r="52" spans="2:10">
      <c r="B52" s="234" t="s">
        <v>110</v>
      </c>
      <c r="C52" s="480">
        <f>-'Incentives - tables'!T35</f>
        <v>-177.86715000000004</v>
      </c>
      <c r="D52" s="480">
        <f>-'Incentives - tables'!U35</f>
        <v>48.574000000000012</v>
      </c>
      <c r="F52" s="234" t="s">
        <v>110</v>
      </c>
      <c r="G52" s="480">
        <f>-'Incentives - tables'!S35</f>
        <v>-2558.7900550000013</v>
      </c>
    </row>
    <row r="53" spans="2:10">
      <c r="B53" s="234" t="s">
        <v>111</v>
      </c>
      <c r="C53" s="480">
        <f>-'Incentives - tables'!T36</f>
        <v>-319.30882500000007</v>
      </c>
      <c r="D53" s="480">
        <f>-'Incentives - tables'!U36</f>
        <v>7.9000000000007731E-2</v>
      </c>
      <c r="F53" s="234" t="s">
        <v>111</v>
      </c>
      <c r="G53" s="480">
        <f>-'Incentives - tables'!S36</f>
        <v>-1353.9575850000019</v>
      </c>
    </row>
    <row r="54" spans="2:10">
      <c r="B54" s="234" t="s">
        <v>112</v>
      </c>
      <c r="C54" s="480">
        <f>-'Incentives - tables'!T37</f>
        <v>-322.09209999999996</v>
      </c>
      <c r="D54" s="480">
        <f>-'Incentives - tables'!U37</f>
        <v>-13.31475000000006</v>
      </c>
      <c r="F54" s="234" t="s">
        <v>112</v>
      </c>
      <c r="G54" s="480">
        <f>-'Incentives - tables'!S37</f>
        <v>-2844.1674325000004</v>
      </c>
    </row>
    <row r="55" spans="2:10">
      <c r="B55" s="234" t="s">
        <v>137</v>
      </c>
      <c r="C55" s="480">
        <f>-'Incentives - tables'!T38</f>
        <v>-92.708150000000046</v>
      </c>
      <c r="D55" s="480">
        <f>-'Incentives - tables'!U38</f>
        <v>-5.0717500000000086</v>
      </c>
      <c r="F55" s="234" t="s">
        <v>137</v>
      </c>
      <c r="G55" s="480">
        <f>-'Incentives - tables'!S38</f>
        <v>-206.41475499999979</v>
      </c>
    </row>
    <row r="56" spans="2:10">
      <c r="B56" s="234" t="s">
        <v>260</v>
      </c>
      <c r="C56" s="480">
        <f>-'Incentives - tables'!T39</f>
        <v>-360.15935000000047</v>
      </c>
      <c r="D56" s="480">
        <f>-'Incentives - tables'!U39</f>
        <v>45.938249999999982</v>
      </c>
      <c r="F56" s="234" t="s">
        <v>260</v>
      </c>
      <c r="G56" s="480">
        <f>-'Incentives - tables'!S39</f>
        <v>-45.234446249998655</v>
      </c>
    </row>
    <row r="60" spans="2:10">
      <c r="E60" s="234"/>
      <c r="F60" s="234"/>
      <c r="G60" s="234"/>
      <c r="H60" s="234"/>
      <c r="I60" s="234"/>
      <c r="J60" s="234"/>
    </row>
    <row r="66" spans="2:5" ht="15.4">
      <c r="B66" s="28" t="s">
        <v>547</v>
      </c>
    </row>
    <row r="68" spans="2:5">
      <c r="C68" s="233" t="s">
        <v>50</v>
      </c>
      <c r="D68" s="233" t="s">
        <v>51</v>
      </c>
      <c r="E68" s="233" t="s">
        <v>1</v>
      </c>
    </row>
    <row r="69" spans="2:5">
      <c r="B69" s="234" t="s">
        <v>109</v>
      </c>
      <c r="C69" s="235">
        <v>2552420</v>
      </c>
      <c r="D69" s="235">
        <f>'Incentives - tables'!E56</f>
        <v>346188</v>
      </c>
      <c r="E69" s="235">
        <v>258498.06617693813</v>
      </c>
    </row>
    <row r="70" spans="2:5">
      <c r="B70" s="234" t="s">
        <v>110</v>
      </c>
      <c r="C70" s="235">
        <v>2400267</v>
      </c>
      <c r="D70" s="235">
        <f>'Incentives - tables'!E57</f>
        <v>306158</v>
      </c>
      <c r="E70" s="235">
        <v>210090.54150672312</v>
      </c>
    </row>
    <row r="71" spans="2:5">
      <c r="B71" s="234" t="s">
        <v>111</v>
      </c>
      <c r="C71" s="235">
        <v>1986349</v>
      </c>
      <c r="D71" s="235">
        <f>'Incentives - tables'!E58</f>
        <v>124173</v>
      </c>
      <c r="E71" s="235">
        <v>278778.14340608648</v>
      </c>
    </row>
    <row r="72" spans="2:5">
      <c r="B72" s="234" t="s">
        <v>112</v>
      </c>
      <c r="C72" s="235">
        <v>1886503</v>
      </c>
      <c r="D72" s="235">
        <f>'Incentives - tables'!E59</f>
        <v>122642</v>
      </c>
      <c r="E72" s="235">
        <v>203164.27696665018</v>
      </c>
    </row>
    <row r="73" spans="2:5">
      <c r="B73" s="234" t="s">
        <v>137</v>
      </c>
      <c r="C73" s="235">
        <v>1594730.6738931057</v>
      </c>
      <c r="D73" s="235">
        <f>'Incentives - tables'!E60</f>
        <v>122017</v>
      </c>
      <c r="E73" s="235">
        <v>225588.52340744235</v>
      </c>
    </row>
    <row r="74" spans="2:5">
      <c r="B74" s="234" t="s">
        <v>260</v>
      </c>
      <c r="C74" s="235">
        <f>'Incentives - tables'!D61</f>
        <v>1784260.43</v>
      </c>
      <c r="D74" s="235">
        <f>'Incentives - tables'!E61</f>
        <v>129361</v>
      </c>
      <c r="E74" s="235">
        <f>'Incentives - tables'!F61</f>
        <v>209156.92</v>
      </c>
    </row>
    <row r="92" spans="18:18">
      <c r="R92" s="1"/>
    </row>
  </sheetData>
  <phoneticPr fontId="81" type="noConversion"/>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autoPageBreaks="0"/>
  </sheetPr>
  <dimension ref="A4:L50"/>
  <sheetViews>
    <sheetView zoomScale="70" zoomScaleNormal="70" workbookViewId="0">
      <selection activeCell="L14" sqref="L14"/>
    </sheetView>
  </sheetViews>
  <sheetFormatPr defaultRowHeight="12.4"/>
  <cols>
    <col min="2" max="2" width="21.87890625" customWidth="1"/>
    <col min="4" max="4" width="10.76171875" customWidth="1"/>
  </cols>
  <sheetData>
    <row r="4" spans="2:12">
      <c r="B4" s="29" t="s">
        <v>148</v>
      </c>
    </row>
    <row r="5" spans="2:12" ht="13.5" customHeight="1" thickBot="1">
      <c r="B5" s="29"/>
    </row>
    <row r="6" spans="2:12" ht="12.4" customHeight="1">
      <c r="B6" s="742"/>
      <c r="C6" s="746" t="s">
        <v>80</v>
      </c>
      <c r="D6" s="747"/>
      <c r="E6" s="747"/>
      <c r="F6" s="747"/>
      <c r="G6" s="747"/>
      <c r="H6" s="748"/>
      <c r="I6" s="749"/>
    </row>
    <row r="7" spans="2:12" ht="12.75" thickBot="1">
      <c r="B7" s="743"/>
      <c r="C7" s="750" t="s">
        <v>459</v>
      </c>
      <c r="D7" s="751"/>
      <c r="E7" s="751"/>
      <c r="F7" s="751"/>
      <c r="G7" s="751"/>
      <c r="H7" s="752"/>
      <c r="I7" s="753"/>
    </row>
    <row r="8" spans="2:12" ht="12.4" customHeight="1">
      <c r="B8" s="742" t="s">
        <v>0</v>
      </c>
      <c r="C8" s="744" t="s">
        <v>72</v>
      </c>
      <c r="D8" s="744" t="s">
        <v>73</v>
      </c>
      <c r="E8" s="744" t="s">
        <v>74</v>
      </c>
      <c r="F8" s="38"/>
      <c r="G8" s="38"/>
      <c r="H8" s="38"/>
      <c r="I8" s="38"/>
    </row>
    <row r="9" spans="2:12" ht="12.75" thickBot="1">
      <c r="B9" s="743"/>
      <c r="C9" s="745"/>
      <c r="D9" s="745"/>
      <c r="E9" s="745"/>
      <c r="F9" s="39" t="s">
        <v>75</v>
      </c>
      <c r="G9" s="80" t="s">
        <v>121</v>
      </c>
      <c r="H9" s="80" t="s">
        <v>139</v>
      </c>
      <c r="I9" s="80" t="s">
        <v>386</v>
      </c>
    </row>
    <row r="10" spans="2:12" ht="12.75" thickBot="1">
      <c r="B10" s="81" t="s">
        <v>50</v>
      </c>
      <c r="C10" s="577">
        <v>6.5413012095217899</v>
      </c>
      <c r="D10" s="577">
        <v>7.6695905859271365</v>
      </c>
      <c r="E10" s="577">
        <v>8.4710004075724683</v>
      </c>
      <c r="F10" s="578">
        <v>5.7800109883272572</v>
      </c>
      <c r="G10" s="578">
        <v>4.8265033414742486</v>
      </c>
      <c r="H10" s="579">
        <v>7.6317231197269582</v>
      </c>
      <c r="I10" s="579">
        <v>7.6232970300000034</v>
      </c>
    </row>
    <row r="11" spans="2:12" ht="12.75" thickBot="1">
      <c r="B11" s="81" t="s">
        <v>1</v>
      </c>
      <c r="C11" s="577">
        <v>0.77184141668354966</v>
      </c>
      <c r="D11" s="577">
        <v>0.79223780354828555</v>
      </c>
      <c r="E11" s="577">
        <v>0.99589261840459287</v>
      </c>
      <c r="F11" s="578">
        <v>1.3171467007235851</v>
      </c>
      <c r="G11" s="578">
        <v>1.3852038101039741</v>
      </c>
      <c r="H11" s="579">
        <v>1.3293099697750843</v>
      </c>
      <c r="I11" s="579">
        <v>1.6852410250086955</v>
      </c>
      <c r="L11" s="480"/>
    </row>
    <row r="12" spans="2:12" ht="12.75" thickBot="1">
      <c r="B12" s="81" t="s">
        <v>51</v>
      </c>
      <c r="C12" s="577">
        <v>1.3688331122186421</v>
      </c>
      <c r="D12" s="577">
        <v>1.5903910358309541</v>
      </c>
      <c r="E12" s="577">
        <v>1.3359284700980014</v>
      </c>
      <c r="F12" s="578">
        <v>1.4949675736810972</v>
      </c>
      <c r="G12" s="578">
        <v>0.83313598069097927</v>
      </c>
      <c r="H12" s="579">
        <v>0.7724929264263628</v>
      </c>
      <c r="I12" s="579">
        <v>0.62701090999999998</v>
      </c>
    </row>
    <row r="13" spans="2:12" ht="13.5" customHeight="1">
      <c r="C13" s="674"/>
      <c r="D13" s="674"/>
      <c r="E13" s="674"/>
      <c r="F13" s="674"/>
      <c r="G13" s="674"/>
      <c r="H13" s="674"/>
      <c r="I13" s="674"/>
      <c r="J13" s="674"/>
      <c r="K13" s="674"/>
    </row>
    <row r="15" spans="2:12">
      <c r="B15" s="480" t="s">
        <v>452</v>
      </c>
    </row>
    <row r="16" spans="2:12" ht="12.75" customHeight="1">
      <c r="B16" s="480"/>
      <c r="C16" s="83"/>
      <c r="D16" s="83"/>
      <c r="E16" s="83"/>
    </row>
    <row r="17" spans="1:5">
      <c r="A17" s="82"/>
      <c r="B17" s="87"/>
      <c r="C17" s="83"/>
      <c r="D17" s="83"/>
      <c r="E17" s="83"/>
    </row>
    <row r="18" spans="1:5">
      <c r="A18" s="82"/>
      <c r="B18" s="88" t="s">
        <v>450</v>
      </c>
    </row>
    <row r="19" spans="1:5">
      <c r="B19" s="179" t="s">
        <v>451</v>
      </c>
      <c r="C19" s="100"/>
      <c r="D19" s="100"/>
      <c r="E19" s="100"/>
    </row>
    <row r="20" spans="1:5" s="480" customFormat="1"/>
    <row r="21" spans="1:5">
      <c r="B21" s="30" t="s">
        <v>449</v>
      </c>
    </row>
    <row r="23" spans="1:5" ht="12.75" customHeight="1"/>
    <row r="25" spans="1:5" ht="13.5" customHeight="1"/>
    <row r="26" spans="1:5" ht="12.75" customHeight="1"/>
    <row r="32" spans="1:5" ht="15" customHeight="1"/>
    <row r="36" ht="55.5" customHeight="1"/>
    <row r="43" ht="13.5" customHeight="1"/>
    <row r="50" ht="13.5" customHeight="1"/>
  </sheetData>
  <mergeCells count="7">
    <mergeCell ref="B6:B7"/>
    <mergeCell ref="B8:B9"/>
    <mergeCell ref="C8:C9"/>
    <mergeCell ref="D8:D9"/>
    <mergeCell ref="E8:E9"/>
    <mergeCell ref="C6:I6"/>
    <mergeCell ref="C7:I7"/>
  </mergeCells>
  <phoneticPr fontId="81" type="noConversion"/>
  <hyperlinks>
    <hyperlink ref="B19" r:id="rId1" xr:uid="{6D56758D-F01B-44BC-AB16-69234BE9217A}"/>
  </hyperlinks>
  <pageMargins left="0.7" right="0.7" top="0.75" bottom="0.75" header="0.3" footer="0.3"/>
  <pageSetup orientation="portrait" r:id="rId2"/>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autoPageBreaks="0"/>
  </sheetPr>
  <dimension ref="B1:T53"/>
  <sheetViews>
    <sheetView topLeftCell="B1" zoomScale="70" zoomScaleNormal="70" workbookViewId="0">
      <selection activeCell="F51" sqref="F51"/>
    </sheetView>
  </sheetViews>
  <sheetFormatPr defaultRowHeight="12.4"/>
  <cols>
    <col min="3" max="3" width="23.76171875" customWidth="1"/>
    <col min="4" max="4" width="21.234375" customWidth="1"/>
    <col min="5" max="5" width="11" customWidth="1"/>
    <col min="12" max="12" width="34.3515625" customWidth="1"/>
  </cols>
  <sheetData>
    <row r="1" spans="2:20">
      <c r="B1" s="58"/>
      <c r="C1" s="58"/>
      <c r="E1" s="58"/>
      <c r="F1" s="58"/>
      <c r="G1" s="58"/>
      <c r="H1" s="58"/>
      <c r="I1" s="58"/>
      <c r="J1" s="58"/>
      <c r="K1" s="58"/>
      <c r="L1" s="58"/>
      <c r="M1" s="58"/>
      <c r="N1" s="58"/>
      <c r="O1" s="58"/>
      <c r="P1" s="58"/>
      <c r="Q1" s="58"/>
      <c r="R1" s="58"/>
      <c r="S1" s="58"/>
      <c r="T1" s="58"/>
    </row>
    <row r="2" spans="2:20">
      <c r="B2" s="58"/>
      <c r="C2" s="58"/>
      <c r="D2" s="58"/>
      <c r="E2" s="58"/>
      <c r="F2" s="58"/>
      <c r="G2" s="58"/>
      <c r="H2" s="58"/>
      <c r="I2" s="58"/>
      <c r="J2" s="58"/>
      <c r="K2" s="58"/>
      <c r="L2" s="58"/>
      <c r="M2" s="58"/>
      <c r="N2" s="58"/>
      <c r="O2" s="58"/>
      <c r="P2" s="58"/>
      <c r="Q2" s="58"/>
      <c r="R2" s="58"/>
      <c r="S2" s="58"/>
      <c r="T2" s="58"/>
    </row>
    <row r="3" spans="2:20" ht="14.25">
      <c r="B3" s="58"/>
      <c r="C3" s="50"/>
      <c r="D3" s="51"/>
      <c r="E3" s="51"/>
      <c r="F3" s="51"/>
      <c r="G3" s="51"/>
      <c r="H3" s="51"/>
      <c r="I3" s="58"/>
      <c r="J3" s="58"/>
      <c r="K3" s="58"/>
      <c r="L3" s="58"/>
      <c r="M3" s="58"/>
      <c r="N3" s="58"/>
      <c r="O3" s="58"/>
      <c r="P3" s="58"/>
      <c r="Q3" s="58"/>
      <c r="R3" s="58"/>
      <c r="S3" s="58"/>
      <c r="T3" s="58"/>
    </row>
    <row r="4" spans="2:20" ht="14.25">
      <c r="B4" s="58"/>
      <c r="C4" s="54"/>
      <c r="I4" s="58"/>
      <c r="J4" s="58"/>
      <c r="K4" s="58"/>
      <c r="L4" s="58"/>
      <c r="M4" s="58"/>
      <c r="N4" s="58"/>
      <c r="O4" s="58"/>
      <c r="P4" s="58"/>
      <c r="Q4" s="58"/>
      <c r="R4" s="58"/>
      <c r="S4" s="58"/>
      <c r="T4" s="58"/>
    </row>
    <row r="5" spans="2:20">
      <c r="B5" s="58"/>
      <c r="C5" s="58"/>
      <c r="D5" s="58"/>
      <c r="E5" s="58"/>
      <c r="F5" s="58"/>
      <c r="G5" s="58"/>
      <c r="H5" s="58"/>
      <c r="I5" s="58"/>
      <c r="J5" s="58"/>
      <c r="K5" s="58"/>
      <c r="L5" s="58"/>
      <c r="M5" s="58"/>
      <c r="N5" s="58"/>
      <c r="O5" s="58"/>
      <c r="P5" s="58"/>
      <c r="Q5" s="58"/>
      <c r="R5" s="58"/>
      <c r="S5" s="58"/>
      <c r="T5" s="58"/>
    </row>
    <row r="6" spans="2:20">
      <c r="B6" s="58"/>
      <c r="C6" s="58"/>
      <c r="D6" s="28" t="s">
        <v>454</v>
      </c>
      <c r="E6" s="58"/>
      <c r="F6" s="58"/>
      <c r="G6" s="58"/>
      <c r="H6" s="58"/>
      <c r="I6" s="58"/>
      <c r="J6" s="58"/>
      <c r="K6" s="58"/>
      <c r="L6" s="58"/>
      <c r="M6" s="58"/>
      <c r="N6" s="58"/>
      <c r="O6" s="58"/>
      <c r="P6" s="58"/>
      <c r="Q6" s="58"/>
      <c r="R6" s="58"/>
      <c r="S6" s="58"/>
      <c r="T6" s="58"/>
    </row>
    <row r="7" spans="2:20">
      <c r="B7" s="58"/>
      <c r="C7" s="55"/>
      <c r="D7" s="58"/>
      <c r="E7" s="58"/>
      <c r="F7" s="58"/>
      <c r="G7" s="58"/>
      <c r="H7" s="58"/>
      <c r="I7" s="58"/>
      <c r="J7" s="58"/>
      <c r="K7" s="58"/>
      <c r="L7" s="58"/>
      <c r="M7" s="58"/>
      <c r="N7" s="58"/>
      <c r="O7" s="58"/>
      <c r="P7" s="58"/>
      <c r="Q7" s="58"/>
      <c r="R7" s="58"/>
      <c r="S7" s="58"/>
      <c r="T7" s="58"/>
    </row>
    <row r="8" spans="2:20" ht="12.75" thickBot="1">
      <c r="B8" s="58"/>
      <c r="C8" s="55"/>
      <c r="D8" s="345" t="s">
        <v>227</v>
      </c>
      <c r="E8" s="116"/>
      <c r="F8" s="116"/>
      <c r="G8" s="116"/>
      <c r="H8" s="116"/>
      <c r="I8" s="116"/>
      <c r="J8" s="116"/>
      <c r="K8" s="58"/>
      <c r="L8" s="58"/>
      <c r="M8" s="58"/>
      <c r="N8" s="58"/>
      <c r="O8" s="58"/>
      <c r="P8" s="58"/>
      <c r="Q8" s="58"/>
      <c r="R8" s="58"/>
      <c r="S8" s="58"/>
      <c r="T8" s="58"/>
    </row>
    <row r="9" spans="2:20" ht="12.75" thickBot="1">
      <c r="B9" s="58"/>
      <c r="C9" s="49"/>
      <c r="D9" s="754" t="s">
        <v>228</v>
      </c>
      <c r="E9" s="755"/>
      <c r="F9" s="346">
        <v>42095</v>
      </c>
      <c r="G9" s="347">
        <v>42461</v>
      </c>
      <c r="H9" s="347">
        <v>42826</v>
      </c>
      <c r="I9" s="347">
        <v>43191</v>
      </c>
      <c r="J9" s="348">
        <v>43556</v>
      </c>
      <c r="K9" s="348">
        <v>43922</v>
      </c>
      <c r="L9" s="58"/>
      <c r="M9" s="58"/>
      <c r="N9" s="58"/>
      <c r="O9" s="58"/>
      <c r="P9" s="58"/>
      <c r="Q9" s="58"/>
      <c r="R9" s="58"/>
      <c r="S9" s="58"/>
      <c r="T9" s="58"/>
    </row>
    <row r="10" spans="2:20">
      <c r="B10" s="58"/>
      <c r="C10" s="58"/>
      <c r="D10" s="756" t="s">
        <v>229</v>
      </c>
      <c r="E10" s="757"/>
      <c r="F10" s="349"/>
      <c r="G10" s="350">
        <f>'[5]Customer Bills Tables Nom'!G10*'[5]Customer Bills Tables Real'!G$4</f>
        <v>89.867112049569059</v>
      </c>
      <c r="H10" s="350">
        <f>'[5]Customer Bills Tables Nom'!H10*'[5]Customer Bills Tables Real'!H$4</f>
        <v>0</v>
      </c>
      <c r="I10" s="350">
        <f>'[5]Customer Bills Tables Nom'!I10*'[5]Customer Bills Tables Real'!I$4</f>
        <v>0</v>
      </c>
      <c r="J10" s="350">
        <f>'[5]Customer Bills Tables Nom'!J10*'[5]Customer Bills Tables Real'!J$4</f>
        <v>0</v>
      </c>
      <c r="K10" s="350">
        <f>'[5]Customer Bills Tables Nom'!K10*'[5]Customer Bills Tables Real'!K$4</f>
        <v>0</v>
      </c>
      <c r="L10" s="58"/>
      <c r="M10" s="58"/>
      <c r="N10" s="58"/>
      <c r="O10" s="58"/>
      <c r="P10" s="58"/>
      <c r="Q10" s="58"/>
      <c r="R10" s="58"/>
      <c r="S10" s="58"/>
      <c r="T10" s="58"/>
    </row>
    <row r="11" spans="2:20">
      <c r="B11" s="58"/>
      <c r="C11" s="58"/>
      <c r="D11" s="351" t="s">
        <v>230</v>
      </c>
      <c r="E11" s="352" t="s">
        <v>231</v>
      </c>
      <c r="F11" s="353"/>
      <c r="G11" s="353"/>
      <c r="H11" s="353"/>
      <c r="I11" s="353"/>
      <c r="J11" s="354"/>
      <c r="K11" s="354"/>
      <c r="L11" s="58"/>
      <c r="M11" s="58"/>
      <c r="N11" s="58"/>
      <c r="O11" s="58"/>
      <c r="P11" s="58"/>
      <c r="Q11" s="58"/>
      <c r="R11" s="58"/>
      <c r="S11" s="58"/>
      <c r="T11" s="58"/>
    </row>
    <row r="12" spans="2:20">
      <c r="B12" s="58"/>
      <c r="C12" s="58"/>
      <c r="D12" s="355" t="s">
        <v>232</v>
      </c>
      <c r="E12" s="356" t="s">
        <v>233</v>
      </c>
      <c r="F12" s="368">
        <v>32.913062573242655</v>
      </c>
      <c r="G12" s="368">
        <v>37.598093715232601</v>
      </c>
      <c r="H12" s="368">
        <v>37.453515024944338</v>
      </c>
      <c r="I12" s="368">
        <v>36.543193388725207</v>
      </c>
      <c r="J12" s="366">
        <v>37.560504577086661</v>
      </c>
      <c r="K12" s="366">
        <v>34.122133899447668</v>
      </c>
      <c r="L12" s="58"/>
      <c r="M12" s="58"/>
      <c r="N12" s="58"/>
      <c r="O12" s="58"/>
      <c r="P12" s="58"/>
      <c r="Q12" s="58"/>
      <c r="R12" s="58"/>
      <c r="S12" s="58"/>
      <c r="T12" s="58"/>
    </row>
    <row r="13" spans="2:20">
      <c r="B13" s="58"/>
      <c r="C13" s="58"/>
      <c r="D13" s="355" t="s">
        <v>234</v>
      </c>
      <c r="E13" s="356" t="s">
        <v>235</v>
      </c>
      <c r="F13" s="368">
        <v>28.801950052495609</v>
      </c>
      <c r="G13" s="368">
        <v>44.537407085020448</v>
      </c>
      <c r="H13" s="368">
        <v>37.712601750357607</v>
      </c>
      <c r="I13" s="368">
        <v>30.607832928931458</v>
      </c>
      <c r="J13" s="366">
        <v>30.931496616135405</v>
      </c>
      <c r="K13" s="366">
        <v>27.734773748972543</v>
      </c>
      <c r="L13" s="58"/>
      <c r="M13" s="58"/>
      <c r="N13" s="58"/>
      <c r="O13" s="58"/>
      <c r="P13" s="58"/>
      <c r="Q13" s="58"/>
      <c r="R13" s="58"/>
      <c r="S13" s="58"/>
      <c r="T13" s="58"/>
    </row>
    <row r="14" spans="2:20">
      <c r="B14" s="58"/>
      <c r="C14" s="58"/>
      <c r="D14" s="355" t="s">
        <v>236</v>
      </c>
      <c r="E14" s="356" t="s">
        <v>237</v>
      </c>
      <c r="F14" s="368">
        <v>35.385938183042207</v>
      </c>
      <c r="G14" s="368">
        <v>43.713652922789784</v>
      </c>
      <c r="H14" s="368">
        <v>38.502806023929253</v>
      </c>
      <c r="I14" s="368">
        <v>35.78773299359537</v>
      </c>
      <c r="J14" s="366">
        <v>36.877623197725086</v>
      </c>
      <c r="K14" s="366">
        <v>33.686042272892685</v>
      </c>
      <c r="L14" s="58"/>
      <c r="M14" s="58"/>
      <c r="N14" s="58"/>
      <c r="O14" s="58"/>
      <c r="P14" s="58"/>
      <c r="Q14" s="58"/>
      <c r="R14" s="58"/>
      <c r="S14" s="58"/>
      <c r="T14" s="58"/>
    </row>
    <row r="15" spans="2:20">
      <c r="B15" s="58"/>
      <c r="C15" s="58"/>
      <c r="D15" s="355" t="s">
        <v>238</v>
      </c>
      <c r="E15" s="356" t="s">
        <v>239</v>
      </c>
      <c r="F15" s="368">
        <v>36.563262198727074</v>
      </c>
      <c r="G15" s="368">
        <v>41.451623551795912</v>
      </c>
      <c r="H15" s="368">
        <v>40.409239440672948</v>
      </c>
      <c r="I15" s="368">
        <v>40.980202896670662</v>
      </c>
      <c r="J15" s="366">
        <v>41.399169678852296</v>
      </c>
      <c r="K15" s="366">
        <v>38.285200511797704</v>
      </c>
      <c r="L15" s="58"/>
      <c r="M15" s="58"/>
      <c r="N15" s="58"/>
      <c r="O15" s="58"/>
      <c r="P15" s="58"/>
      <c r="Q15" s="58"/>
      <c r="R15" s="58"/>
      <c r="S15" s="58"/>
      <c r="T15" s="58"/>
    </row>
    <row r="16" spans="2:20">
      <c r="B16" s="58"/>
      <c r="C16" s="58"/>
      <c r="D16" s="355" t="s">
        <v>240</v>
      </c>
      <c r="E16" s="356" t="s">
        <v>241</v>
      </c>
      <c r="F16" s="368">
        <v>34.768151223143249</v>
      </c>
      <c r="G16" s="368">
        <v>41.453640193447995</v>
      </c>
      <c r="H16" s="368">
        <v>39.165386488369805</v>
      </c>
      <c r="I16" s="368">
        <v>38.589770084538166</v>
      </c>
      <c r="J16" s="366">
        <v>39.847914663591915</v>
      </c>
      <c r="K16" s="366">
        <v>36.537555753284863</v>
      </c>
      <c r="L16" s="58"/>
      <c r="M16" s="58"/>
      <c r="N16" s="58"/>
      <c r="O16" s="58"/>
      <c r="P16" s="58"/>
      <c r="Q16" s="58"/>
      <c r="R16" s="58"/>
      <c r="S16" s="58"/>
      <c r="T16" s="58"/>
    </row>
    <row r="17" spans="2:20">
      <c r="B17" s="58"/>
      <c r="C17" s="58"/>
      <c r="D17" s="355" t="s">
        <v>242</v>
      </c>
      <c r="E17" s="356" t="s">
        <v>243</v>
      </c>
      <c r="F17" s="368">
        <v>34.968292692103873</v>
      </c>
      <c r="G17" s="368">
        <v>41.789153449557965</v>
      </c>
      <c r="H17" s="368">
        <v>36.333051763093117</v>
      </c>
      <c r="I17" s="368">
        <v>33.720285913133722</v>
      </c>
      <c r="J17" s="366">
        <v>34.767034775057454</v>
      </c>
      <c r="K17" s="366">
        <v>32.412275705304836</v>
      </c>
      <c r="L17" s="58"/>
      <c r="M17" s="58"/>
      <c r="N17" s="58"/>
      <c r="O17" s="58"/>
      <c r="P17" s="58"/>
      <c r="Q17" s="58"/>
      <c r="R17" s="58"/>
      <c r="S17" s="58"/>
      <c r="T17" s="58"/>
    </row>
    <row r="18" spans="2:20">
      <c r="B18" s="58"/>
      <c r="C18" s="58"/>
      <c r="D18" s="355" t="s">
        <v>244</v>
      </c>
      <c r="E18" s="356" t="s">
        <v>245</v>
      </c>
      <c r="F18" s="368">
        <v>38.022927544759824</v>
      </c>
      <c r="G18" s="368">
        <v>44.088082849228414</v>
      </c>
      <c r="H18" s="368">
        <v>46.124354973654903</v>
      </c>
      <c r="I18" s="368">
        <v>45.328051551971427</v>
      </c>
      <c r="J18" s="366">
        <v>45.640916180456486</v>
      </c>
      <c r="K18" s="366">
        <v>43.979817307326798</v>
      </c>
      <c r="L18" s="58"/>
      <c r="M18" s="58"/>
      <c r="N18" s="58"/>
      <c r="O18" s="58"/>
      <c r="P18" s="58"/>
      <c r="Q18" s="58"/>
      <c r="R18" s="58"/>
      <c r="S18" s="58"/>
      <c r="T18" s="58"/>
    </row>
    <row r="19" spans="2:20">
      <c r="B19" s="58"/>
      <c r="C19" s="58"/>
      <c r="D19" s="355" t="s">
        <v>246</v>
      </c>
      <c r="E19" s="356" t="s">
        <v>247</v>
      </c>
      <c r="F19" s="368">
        <v>40.424397784252811</v>
      </c>
      <c r="G19" s="368">
        <v>42.848246311592078</v>
      </c>
      <c r="H19" s="368">
        <v>34.825211934656032</v>
      </c>
      <c r="I19" s="368">
        <v>37.686328919671546</v>
      </c>
      <c r="J19" s="366">
        <v>37.867335683263562</v>
      </c>
      <c r="K19" s="366">
        <v>34.431530136504271</v>
      </c>
      <c r="L19" s="58"/>
      <c r="M19" s="58"/>
      <c r="N19" s="58"/>
      <c r="O19" s="58"/>
      <c r="P19" s="58"/>
      <c r="Q19" s="58"/>
      <c r="R19" s="58"/>
      <c r="S19" s="58"/>
      <c r="T19" s="58"/>
    </row>
    <row r="20" spans="2:20">
      <c r="B20" s="58"/>
      <c r="C20" s="58"/>
      <c r="D20" s="355" t="s">
        <v>248</v>
      </c>
      <c r="E20" s="356" t="s">
        <v>249</v>
      </c>
      <c r="F20" s="368">
        <v>39.037251297379932</v>
      </c>
      <c r="G20" s="368">
        <v>43.775588250424171</v>
      </c>
      <c r="H20" s="368">
        <v>47.413795280004294</v>
      </c>
      <c r="I20" s="368">
        <v>47.234736639047085</v>
      </c>
      <c r="J20" s="366">
        <v>47.566899998407195</v>
      </c>
      <c r="K20" s="366">
        <v>44.323270204478497</v>
      </c>
      <c r="L20" s="58"/>
      <c r="M20" s="58"/>
      <c r="N20" s="58"/>
      <c r="O20" s="58"/>
      <c r="P20" s="58"/>
      <c r="Q20" s="58"/>
      <c r="R20" s="58"/>
      <c r="S20" s="58"/>
      <c r="T20" s="58"/>
    </row>
    <row r="21" spans="2:20">
      <c r="B21" s="58"/>
      <c r="C21" s="58"/>
      <c r="D21" s="355" t="s">
        <v>250</v>
      </c>
      <c r="E21" s="356" t="s">
        <v>251</v>
      </c>
      <c r="F21" s="368">
        <v>37.771044430646896</v>
      </c>
      <c r="G21" s="368">
        <v>42.405334650753808</v>
      </c>
      <c r="H21" s="368">
        <v>45.652372211038319</v>
      </c>
      <c r="I21" s="368">
        <v>44.185076650104001</v>
      </c>
      <c r="J21" s="366">
        <v>45.411027498096971</v>
      </c>
      <c r="K21" s="366">
        <v>41.571534608720413</v>
      </c>
      <c r="L21" s="58"/>
      <c r="M21" s="58"/>
      <c r="N21" s="58"/>
      <c r="O21" s="58"/>
      <c r="P21" s="58"/>
      <c r="Q21" s="58"/>
      <c r="R21" s="58"/>
      <c r="S21" s="58"/>
      <c r="T21" s="58"/>
    </row>
    <row r="22" spans="2:20">
      <c r="B22" s="58"/>
      <c r="C22" s="58"/>
      <c r="D22" s="355" t="s">
        <v>252</v>
      </c>
      <c r="E22" s="356" t="s">
        <v>253</v>
      </c>
      <c r="F22" s="368">
        <v>24.13758161611532</v>
      </c>
      <c r="G22" s="368">
        <v>41.204711525268785</v>
      </c>
      <c r="H22" s="368">
        <v>27.277393791515131</v>
      </c>
      <c r="I22" s="368">
        <v>24.572127596089878</v>
      </c>
      <c r="J22" s="366">
        <v>24.594547152238697</v>
      </c>
      <c r="K22" s="366">
        <v>21.220346475612892</v>
      </c>
      <c r="L22" s="58"/>
      <c r="M22" s="58"/>
      <c r="N22" s="58"/>
      <c r="O22" s="58"/>
      <c r="P22" s="58"/>
      <c r="Q22" s="58"/>
      <c r="R22" s="58"/>
      <c r="S22" s="58"/>
      <c r="T22" s="58"/>
    </row>
    <row r="23" spans="2:20">
      <c r="B23" s="58"/>
      <c r="C23" s="58"/>
      <c r="D23" s="355" t="s">
        <v>254</v>
      </c>
      <c r="E23" s="356" t="s">
        <v>255</v>
      </c>
      <c r="F23" s="368">
        <v>38.787737513116177</v>
      </c>
      <c r="G23" s="368">
        <v>43.323242671326142</v>
      </c>
      <c r="H23" s="368">
        <v>42.58485827052597</v>
      </c>
      <c r="I23" s="368">
        <v>37.37906379406602</v>
      </c>
      <c r="J23" s="366">
        <v>38.336352038935708</v>
      </c>
      <c r="K23" s="366">
        <v>35.45452887576603</v>
      </c>
      <c r="L23" s="58"/>
      <c r="M23" s="58"/>
      <c r="N23" s="58"/>
      <c r="O23" s="58"/>
      <c r="P23" s="58"/>
      <c r="Q23" s="58"/>
      <c r="R23" s="58"/>
      <c r="S23" s="58"/>
      <c r="T23" s="58"/>
    </row>
    <row r="24" spans="2:20">
      <c r="B24" s="58"/>
      <c r="C24" s="58"/>
      <c r="D24" s="355" t="s">
        <v>256</v>
      </c>
      <c r="E24" s="356" t="s">
        <v>257</v>
      </c>
      <c r="F24" s="368">
        <v>22.849042563376898</v>
      </c>
      <c r="G24" s="368">
        <v>38.076569448952178</v>
      </c>
      <c r="H24" s="368">
        <v>39.552881500117238</v>
      </c>
      <c r="I24" s="368">
        <v>21.730238835813797</v>
      </c>
      <c r="J24" s="366">
        <v>16.983293862042977</v>
      </c>
      <c r="K24" s="366">
        <v>16.265477776303594</v>
      </c>
      <c r="L24" s="364" t="s">
        <v>262</v>
      </c>
      <c r="M24" s="58"/>
      <c r="N24" s="58"/>
      <c r="O24" s="58"/>
      <c r="P24" s="58"/>
      <c r="Q24" s="58"/>
      <c r="R24" s="58"/>
      <c r="S24" s="58"/>
      <c r="T24" s="58"/>
    </row>
    <row r="25" spans="2:20" ht="12.75" thickBot="1">
      <c r="B25" s="58"/>
      <c r="C25" s="58"/>
      <c r="D25" s="357" t="s">
        <v>258</v>
      </c>
      <c r="E25" s="358" t="s">
        <v>259</v>
      </c>
      <c r="F25" s="369">
        <v>40.345055822213865</v>
      </c>
      <c r="G25" s="369">
        <v>42.075332839169349</v>
      </c>
      <c r="H25" s="369">
        <v>44.075149615413707</v>
      </c>
      <c r="I25" s="369">
        <v>44.433210161307954</v>
      </c>
      <c r="J25" s="367">
        <v>45.022581458399443</v>
      </c>
      <c r="K25" s="367">
        <v>41.859699218473601</v>
      </c>
      <c r="L25" s="365">
        <f>AVERAGE(J12:J25)</f>
        <v>37.343335527163568</v>
      </c>
      <c r="M25" s="58"/>
      <c r="N25" s="58"/>
      <c r="O25" s="58"/>
      <c r="P25" s="58"/>
      <c r="Q25" s="58"/>
      <c r="R25" s="58"/>
      <c r="S25" s="58"/>
      <c r="T25" s="58"/>
    </row>
    <row r="26" spans="2:20">
      <c r="B26" s="58"/>
      <c r="C26" s="58"/>
      <c r="I26" s="58"/>
      <c r="J26" s="58"/>
      <c r="K26" s="58"/>
      <c r="L26" s="58"/>
      <c r="M26" s="58"/>
      <c r="N26" s="58"/>
      <c r="O26" s="58"/>
      <c r="P26" s="58"/>
      <c r="Q26" s="58"/>
      <c r="R26" s="58"/>
      <c r="S26" s="58"/>
      <c r="T26" s="58"/>
    </row>
    <row r="27" spans="2:20">
      <c r="B27" s="58"/>
      <c r="C27" s="58"/>
      <c r="I27" s="58"/>
      <c r="J27" s="58"/>
      <c r="K27" s="58"/>
      <c r="L27" s="58"/>
      <c r="M27" s="58"/>
      <c r="N27" s="58"/>
      <c r="O27" s="58"/>
      <c r="P27" s="58"/>
      <c r="Q27" s="58"/>
      <c r="R27" s="58"/>
      <c r="S27" s="58"/>
      <c r="T27" s="58"/>
    </row>
    <row r="28" spans="2:20">
      <c r="B28" s="58"/>
      <c r="C28" s="58"/>
      <c r="D28" s="28" t="s">
        <v>261</v>
      </c>
      <c r="E28" s="143"/>
      <c r="F28" s="143"/>
      <c r="G28" s="143"/>
      <c r="H28" s="143"/>
      <c r="I28" s="143"/>
      <c r="J28" s="58"/>
      <c r="K28" s="58"/>
      <c r="L28" s="58"/>
      <c r="M28" s="58"/>
      <c r="N28" s="58"/>
      <c r="O28" s="58"/>
      <c r="P28" s="58"/>
      <c r="Q28" s="58"/>
      <c r="R28" s="58"/>
      <c r="S28" s="58"/>
      <c r="T28" s="58"/>
    </row>
    <row r="29" spans="2:20">
      <c r="B29" s="58"/>
      <c r="C29" s="58"/>
      <c r="D29" s="359"/>
      <c r="E29" s="359"/>
      <c r="F29" s="360" t="s">
        <v>110</v>
      </c>
      <c r="G29" s="360" t="s">
        <v>111</v>
      </c>
      <c r="H29" s="360" t="s">
        <v>112</v>
      </c>
      <c r="I29" s="360" t="s">
        <v>137</v>
      </c>
      <c r="J29" s="360" t="s">
        <v>260</v>
      </c>
      <c r="K29" s="360" t="s">
        <v>453</v>
      </c>
      <c r="L29" s="58"/>
      <c r="M29" s="58"/>
      <c r="N29" s="58"/>
      <c r="O29" s="58"/>
      <c r="P29" s="58"/>
      <c r="Q29" s="58"/>
      <c r="R29" s="58"/>
      <c r="S29" s="58"/>
      <c r="T29" s="58"/>
    </row>
    <row r="30" spans="2:20">
      <c r="B30" s="58"/>
      <c r="C30" s="58"/>
      <c r="D30" s="355" t="s">
        <v>232</v>
      </c>
      <c r="E30" s="356" t="s">
        <v>233</v>
      </c>
      <c r="F30" s="45">
        <v>33.715207608590696</v>
      </c>
      <c r="G30" s="45">
        <v>38.662940799239458</v>
      </c>
      <c r="H30" s="45">
        <v>43.180966067506155</v>
      </c>
      <c r="I30" s="45">
        <v>43.070119582123937</v>
      </c>
      <c r="J30" s="45">
        <v>45.411027498096971</v>
      </c>
      <c r="K30" s="45">
        <v>34.966656713459003</v>
      </c>
      <c r="L30" s="58"/>
      <c r="M30" s="58"/>
      <c r="N30" s="58"/>
      <c r="O30" s="58"/>
      <c r="P30" s="58"/>
      <c r="Q30" s="58"/>
      <c r="R30" s="58"/>
      <c r="S30" s="58"/>
      <c r="T30" s="58"/>
    </row>
    <row r="31" spans="2:20">
      <c r="B31" s="58"/>
      <c r="C31" s="58"/>
      <c r="D31" s="355" t="s">
        <v>234</v>
      </c>
      <c r="E31" s="356" t="s">
        <v>235</v>
      </c>
      <c r="F31" s="45">
        <v>31.034763648315533</v>
      </c>
      <c r="G31" s="45">
        <v>37.795236139794568</v>
      </c>
      <c r="H31" s="45">
        <v>37.045155444652764</v>
      </c>
      <c r="I31" s="45">
        <v>37.61600382295174</v>
      </c>
      <c r="J31" s="45">
        <v>39.847914663591915</v>
      </c>
      <c r="K31" s="45">
        <v>28.421209399259617</v>
      </c>
      <c r="L31" s="58"/>
      <c r="M31" s="58"/>
      <c r="N31" s="58"/>
      <c r="O31" s="58"/>
      <c r="P31" s="58"/>
      <c r="Q31" s="58"/>
      <c r="R31" s="58"/>
      <c r="S31" s="58"/>
      <c r="T31" s="58"/>
    </row>
    <row r="32" spans="2:20">
      <c r="B32" s="58"/>
      <c r="C32" s="58"/>
      <c r="D32" s="355" t="s">
        <v>236</v>
      </c>
      <c r="E32" s="356" t="s">
        <v>237</v>
      </c>
      <c r="F32" s="45">
        <v>36.083645138562424</v>
      </c>
      <c r="G32" s="45">
        <v>39.066764220592376</v>
      </c>
      <c r="H32" s="45">
        <v>32.939937663972934</v>
      </c>
      <c r="I32" s="45">
        <v>36.735359905224662</v>
      </c>
      <c r="J32" s="45">
        <v>37.867335683263562</v>
      </c>
      <c r="K32" s="45">
        <v>34.519771819146783</v>
      </c>
      <c r="L32" s="58"/>
      <c r="M32" s="58"/>
      <c r="N32" s="58"/>
      <c r="O32" s="58"/>
      <c r="P32" s="58"/>
      <c r="Q32" s="58"/>
      <c r="R32" s="58"/>
      <c r="S32" s="58"/>
      <c r="T32" s="58"/>
    </row>
    <row r="33" spans="2:20">
      <c r="B33" s="58"/>
      <c r="C33" s="58"/>
      <c r="D33" s="355" t="s">
        <v>238</v>
      </c>
      <c r="E33" s="356" t="s">
        <v>239</v>
      </c>
      <c r="F33" s="45">
        <v>34.622728670461498</v>
      </c>
      <c r="G33" s="45">
        <v>39.499840773047453</v>
      </c>
      <c r="H33" s="45">
        <v>40.279513000301932</v>
      </c>
      <c r="I33" s="45">
        <v>36.435848244125957</v>
      </c>
      <c r="J33" s="45">
        <v>38.336352038935708</v>
      </c>
      <c r="K33" s="45">
        <v>39.232759224464701</v>
      </c>
      <c r="L33" s="58"/>
      <c r="M33" s="58"/>
      <c r="N33" s="58"/>
      <c r="O33" s="58"/>
      <c r="P33" s="58"/>
      <c r="Q33" s="58"/>
      <c r="R33" s="58"/>
      <c r="S33" s="58"/>
      <c r="T33" s="58"/>
    </row>
    <row r="34" spans="2:20">
      <c r="B34" s="58"/>
      <c r="C34" s="58"/>
      <c r="D34" s="355" t="s">
        <v>240</v>
      </c>
      <c r="E34" s="356" t="s">
        <v>241</v>
      </c>
      <c r="F34" s="45">
        <v>32.637116459432434</v>
      </c>
      <c r="G34" s="45">
        <v>37.793397472620967</v>
      </c>
      <c r="H34" s="45">
        <v>38.221672009401672</v>
      </c>
      <c r="I34" s="45">
        <v>39.946116948857949</v>
      </c>
      <c r="J34" s="45">
        <v>41.399169678852296</v>
      </c>
      <c r="K34" s="45">
        <v>37.441860258178664</v>
      </c>
      <c r="L34" s="58"/>
      <c r="M34" s="58"/>
      <c r="N34" s="58"/>
      <c r="O34" s="58"/>
      <c r="P34" s="58"/>
      <c r="Q34" s="58"/>
      <c r="R34" s="58"/>
      <c r="S34" s="58"/>
      <c r="T34" s="58"/>
    </row>
    <row r="35" spans="2:20">
      <c r="B35" s="58"/>
      <c r="C35" s="58"/>
      <c r="D35" s="355" t="s">
        <v>242</v>
      </c>
      <c r="E35" s="356" t="s">
        <v>243</v>
      </c>
      <c r="F35" s="45">
        <v>25.709210327375583</v>
      </c>
      <c r="G35" s="45">
        <v>40.606851653490345</v>
      </c>
      <c r="H35" s="45">
        <v>35.671017684943365</v>
      </c>
      <c r="I35" s="45">
        <v>29.835481215480605</v>
      </c>
      <c r="J35" s="45">
        <v>30.931496616135405</v>
      </c>
      <c r="K35" s="45">
        <v>33.214479529011129</v>
      </c>
      <c r="L35" s="58"/>
      <c r="M35" s="58"/>
      <c r="N35" s="58"/>
      <c r="O35" s="58"/>
      <c r="P35" s="58"/>
      <c r="Q35" s="58"/>
      <c r="R35" s="58"/>
      <c r="S35" s="58"/>
      <c r="T35" s="58"/>
    </row>
    <row r="36" spans="2:20">
      <c r="B36" s="58"/>
      <c r="C36" s="58"/>
      <c r="D36" s="355" t="s">
        <v>244</v>
      </c>
      <c r="E36" s="356" t="s">
        <v>245</v>
      </c>
      <c r="F36" s="45">
        <v>29.378873537080196</v>
      </c>
      <c r="G36" s="45">
        <v>34.279952827832588</v>
      </c>
      <c r="H36" s="45">
        <v>35.425956704390281</v>
      </c>
      <c r="I36" s="45">
        <v>35.621070019381101</v>
      </c>
      <c r="J36" s="45">
        <v>37.560504577086661</v>
      </c>
      <c r="K36" s="45">
        <v>45.068317785683135</v>
      </c>
      <c r="L36" s="58"/>
      <c r="M36" s="58"/>
      <c r="N36" s="58"/>
      <c r="O36" s="58"/>
      <c r="P36" s="58"/>
      <c r="Q36" s="58"/>
      <c r="R36" s="58"/>
      <c r="S36" s="58"/>
      <c r="T36" s="58"/>
    </row>
    <row r="37" spans="2:20">
      <c r="B37" s="58"/>
      <c r="C37" s="49"/>
      <c r="D37" s="355" t="s">
        <v>246</v>
      </c>
      <c r="E37" s="356" t="s">
        <v>247</v>
      </c>
      <c r="F37" s="45">
        <v>36.012822878745709</v>
      </c>
      <c r="G37" s="45">
        <v>38.362062605257208</v>
      </c>
      <c r="H37" s="45">
        <v>41.689126934421566</v>
      </c>
      <c r="I37" s="45">
        <v>43.311991743725386</v>
      </c>
      <c r="J37" s="45">
        <v>45.022581458399443</v>
      </c>
      <c r="K37" s="45">
        <v>35.28371050738275</v>
      </c>
      <c r="L37" s="58"/>
      <c r="M37" s="58"/>
      <c r="N37" s="58"/>
      <c r="O37" s="58"/>
      <c r="P37" s="58"/>
      <c r="Q37" s="58"/>
      <c r="R37" s="58"/>
      <c r="S37" s="58"/>
      <c r="T37" s="58"/>
    </row>
    <row r="38" spans="2:20" ht="13.15">
      <c r="B38" s="58"/>
      <c r="C38" s="59"/>
      <c r="D38" s="355" t="s">
        <v>248</v>
      </c>
      <c r="E38" s="356" t="s">
        <v>249</v>
      </c>
      <c r="F38" s="45">
        <v>34.84544978300854</v>
      </c>
      <c r="G38" s="45">
        <v>39.912265541994628</v>
      </c>
      <c r="H38" s="45">
        <v>44.847033920890382</v>
      </c>
      <c r="I38" s="45">
        <v>46.042825082868795</v>
      </c>
      <c r="J38" s="45">
        <v>47.566899998407195</v>
      </c>
      <c r="K38" s="45">
        <v>45.42027114203934</v>
      </c>
      <c r="L38" s="58"/>
      <c r="M38" s="58"/>
      <c r="N38" s="58"/>
      <c r="O38" s="58"/>
      <c r="P38" s="58"/>
      <c r="Q38" s="58"/>
      <c r="R38" s="58"/>
      <c r="S38" s="58"/>
      <c r="T38" s="58"/>
    </row>
    <row r="39" spans="2:20" ht="14.25">
      <c r="B39" s="58"/>
      <c r="C39" s="56"/>
      <c r="D39" s="355" t="s">
        <v>250</v>
      </c>
      <c r="E39" s="356" t="s">
        <v>251</v>
      </c>
      <c r="F39" s="45">
        <v>31.213414021340977</v>
      </c>
      <c r="G39" s="45">
        <v>38.101139377327662</v>
      </c>
      <c r="H39" s="45">
        <v>34.3661500887291</v>
      </c>
      <c r="I39" s="45">
        <v>32.869395206054492</v>
      </c>
      <c r="J39" s="45">
        <v>34.767034775057454</v>
      </c>
      <c r="K39" s="45">
        <v>42.600430090286245</v>
      </c>
      <c r="L39" s="58"/>
      <c r="M39" s="58"/>
      <c r="N39" s="58"/>
      <c r="O39" s="58"/>
      <c r="P39" s="58"/>
      <c r="Q39" s="58"/>
      <c r="R39" s="58"/>
      <c r="S39" s="58"/>
      <c r="T39" s="58"/>
    </row>
    <row r="40" spans="2:20" ht="14.25">
      <c r="B40" s="58"/>
      <c r="C40" s="50"/>
      <c r="D40" s="355" t="s">
        <v>252</v>
      </c>
      <c r="E40" s="356" t="s">
        <v>253</v>
      </c>
      <c r="F40" s="45">
        <v>33.940043633472371</v>
      </c>
      <c r="G40" s="45">
        <v>40.197181585533876</v>
      </c>
      <c r="H40" s="45">
        <v>43.627397888459079</v>
      </c>
      <c r="I40" s="45">
        <v>44.184252892169482</v>
      </c>
      <c r="J40" s="45">
        <v>45.640916180456486</v>
      </c>
      <c r="K40" s="45">
        <v>21.745550050884312</v>
      </c>
      <c r="L40" s="58"/>
      <c r="M40" s="58"/>
      <c r="N40" s="58"/>
      <c r="O40" s="58"/>
      <c r="P40" s="58"/>
      <c r="Q40" s="58"/>
      <c r="R40" s="58"/>
      <c r="S40" s="58"/>
      <c r="T40" s="58"/>
    </row>
    <row r="41" spans="2:20" ht="14.25">
      <c r="B41" s="58"/>
      <c r="C41" s="50"/>
      <c r="D41" s="355" t="s">
        <v>254</v>
      </c>
      <c r="E41" s="356" t="s">
        <v>255</v>
      </c>
      <c r="F41" s="45">
        <v>31.586212937707522</v>
      </c>
      <c r="G41" s="45">
        <v>39.85579618677243</v>
      </c>
      <c r="H41" s="45">
        <v>36.418443990979775</v>
      </c>
      <c r="I41" s="45">
        <v>34.884672755312437</v>
      </c>
      <c r="J41" s="45">
        <v>36.877623197725086</v>
      </c>
      <c r="K41" s="45">
        <v>36.33202846544124</v>
      </c>
      <c r="L41" s="58"/>
      <c r="M41" s="58"/>
      <c r="N41" s="58"/>
      <c r="O41" s="58"/>
      <c r="P41" s="58"/>
      <c r="Q41" s="58"/>
      <c r="R41" s="58"/>
      <c r="S41" s="58"/>
      <c r="T41" s="58"/>
    </row>
    <row r="42" spans="2:20" ht="14.25">
      <c r="B42" s="58"/>
      <c r="C42" s="50"/>
      <c r="D42" s="355" t="s">
        <v>256</v>
      </c>
      <c r="E42" s="356" t="s">
        <v>257</v>
      </c>
      <c r="F42" s="45">
        <v>21.545699559642607</v>
      </c>
      <c r="G42" s="45">
        <v>37.568276149021912</v>
      </c>
      <c r="H42" s="45">
        <v>25.800723131680357</v>
      </c>
      <c r="I42" s="45">
        <v>23.9520796202649</v>
      </c>
      <c r="J42" s="45">
        <v>24.594547152238697</v>
      </c>
      <c r="K42" s="45">
        <v>16.66804835126711</v>
      </c>
      <c r="L42" s="364" t="s">
        <v>262</v>
      </c>
      <c r="M42" s="58"/>
      <c r="N42" s="58"/>
      <c r="O42" s="58"/>
      <c r="P42" s="58"/>
      <c r="Q42" s="58"/>
      <c r="R42" s="58"/>
      <c r="S42" s="58"/>
      <c r="T42" s="58"/>
    </row>
    <row r="43" spans="2:20" ht="14.65" thickBot="1">
      <c r="B43" s="58"/>
      <c r="C43" s="50"/>
      <c r="D43" s="357" t="s">
        <v>258</v>
      </c>
      <c r="E43" s="358" t="s">
        <v>259</v>
      </c>
      <c r="F43" s="45">
        <v>20.395523218752139</v>
      </c>
      <c r="G43" s="45">
        <v>34.716201689421133</v>
      </c>
      <c r="H43" s="45">
        <v>37.411673286841648</v>
      </c>
      <c r="I43" s="45">
        <v>21.18190249205805</v>
      </c>
      <c r="J43" s="45">
        <v>16.983293862042977</v>
      </c>
      <c r="K43" s="45">
        <v>42.895726774130821</v>
      </c>
      <c r="L43" s="365">
        <f>AVERAGE(K30:K43)</f>
        <v>35.272201436473914</v>
      </c>
      <c r="M43" s="58"/>
      <c r="N43" s="58"/>
      <c r="O43" s="58"/>
      <c r="P43" s="58"/>
      <c r="Q43" s="58"/>
      <c r="R43" s="58"/>
      <c r="S43" s="58"/>
      <c r="T43" s="58"/>
    </row>
    <row r="44" spans="2:20" ht="14.25">
      <c r="B44" s="58"/>
      <c r="C44" s="56"/>
      <c r="D44" s="57"/>
      <c r="E44" s="57"/>
      <c r="F44" s="57"/>
      <c r="G44" s="58"/>
      <c r="H44" s="58"/>
      <c r="I44" s="58"/>
      <c r="J44" s="58"/>
      <c r="K44" s="58"/>
      <c r="L44" s="58"/>
      <c r="M44" s="58"/>
      <c r="N44" s="58"/>
      <c r="O44" s="58"/>
      <c r="P44" s="58"/>
      <c r="Q44" s="58"/>
      <c r="R44" s="58"/>
      <c r="S44" s="58"/>
      <c r="T44" s="58"/>
    </row>
    <row r="45" spans="2:20" ht="14.25">
      <c r="B45" s="58"/>
      <c r="C45" s="50"/>
      <c r="D45" s="53"/>
      <c r="E45" s="52"/>
      <c r="F45" s="52"/>
      <c r="G45" s="58"/>
      <c r="H45" s="58"/>
      <c r="I45" s="58"/>
      <c r="J45" s="58"/>
      <c r="K45" s="58"/>
      <c r="L45" s="58"/>
      <c r="M45" s="58"/>
      <c r="N45" s="58"/>
      <c r="O45" s="58"/>
      <c r="P45" s="58"/>
      <c r="Q45" s="58"/>
      <c r="R45" s="58"/>
      <c r="S45" s="58"/>
      <c r="T45" s="58"/>
    </row>
    <row r="46" spans="2:20" ht="14.25">
      <c r="B46" s="58"/>
      <c r="C46" s="50"/>
      <c r="D46" s="52"/>
      <c r="E46" s="52"/>
      <c r="F46" s="52"/>
      <c r="G46" s="58"/>
      <c r="H46" s="58"/>
      <c r="I46" s="58"/>
      <c r="J46" s="58"/>
      <c r="K46" s="58"/>
      <c r="L46" s="58"/>
      <c r="M46" s="58"/>
      <c r="N46" s="58"/>
      <c r="O46" s="58"/>
      <c r="P46" s="58"/>
      <c r="Q46" s="58"/>
      <c r="R46" s="58"/>
      <c r="S46" s="58"/>
      <c r="T46" s="58"/>
    </row>
    <row r="47" spans="2:20" ht="14.25">
      <c r="B47" s="58"/>
      <c r="C47" s="50"/>
      <c r="D47" t="s">
        <v>388</v>
      </c>
      <c r="E47" s="52"/>
      <c r="F47" s="52"/>
      <c r="G47" s="58"/>
      <c r="H47" s="58"/>
      <c r="I47" s="58"/>
      <c r="J47" s="58"/>
      <c r="K47" s="58"/>
      <c r="L47" s="58"/>
      <c r="M47" s="58"/>
      <c r="N47" s="58"/>
      <c r="O47" s="58"/>
      <c r="P47" s="58"/>
      <c r="Q47" s="58"/>
      <c r="R47" s="58"/>
      <c r="S47" s="58"/>
      <c r="T47" s="58"/>
    </row>
    <row r="48" spans="2:20" ht="14.25">
      <c r="B48" s="58"/>
      <c r="C48" s="50"/>
      <c r="D48" s="52"/>
      <c r="E48" s="52"/>
      <c r="F48" s="52"/>
      <c r="G48" s="58"/>
      <c r="H48" s="58"/>
      <c r="I48" s="58"/>
      <c r="J48" s="58"/>
      <c r="K48" s="58"/>
      <c r="L48" s="58"/>
      <c r="M48" s="58"/>
      <c r="N48" s="58"/>
      <c r="O48" s="58"/>
      <c r="P48" s="58"/>
      <c r="Q48" s="58"/>
      <c r="R48" s="58"/>
      <c r="S48" s="58"/>
      <c r="T48" s="58"/>
    </row>
    <row r="49" spans="2:20" ht="14.25">
      <c r="B49" s="58"/>
      <c r="C49" s="50"/>
      <c r="D49" s="52"/>
      <c r="E49" s="52"/>
      <c r="F49" s="52"/>
      <c r="G49" s="58"/>
      <c r="H49" s="58"/>
      <c r="I49" s="58"/>
      <c r="J49" s="58"/>
      <c r="K49" s="58"/>
      <c r="L49" s="58"/>
      <c r="M49" s="58"/>
      <c r="N49" s="58"/>
      <c r="O49" s="58"/>
      <c r="P49" s="58"/>
      <c r="Q49" s="58"/>
      <c r="R49" s="58"/>
      <c r="S49" s="58"/>
      <c r="T49" s="58"/>
    </row>
    <row r="50" spans="2:20" ht="14.25">
      <c r="B50" s="58"/>
      <c r="C50" s="50"/>
      <c r="E50" s="52"/>
      <c r="F50" s="52"/>
      <c r="G50" s="58"/>
      <c r="H50" s="58"/>
      <c r="I50" s="58"/>
      <c r="J50" s="58"/>
      <c r="K50" s="58"/>
      <c r="L50" s="58"/>
      <c r="M50" s="58"/>
      <c r="N50" s="58"/>
      <c r="O50" s="58"/>
      <c r="P50" s="58"/>
      <c r="Q50" s="58"/>
      <c r="R50" s="58"/>
      <c r="S50" s="58"/>
      <c r="T50" s="58"/>
    </row>
    <row r="51" spans="2:20" ht="14.25">
      <c r="B51" s="58"/>
      <c r="C51" s="56"/>
      <c r="D51" s="52"/>
      <c r="E51" s="52"/>
      <c r="F51" s="52"/>
      <c r="G51" s="58"/>
      <c r="H51" s="58"/>
      <c r="I51" s="58"/>
      <c r="J51" s="58"/>
      <c r="K51" s="58"/>
      <c r="L51" s="58"/>
      <c r="M51" s="58"/>
      <c r="N51" s="58"/>
      <c r="O51" s="58"/>
      <c r="P51" s="58"/>
      <c r="Q51" s="58"/>
      <c r="R51" s="58"/>
      <c r="S51" s="58"/>
      <c r="T51" s="58"/>
    </row>
    <row r="52" spans="2:20" ht="14.25">
      <c r="B52" s="58"/>
      <c r="C52" s="50"/>
      <c r="D52" s="52"/>
      <c r="E52" s="52"/>
      <c r="F52" s="52"/>
      <c r="G52" s="58"/>
      <c r="H52" s="58"/>
      <c r="I52" s="58"/>
      <c r="J52" s="58"/>
      <c r="K52" s="58"/>
      <c r="L52" s="58"/>
      <c r="M52" s="58"/>
      <c r="N52" s="58"/>
      <c r="O52" s="58"/>
      <c r="P52" s="58"/>
      <c r="Q52" s="58"/>
      <c r="R52" s="58"/>
      <c r="S52" s="58"/>
      <c r="T52" s="58"/>
    </row>
    <row r="53" spans="2:20" ht="14.25">
      <c r="B53" s="58"/>
      <c r="C53" s="50"/>
      <c r="D53" s="52"/>
      <c r="E53" s="52"/>
      <c r="F53" s="52"/>
      <c r="G53" s="58"/>
      <c r="H53" s="58"/>
      <c r="I53" s="58"/>
      <c r="J53" s="58"/>
      <c r="K53" s="58"/>
      <c r="L53" s="58"/>
      <c r="M53" s="58"/>
      <c r="N53" s="58"/>
      <c r="O53" s="58"/>
      <c r="P53" s="58"/>
      <c r="Q53" s="58"/>
      <c r="R53" s="58"/>
      <c r="S53" s="58"/>
      <c r="T53" s="58"/>
    </row>
  </sheetData>
  <mergeCells count="2">
    <mergeCell ref="D9:E9"/>
    <mergeCell ref="D10:E10"/>
  </mergeCells>
  <phoneticPr fontId="81" type="noConversion"/>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pageSetUpPr autoPageBreaks="0"/>
  </sheetPr>
  <dimension ref="A1:CP374"/>
  <sheetViews>
    <sheetView zoomScale="60" zoomScaleNormal="60" workbookViewId="0">
      <selection activeCell="O57" sqref="O57"/>
    </sheetView>
  </sheetViews>
  <sheetFormatPr defaultRowHeight="12.4"/>
  <cols>
    <col min="1" max="1" width="22.1171875" customWidth="1"/>
    <col min="2" max="2" width="46.3515625" customWidth="1"/>
    <col min="3" max="6" width="11.3515625" customWidth="1"/>
    <col min="7" max="7" width="12.64453125" customWidth="1"/>
    <col min="8" max="8" width="10" customWidth="1"/>
    <col min="9" max="9" width="11.234375" customWidth="1"/>
    <col min="10" max="10" width="13.46875" customWidth="1"/>
    <col min="11" max="11" width="13.64453125" customWidth="1"/>
    <col min="12" max="12" width="13.76171875" style="116" customWidth="1"/>
    <col min="13" max="13" width="30" style="116" customWidth="1"/>
    <col min="14" max="14" width="26.76171875" customWidth="1"/>
    <col min="15" max="15" width="21.64453125" style="116" customWidth="1"/>
    <col min="16" max="16" width="3.3515625" style="116" customWidth="1"/>
    <col min="17" max="17" width="21" customWidth="1"/>
    <col min="18" max="18" width="32.64453125" customWidth="1"/>
    <col min="19" max="19" width="11.64453125" customWidth="1"/>
    <col min="20" max="20" width="14.87890625" customWidth="1"/>
    <col min="21" max="21" width="16.76171875" bestFit="1" customWidth="1"/>
    <col min="22" max="22" width="11.3515625" customWidth="1"/>
    <col min="23" max="23" width="11" customWidth="1"/>
    <col min="24" max="24" width="12.234375" customWidth="1"/>
    <col min="25" max="25" width="10.64453125" bestFit="1" customWidth="1"/>
    <col min="26" max="26" width="11.76171875" customWidth="1"/>
    <col min="27" max="27" width="12.1171875" customWidth="1"/>
    <col min="28" max="28" width="9" style="116" bestFit="1" customWidth="1"/>
    <col min="29" max="29" width="18.64453125" style="116" customWidth="1"/>
    <col min="30" max="30" width="18.46875" style="116" customWidth="1"/>
    <col min="31" max="31" width="23.64453125" customWidth="1"/>
    <col min="32" max="32" width="9" bestFit="1" customWidth="1"/>
    <col min="33" max="33" width="19" customWidth="1"/>
    <col min="34" max="37" width="9" bestFit="1" customWidth="1"/>
    <col min="38" max="38" width="9.1171875" bestFit="1" customWidth="1"/>
    <col min="39" max="39" width="9.46875" bestFit="1" customWidth="1"/>
    <col min="40" max="40" width="9.1171875" bestFit="1" customWidth="1"/>
    <col min="41" max="41" width="9" style="116" bestFit="1" customWidth="1"/>
    <col min="42" max="42" width="18.76171875" style="116" bestFit="1" customWidth="1"/>
    <col min="43" max="45" width="9" style="116"/>
    <col min="46" max="46" width="26.3515625" customWidth="1"/>
    <col min="47" max="54" width="9" bestFit="1" customWidth="1"/>
    <col min="56" max="56" width="9" bestFit="1" customWidth="1"/>
    <col min="58" max="58" width="15.87890625" customWidth="1"/>
    <col min="65" max="65" width="35.46875" customWidth="1"/>
    <col min="66" max="66" width="9.87890625" bestFit="1" customWidth="1"/>
    <col min="67" max="67" width="11.76171875" bestFit="1" customWidth="1"/>
    <col min="68" max="68" width="11.76171875" customWidth="1"/>
    <col min="69" max="69" width="10.1171875" customWidth="1"/>
    <col min="70" max="70" width="11.87890625" customWidth="1"/>
    <col min="74" max="74" width="28.46875" customWidth="1"/>
    <col min="75" max="75" width="11.234375" customWidth="1"/>
    <col min="76" max="76" width="16.76171875" customWidth="1"/>
    <col min="77" max="77" width="17.87890625" customWidth="1"/>
    <col min="78" max="78" width="31" customWidth="1"/>
    <col min="79" max="79" width="12.76171875" customWidth="1"/>
    <col min="80" max="80" width="13.1171875" customWidth="1"/>
    <col min="81" max="81" width="12.46875" customWidth="1"/>
    <col min="83" max="83" width="27.234375" customWidth="1"/>
    <col min="86" max="86" width="13.87890625" customWidth="1"/>
    <col min="88" max="88" width="12.64453125" customWidth="1"/>
  </cols>
  <sheetData>
    <row r="1" spans="1:94">
      <c r="A1" t="s">
        <v>399</v>
      </c>
      <c r="O1" s="83"/>
      <c r="P1" s="336"/>
      <c r="X1" s="176"/>
      <c r="BJ1" s="336"/>
      <c r="BM1" s="116"/>
      <c r="BN1" s="116"/>
      <c r="BO1" s="116"/>
      <c r="BP1" s="116"/>
      <c r="BQ1" s="116"/>
      <c r="BR1" s="116"/>
      <c r="BS1" s="116"/>
      <c r="BT1" s="116"/>
      <c r="BU1" s="116"/>
      <c r="BV1" s="116"/>
      <c r="BW1" s="116"/>
      <c r="BX1" s="116"/>
      <c r="BY1" s="116"/>
      <c r="BZ1" s="116"/>
      <c r="CP1" s="336"/>
    </row>
    <row r="2" spans="1:94" s="116" customFormat="1">
      <c r="C2" s="223"/>
      <c r="D2" s="223"/>
      <c r="E2" s="223"/>
      <c r="F2" s="223"/>
      <c r="G2" s="223"/>
      <c r="H2" s="223"/>
      <c r="I2" s="223"/>
      <c r="J2" s="223"/>
      <c r="O2" s="83"/>
      <c r="P2" s="336"/>
      <c r="R2" s="1" t="s">
        <v>187</v>
      </c>
      <c r="X2" s="176"/>
      <c r="AE2" s="1" t="s">
        <v>1</v>
      </c>
      <c r="AT2" s="1" t="s">
        <v>51</v>
      </c>
      <c r="BJ2" s="336"/>
      <c r="CP2" s="336"/>
    </row>
    <row r="3" spans="1:94" ht="12.75" thickBot="1">
      <c r="B3" s="27" t="s">
        <v>178</v>
      </c>
      <c r="H3" s="27" t="s">
        <v>217</v>
      </c>
      <c r="O3" s="496"/>
      <c r="P3" s="336"/>
      <c r="S3" s="100"/>
      <c r="T3" s="100"/>
      <c r="U3" s="100"/>
      <c r="V3" s="214" t="s">
        <v>176</v>
      </c>
      <c r="W3" s="100"/>
      <c r="X3" s="199"/>
      <c r="Y3" s="100"/>
      <c r="Z3" s="100"/>
      <c r="AF3" s="100"/>
      <c r="AG3" s="100"/>
      <c r="AH3" s="100"/>
      <c r="AI3" s="100"/>
      <c r="AJ3" s="100"/>
      <c r="AK3" s="214" t="s">
        <v>176</v>
      </c>
      <c r="AL3" s="100"/>
      <c r="AM3" s="100"/>
      <c r="AU3" s="100"/>
      <c r="AV3" s="100"/>
      <c r="AW3" s="100"/>
      <c r="AX3" s="100"/>
      <c r="AY3" s="100"/>
      <c r="AZ3" s="214" t="s">
        <v>176</v>
      </c>
      <c r="BA3" s="100"/>
      <c r="BB3" s="100"/>
      <c r="BJ3" s="336"/>
      <c r="BM3" s="27" t="s">
        <v>359</v>
      </c>
      <c r="BN3" s="116"/>
      <c r="BO3" s="116"/>
      <c r="BP3" s="116"/>
      <c r="BQ3" s="116"/>
      <c r="BR3" s="116"/>
      <c r="BS3" s="214" t="s">
        <v>176</v>
      </c>
      <c r="BT3" s="116"/>
      <c r="BU3" s="116"/>
      <c r="BV3" s="116"/>
      <c r="BW3" s="116"/>
      <c r="BX3" s="116"/>
      <c r="BY3" s="116"/>
      <c r="BZ3" s="116"/>
      <c r="CP3" s="336"/>
    </row>
    <row r="4" spans="1:94" ht="24" customHeight="1" thickTop="1" thickBot="1">
      <c r="B4" s="41" t="str">
        <f>B70</f>
        <v>£m, 2019-20 prices </v>
      </c>
      <c r="C4" s="788" t="s">
        <v>175</v>
      </c>
      <c r="D4" s="789"/>
      <c r="E4" s="789"/>
      <c r="F4" s="789"/>
      <c r="G4" s="221"/>
      <c r="H4" t="s">
        <v>401</v>
      </c>
      <c r="O4" s="83"/>
      <c r="P4" s="336"/>
      <c r="R4" s="100" t="str">
        <f>B4</f>
        <v>£m, 2019-20 prices </v>
      </c>
      <c r="S4" s="135" t="s">
        <v>123</v>
      </c>
      <c r="T4" s="135" t="s">
        <v>123</v>
      </c>
      <c r="U4" s="135" t="s">
        <v>123</v>
      </c>
      <c r="V4" s="135" t="s">
        <v>123</v>
      </c>
      <c r="W4" s="135" t="s">
        <v>123</v>
      </c>
      <c r="X4" s="135" t="s">
        <v>123</v>
      </c>
      <c r="Y4" s="195" t="s">
        <v>123</v>
      </c>
      <c r="Z4" s="135" t="s">
        <v>124</v>
      </c>
      <c r="AE4" s="100" t="str">
        <f>R4</f>
        <v>£m, 2019-20 prices </v>
      </c>
      <c r="AF4" s="135" t="s">
        <v>123</v>
      </c>
      <c r="AG4" s="135" t="s">
        <v>123</v>
      </c>
      <c r="AH4" s="135" t="s">
        <v>123</v>
      </c>
      <c r="AI4" s="135" t="s">
        <v>123</v>
      </c>
      <c r="AJ4" s="135" t="s">
        <v>123</v>
      </c>
      <c r="AK4" s="135" t="s">
        <v>123</v>
      </c>
      <c r="AL4" s="195" t="s">
        <v>123</v>
      </c>
      <c r="AM4" s="135" t="s">
        <v>124</v>
      </c>
      <c r="AT4" s="100" t="str">
        <f>R4</f>
        <v>£m, 2019-20 prices </v>
      </c>
      <c r="AU4" s="135" t="s">
        <v>123</v>
      </c>
      <c r="AV4" s="135" t="s">
        <v>123</v>
      </c>
      <c r="AW4" s="135" t="s">
        <v>123</v>
      </c>
      <c r="AX4" s="135" t="s">
        <v>123</v>
      </c>
      <c r="AY4" s="135" t="s">
        <v>123</v>
      </c>
      <c r="AZ4" s="135" t="s">
        <v>123</v>
      </c>
      <c r="BA4" s="195" t="s">
        <v>123</v>
      </c>
      <c r="BB4" s="135" t="s">
        <v>124</v>
      </c>
      <c r="BJ4" s="336"/>
      <c r="BM4" s="116" t="str">
        <f>AK4</f>
        <v>ACTUAL</v>
      </c>
      <c r="BN4" s="135" t="s">
        <v>123</v>
      </c>
      <c r="BO4" s="135" t="s">
        <v>123</v>
      </c>
      <c r="BP4" s="135" t="s">
        <v>123</v>
      </c>
      <c r="BQ4" s="135" t="s">
        <v>123</v>
      </c>
      <c r="BR4" s="135" t="s">
        <v>123</v>
      </c>
      <c r="BS4" s="135" t="s">
        <v>123</v>
      </c>
      <c r="BT4" s="195" t="s">
        <v>123</v>
      </c>
      <c r="BU4" s="135" t="s">
        <v>124</v>
      </c>
      <c r="BV4" s="116"/>
      <c r="BW4" s="116"/>
      <c r="BX4" s="116"/>
      <c r="BY4" s="116"/>
      <c r="BZ4" s="116"/>
      <c r="CP4" s="336"/>
    </row>
    <row r="5" spans="1:94" ht="22.5" customHeight="1" thickBot="1">
      <c r="B5" s="121"/>
      <c r="C5" s="123" t="s">
        <v>2</v>
      </c>
      <c r="D5" s="124" t="s">
        <v>4</v>
      </c>
      <c r="E5" s="790" t="s">
        <v>47</v>
      </c>
      <c r="F5" s="791"/>
      <c r="H5" s="123" t="s">
        <v>2</v>
      </c>
      <c r="I5" s="269" t="s">
        <v>4</v>
      </c>
      <c r="J5" s="790" t="s">
        <v>47</v>
      </c>
      <c r="K5" s="791"/>
      <c r="L5" s="472" t="s">
        <v>356</v>
      </c>
      <c r="M5" s="472" t="s">
        <v>357</v>
      </c>
      <c r="O5" s="86"/>
      <c r="P5" s="336"/>
      <c r="R5" s="100"/>
      <c r="S5" s="190">
        <v>2014</v>
      </c>
      <c r="T5" s="190">
        <v>2015</v>
      </c>
      <c r="U5" s="190">
        <v>2016</v>
      </c>
      <c r="V5" s="190">
        <v>2017</v>
      </c>
      <c r="W5" s="191">
        <v>2018</v>
      </c>
      <c r="X5" s="191">
        <v>2019</v>
      </c>
      <c r="Y5" s="196">
        <v>2020</v>
      </c>
      <c r="Z5" s="537">
        <v>2021</v>
      </c>
      <c r="AE5" s="100"/>
      <c r="AF5" s="190">
        <v>2014</v>
      </c>
      <c r="AG5" s="190">
        <v>2015</v>
      </c>
      <c r="AH5" s="190">
        <v>2016</v>
      </c>
      <c r="AI5" s="190">
        <v>2017</v>
      </c>
      <c r="AJ5" s="191">
        <v>2018</v>
      </c>
      <c r="AK5" s="191">
        <v>2019</v>
      </c>
      <c r="AL5" s="196">
        <v>2020</v>
      </c>
      <c r="AM5" s="537">
        <v>2021</v>
      </c>
      <c r="AT5" s="100"/>
      <c r="AU5" s="190">
        <v>2014</v>
      </c>
      <c r="AV5" s="190">
        <v>2015</v>
      </c>
      <c r="AW5" s="190">
        <v>2016</v>
      </c>
      <c r="AX5" s="190">
        <v>2017</v>
      </c>
      <c r="AY5" s="191">
        <v>2018</v>
      </c>
      <c r="AZ5" s="191">
        <v>2019</v>
      </c>
      <c r="BA5" s="196">
        <v>2020</v>
      </c>
      <c r="BB5" s="537">
        <v>2021</v>
      </c>
      <c r="BJ5" s="336"/>
      <c r="BM5" s="116"/>
      <c r="BN5" s="190">
        <v>2014</v>
      </c>
      <c r="BO5" s="190">
        <v>2015</v>
      </c>
      <c r="BP5" s="190">
        <v>2016</v>
      </c>
      <c r="BQ5" s="190">
        <v>2017</v>
      </c>
      <c r="BR5" s="191">
        <v>2018</v>
      </c>
      <c r="BS5" s="191">
        <v>2019</v>
      </c>
      <c r="BT5" s="196">
        <v>2020</v>
      </c>
      <c r="BU5" s="537">
        <v>2021</v>
      </c>
      <c r="BV5" s="116"/>
      <c r="BW5" s="116"/>
      <c r="BX5" s="116"/>
      <c r="BY5" s="116"/>
      <c r="BZ5" s="116"/>
      <c r="CP5" s="336"/>
    </row>
    <row r="6" spans="1:94" ht="13.15">
      <c r="B6" s="121"/>
      <c r="C6" s="125"/>
      <c r="D6" s="126"/>
      <c r="E6" s="127" t="s">
        <v>48</v>
      </c>
      <c r="F6" s="128" t="s">
        <v>49</v>
      </c>
      <c r="G6" s="116"/>
      <c r="H6" s="125"/>
      <c r="I6" s="126"/>
      <c r="J6" s="127" t="s">
        <v>48</v>
      </c>
      <c r="K6" s="128" t="s">
        <v>49</v>
      </c>
      <c r="L6" s="128" t="s">
        <v>49</v>
      </c>
      <c r="M6" s="86" t="s">
        <v>48</v>
      </c>
      <c r="O6" s="494"/>
      <c r="P6" s="336"/>
      <c r="R6" s="43" t="s">
        <v>6</v>
      </c>
      <c r="S6" s="3">
        <f>C29</f>
        <v>1622.770117654024</v>
      </c>
      <c r="T6" s="3">
        <f t="shared" ref="T6:Y6" si="0">D29</f>
        <v>1218.4507402939655</v>
      </c>
      <c r="U6" s="3">
        <f t="shared" si="0"/>
        <v>1309.2853822727789</v>
      </c>
      <c r="V6" s="3">
        <f t="shared" si="0"/>
        <v>1225.5059178957749</v>
      </c>
      <c r="W6" s="192">
        <f t="shared" si="0"/>
        <v>1128.0476967056607</v>
      </c>
      <c r="X6" s="192">
        <f t="shared" si="0"/>
        <v>1083.5107879866378</v>
      </c>
      <c r="Y6" s="197">
        <f t="shared" si="0"/>
        <v>1063.9872337747354</v>
      </c>
      <c r="Z6" s="100"/>
      <c r="AC6" s="480"/>
      <c r="AE6" s="43" t="s">
        <v>6</v>
      </c>
      <c r="AF6" s="3">
        <f t="shared" ref="AF6:AL6" si="1">C46</f>
        <v>276.42085365422957</v>
      </c>
      <c r="AG6" s="3">
        <f t="shared" si="1"/>
        <v>316.63250524731433</v>
      </c>
      <c r="AH6" s="3">
        <f t="shared" si="1"/>
        <v>398.04536112719177</v>
      </c>
      <c r="AI6" s="3">
        <f t="shared" si="1"/>
        <v>379.1046376437323</v>
      </c>
      <c r="AJ6" s="192">
        <f t="shared" si="1"/>
        <v>252.46478097242527</v>
      </c>
      <c r="AK6" s="192">
        <f t="shared" si="1"/>
        <v>192.5460247572401</v>
      </c>
      <c r="AL6" s="197">
        <f t="shared" si="1"/>
        <v>204.51848137903463</v>
      </c>
      <c r="AM6" s="100"/>
      <c r="AP6" s="480"/>
      <c r="AT6" s="43" t="s">
        <v>6</v>
      </c>
      <c r="AU6" s="3">
        <f t="shared" ref="AU6:BA6" si="2">C63</f>
        <v>201.46679721949295</v>
      </c>
      <c r="AV6" s="3">
        <f t="shared" si="2"/>
        <v>383.30854529452893</v>
      </c>
      <c r="AW6" s="3">
        <f t="shared" si="2"/>
        <v>586.88690418985493</v>
      </c>
      <c r="AX6" s="3">
        <f t="shared" si="2"/>
        <v>506.28603081089432</v>
      </c>
      <c r="AY6" s="192">
        <f t="shared" si="2"/>
        <v>455.6066645297301</v>
      </c>
      <c r="AZ6" s="192">
        <f t="shared" si="2"/>
        <v>354.30505395978389</v>
      </c>
      <c r="BA6" s="197">
        <f t="shared" si="2"/>
        <v>368.77111621122066</v>
      </c>
      <c r="BB6" s="100"/>
      <c r="BJ6" s="336"/>
      <c r="BM6" s="43" t="s">
        <v>6</v>
      </c>
      <c r="BN6" s="3">
        <f>AU6+AF6+S6</f>
        <v>2100.6577685277466</v>
      </c>
      <c r="BO6" s="3">
        <f t="shared" ref="BO6:BU8" si="3">AV6+AG6+T6</f>
        <v>1918.3917908358087</v>
      </c>
      <c r="BP6" s="3">
        <f t="shared" si="3"/>
        <v>2294.2176475898254</v>
      </c>
      <c r="BQ6" s="3">
        <f t="shared" si="3"/>
        <v>2110.8965863504018</v>
      </c>
      <c r="BR6" s="192">
        <f t="shared" si="3"/>
        <v>1836.1191422078159</v>
      </c>
      <c r="BS6" s="192">
        <f t="shared" si="3"/>
        <v>1630.3618667036617</v>
      </c>
      <c r="BT6" s="197">
        <f t="shared" si="3"/>
        <v>1637.2768313649908</v>
      </c>
      <c r="BU6" s="539">
        <f t="shared" si="3"/>
        <v>0</v>
      </c>
      <c r="BV6" s="116"/>
      <c r="BW6" s="116"/>
      <c r="BX6" s="116"/>
      <c r="BY6" s="116"/>
      <c r="BZ6" s="116"/>
      <c r="CP6" s="336"/>
    </row>
    <row r="7" spans="1:94">
      <c r="B7" s="121" t="s">
        <v>363</v>
      </c>
      <c r="C7" s="489">
        <f>K17</f>
        <v>12919.949380327298</v>
      </c>
      <c r="D7" s="487">
        <f>K29</f>
        <v>10081.59987106138</v>
      </c>
      <c r="E7" s="130">
        <f>D7-C7</f>
        <v>-2838.3495092659177</v>
      </c>
      <c r="F7" s="131">
        <f>E7/C7</f>
        <v>-0.21968735524519636</v>
      </c>
      <c r="G7" s="223"/>
      <c r="H7" s="129">
        <f>SUM(C17:I17)</f>
        <v>11486.86219338467</v>
      </c>
      <c r="I7" s="25">
        <f>SUM(C29:I29)</f>
        <v>8651.5578765835744</v>
      </c>
      <c r="J7" s="130">
        <f>I7-H7</f>
        <v>-2835.3043168010954</v>
      </c>
      <c r="K7" s="131">
        <f>J7/H7</f>
        <v>-0.24683018469865153</v>
      </c>
      <c r="L7" s="471">
        <v>0.46889999999999998</v>
      </c>
      <c r="M7" s="25">
        <f>-J7*(1-L7)</f>
        <v>1505.8301226530618</v>
      </c>
      <c r="N7" s="116"/>
      <c r="O7" s="495"/>
      <c r="P7" s="337"/>
      <c r="R7" s="43" t="s">
        <v>77</v>
      </c>
      <c r="S7" s="2"/>
      <c r="T7" s="2"/>
      <c r="U7" s="2"/>
      <c r="V7" s="44"/>
      <c r="W7" s="193"/>
      <c r="X7" s="193"/>
      <c r="Y7" s="540"/>
      <c r="Z7" s="538">
        <f>J29</f>
        <v>1430.0419944778055</v>
      </c>
      <c r="AB7" s="211">
        <f>SUM(S6:Z7)</f>
        <v>10081.59987106138</v>
      </c>
      <c r="AC7" s="480"/>
      <c r="AE7" s="43" t="s">
        <v>77</v>
      </c>
      <c r="AF7" s="2"/>
      <c r="AG7" s="2"/>
      <c r="AH7" s="2"/>
      <c r="AI7" s="44"/>
      <c r="AJ7" s="193"/>
      <c r="AK7" s="193"/>
      <c r="AL7" s="198"/>
      <c r="AM7" s="541">
        <f>J46</f>
        <v>303.42038098079587</v>
      </c>
      <c r="AO7" s="211">
        <f>SUM(AF6:AM7)</f>
        <v>2323.1530257619638</v>
      </c>
      <c r="AP7" s="480"/>
      <c r="AT7" s="43" t="s">
        <v>77</v>
      </c>
      <c r="AU7" s="2"/>
      <c r="AV7" s="2"/>
      <c r="AW7" s="2"/>
      <c r="AX7" s="44"/>
      <c r="AY7" s="193"/>
      <c r="AZ7" s="193"/>
      <c r="BA7" s="198"/>
      <c r="BB7" s="541">
        <f>J63</f>
        <v>503.5792214125488</v>
      </c>
      <c r="BD7" s="211">
        <f>SUM(AU6:BB7)</f>
        <v>3360.2103336280543</v>
      </c>
      <c r="BJ7" s="336"/>
      <c r="BM7" s="43" t="s">
        <v>77</v>
      </c>
      <c r="BN7" s="3">
        <f>AU7+AF7+S7</f>
        <v>0</v>
      </c>
      <c r="BO7" s="3">
        <f t="shared" si="3"/>
        <v>0</v>
      </c>
      <c r="BP7" s="3">
        <f t="shared" si="3"/>
        <v>0</v>
      </c>
      <c r="BQ7" s="3">
        <f t="shared" si="3"/>
        <v>0</v>
      </c>
      <c r="BR7" s="192">
        <f t="shared" si="3"/>
        <v>0</v>
      </c>
      <c r="BS7" s="192">
        <f t="shared" si="3"/>
        <v>0</v>
      </c>
      <c r="BT7" s="197">
        <f>BA7+AL7+Y7</f>
        <v>0</v>
      </c>
      <c r="BU7" s="539">
        <f t="shared" si="3"/>
        <v>2237.0415968711504</v>
      </c>
      <c r="BV7" s="116"/>
      <c r="BW7" s="211">
        <f>SUM(BN6:BU7)</f>
        <v>15764.963230451398</v>
      </c>
      <c r="BX7" s="116"/>
      <c r="BY7" s="116"/>
      <c r="BZ7" s="116"/>
      <c r="CP7" s="336"/>
    </row>
    <row r="8" spans="1:94" ht="12.75" thickBot="1">
      <c r="B8" s="121" t="s">
        <v>1</v>
      </c>
      <c r="C8" s="489">
        <f>K34</f>
        <v>2466.6072127588036</v>
      </c>
      <c r="D8" s="487">
        <f>K46</f>
        <v>2323.1530257619638</v>
      </c>
      <c r="E8" s="130">
        <f>D8-C8</f>
        <v>-143.45418699683978</v>
      </c>
      <c r="F8" s="131">
        <f>E8/C8</f>
        <v>-5.815850462724946E-2</v>
      </c>
      <c r="H8" s="129">
        <f>SUM(C34:I34)</f>
        <v>2334.1425654544491</v>
      </c>
      <c r="I8" s="25">
        <f>SUM(C46:I46)</f>
        <v>2019.7326447811679</v>
      </c>
      <c r="J8" s="130">
        <f>I8-H8</f>
        <v>-314.40992067328125</v>
      </c>
      <c r="K8" s="131">
        <f>J8/H8</f>
        <v>-0.13470039290940516</v>
      </c>
      <c r="L8" s="131">
        <v>0.5</v>
      </c>
      <c r="M8" s="25">
        <f>-J8*L8</f>
        <v>157.20496033664062</v>
      </c>
      <c r="N8" s="223"/>
      <c r="O8" s="495"/>
      <c r="P8" s="337"/>
      <c r="R8" s="2" t="s">
        <v>78</v>
      </c>
      <c r="S8" s="3">
        <f>C17</f>
        <v>2149.9317895510944</v>
      </c>
      <c r="T8" s="3">
        <f t="shared" ref="T8:Z8" si="4">D17</f>
        <v>1849.8430098833621</v>
      </c>
      <c r="U8" s="3">
        <f t="shared" si="4"/>
        <v>1538.7701747989515</v>
      </c>
      <c r="V8" s="3">
        <f t="shared" si="4"/>
        <v>1416.8188820961454</v>
      </c>
      <c r="W8" s="192">
        <f t="shared" si="4"/>
        <v>1405.3978312770003</v>
      </c>
      <c r="X8" s="192">
        <f>H17</f>
        <v>1631.6572237537666</v>
      </c>
      <c r="Y8" s="209">
        <f t="shared" si="4"/>
        <v>1494.4432820243483</v>
      </c>
      <c r="Z8" s="539">
        <f t="shared" si="4"/>
        <v>1433.0871869426276</v>
      </c>
      <c r="AB8" s="211">
        <f>SUM(S8:Z8)</f>
        <v>12919.949380327298</v>
      </c>
      <c r="AC8" s="480"/>
      <c r="AE8" s="2" t="s">
        <v>78</v>
      </c>
      <c r="AF8" s="45">
        <f t="shared" ref="AF8:AM8" si="5">C34</f>
        <v>420.73548904912843</v>
      </c>
      <c r="AG8" s="45">
        <f t="shared" si="5"/>
        <v>527.37399705084385</v>
      </c>
      <c r="AH8" s="45">
        <f t="shared" si="5"/>
        <v>396.72264283069336</v>
      </c>
      <c r="AI8" s="45">
        <f t="shared" si="5"/>
        <v>198.57211099362672</v>
      </c>
      <c r="AJ8" s="194">
        <f t="shared" si="5"/>
        <v>260.95296492943663</v>
      </c>
      <c r="AK8" s="194">
        <f t="shared" si="5"/>
        <v>283.85069287341707</v>
      </c>
      <c r="AL8" s="200">
        <f t="shared" si="5"/>
        <v>245.93466772730324</v>
      </c>
      <c r="AM8" s="542">
        <f t="shared" si="5"/>
        <v>132.4646473043544</v>
      </c>
      <c r="AO8" s="211">
        <f>SUM(AF8:AM8)</f>
        <v>2466.6072127588036</v>
      </c>
      <c r="AP8" s="480"/>
      <c r="AT8" s="2" t="s">
        <v>78</v>
      </c>
      <c r="AU8" s="45">
        <f t="shared" ref="AU8:BB8" si="6">C51</f>
        <v>270.77214511443947</v>
      </c>
      <c r="AV8" s="45">
        <f t="shared" si="6"/>
        <v>474.66532001474621</v>
      </c>
      <c r="AW8" s="45">
        <f t="shared" si="6"/>
        <v>899.19320432599261</v>
      </c>
      <c r="AX8" s="45">
        <f t="shared" si="6"/>
        <v>733.75794233344709</v>
      </c>
      <c r="AY8" s="194">
        <f t="shared" si="6"/>
        <v>439.52845066845015</v>
      </c>
      <c r="AZ8" s="194">
        <f t="shared" si="6"/>
        <v>235.33019812921148</v>
      </c>
      <c r="BA8" s="200">
        <f t="shared" si="6"/>
        <v>274.32560639276636</v>
      </c>
      <c r="BB8" s="542">
        <f t="shared" si="6"/>
        <v>369.6493048512026</v>
      </c>
      <c r="BD8" s="211">
        <f>SUM(AU8:BB8)</f>
        <v>3697.2221718302562</v>
      </c>
      <c r="BF8" s="211"/>
      <c r="BJ8" s="336"/>
      <c r="BM8" s="2" t="s">
        <v>78</v>
      </c>
      <c r="BN8" s="3">
        <f>AU8+AF8+S8</f>
        <v>2841.4394237146626</v>
      </c>
      <c r="BO8" s="3">
        <f t="shared" si="3"/>
        <v>2851.8823269489521</v>
      </c>
      <c r="BP8" s="3">
        <f t="shared" si="3"/>
        <v>2834.6860219556374</v>
      </c>
      <c r="BQ8" s="3">
        <f t="shared" si="3"/>
        <v>2349.148935423219</v>
      </c>
      <c r="BR8" s="192">
        <f t="shared" si="3"/>
        <v>2105.879246874887</v>
      </c>
      <c r="BS8" s="192">
        <f t="shared" si="3"/>
        <v>2150.838114756395</v>
      </c>
      <c r="BT8" s="209">
        <f>BA8+AL8+Y8</f>
        <v>2014.7035561444179</v>
      </c>
      <c r="BU8" s="539">
        <f t="shared" si="3"/>
        <v>1935.2011390981845</v>
      </c>
      <c r="BV8" s="116"/>
      <c r="BW8" s="211">
        <f>SUM(BN8:BU8)</f>
        <v>19083.778764916358</v>
      </c>
      <c r="BX8" s="116"/>
      <c r="BY8" s="116"/>
      <c r="BZ8" s="211"/>
      <c r="CP8" s="336"/>
    </row>
    <row r="9" spans="1:94">
      <c r="B9" s="121" t="s">
        <v>366</v>
      </c>
      <c r="C9" s="489">
        <f>K51</f>
        <v>3697.2221718302562</v>
      </c>
      <c r="D9" s="487">
        <f>K63</f>
        <v>3360.2103336280543</v>
      </c>
      <c r="E9" s="130">
        <f>D9-C9</f>
        <v>-337.01183820220194</v>
      </c>
      <c r="F9" s="131">
        <f>E9/C9</f>
        <v>-9.1152714805712937E-2</v>
      </c>
      <c r="H9" s="129">
        <f>SUM(C51:I51)</f>
        <v>3327.5728669790537</v>
      </c>
      <c r="I9" s="25">
        <f>SUM(C63:I63)</f>
        <v>2856.6311122155057</v>
      </c>
      <c r="J9" s="130">
        <f>I9-H9</f>
        <v>-470.94175476354803</v>
      </c>
      <c r="K9" s="131">
        <f>J9/H9</f>
        <v>-0.1415271050671518</v>
      </c>
      <c r="L9" s="131">
        <v>0.5</v>
      </c>
      <c r="M9" s="25">
        <f>-J9*L9</f>
        <v>235.47087738177402</v>
      </c>
      <c r="N9" s="116"/>
      <c r="O9" s="495"/>
      <c r="P9" s="337"/>
      <c r="AC9" s="480"/>
      <c r="AP9" s="480"/>
      <c r="BJ9" s="336"/>
      <c r="BM9" s="116"/>
      <c r="BN9" s="116"/>
      <c r="BO9" s="116"/>
      <c r="BP9" s="116"/>
      <c r="BQ9" s="116"/>
      <c r="BR9" s="116"/>
      <c r="BS9" s="116"/>
      <c r="BT9" s="116"/>
      <c r="BU9" s="116"/>
      <c r="BV9" s="116"/>
      <c r="BW9" s="116"/>
      <c r="BX9" s="116"/>
      <c r="BY9" s="116"/>
      <c r="BZ9" s="116"/>
      <c r="CP9" s="336"/>
    </row>
    <row r="10" spans="1:94" ht="12.75" thickBot="1">
      <c r="B10" s="122" t="s">
        <v>3</v>
      </c>
      <c r="C10" s="490">
        <f>SUM(C7:C9)</f>
        <v>19083.778764916358</v>
      </c>
      <c r="D10" s="488">
        <f>SUM(D7:D9)</f>
        <v>15764.963230451398</v>
      </c>
      <c r="E10" s="133">
        <f>D10-C10</f>
        <v>-3318.8155344649604</v>
      </c>
      <c r="F10" s="134">
        <f>E10/C10</f>
        <v>-0.173907671816353</v>
      </c>
      <c r="H10" s="132">
        <f>SUM(H7:H9)</f>
        <v>17148.577625818172</v>
      </c>
      <c r="I10" s="132">
        <f>SUM(I7:I9)</f>
        <v>13527.921633580248</v>
      </c>
      <c r="J10" s="133">
        <f>I10-H10</f>
        <v>-3620.6559922379238</v>
      </c>
      <c r="K10" s="134">
        <f>J10/H10</f>
        <v>-0.21113447839468724</v>
      </c>
      <c r="L10" s="134"/>
      <c r="M10" s="133">
        <f>SUM(M7:M9)</f>
        <v>1898.5059603714765</v>
      </c>
      <c r="N10" s="223"/>
      <c r="O10" s="497"/>
      <c r="P10" s="336"/>
      <c r="R10" s="27" t="s">
        <v>161</v>
      </c>
      <c r="AC10" s="480"/>
      <c r="AE10" s="27" t="s">
        <v>184</v>
      </c>
      <c r="AP10" s="480"/>
      <c r="AT10" s="27" t="s">
        <v>162</v>
      </c>
      <c r="BA10" s="1" t="s">
        <v>163</v>
      </c>
      <c r="BJ10" s="336"/>
      <c r="BM10" s="116"/>
      <c r="BN10" s="116"/>
      <c r="BO10" s="116"/>
      <c r="BP10" s="116"/>
      <c r="BQ10" s="116"/>
      <c r="BR10" s="116"/>
      <c r="BS10" s="116"/>
      <c r="BT10" s="116"/>
      <c r="BU10" s="1" t="s">
        <v>163</v>
      </c>
      <c r="BV10" s="116"/>
      <c r="BW10" s="116"/>
      <c r="BX10" s="116"/>
      <c r="BY10" s="116"/>
      <c r="BZ10" s="116"/>
      <c r="CP10" s="336"/>
    </row>
    <row r="11" spans="1:94" ht="13.15" thickTop="1">
      <c r="B11" s="89" t="s">
        <v>122</v>
      </c>
      <c r="D11" s="180" t="s">
        <v>370</v>
      </c>
      <c r="E11" s="180"/>
      <c r="F11" s="180"/>
      <c r="H11" s="443" t="s">
        <v>316</v>
      </c>
      <c r="N11" s="116"/>
      <c r="O11" s="498"/>
      <c r="P11" s="337"/>
      <c r="AC11" s="480"/>
      <c r="AP11" s="480"/>
      <c r="BA11" s="116" t="s">
        <v>182</v>
      </c>
      <c r="BJ11" s="336"/>
      <c r="BM11" s="116"/>
      <c r="BN11" s="116"/>
      <c r="BO11" s="116"/>
      <c r="BP11" s="116"/>
      <c r="BQ11" s="116"/>
      <c r="BR11" s="116"/>
      <c r="BS11" s="116"/>
      <c r="BT11" s="116"/>
      <c r="BU11" s="116" t="s">
        <v>182</v>
      </c>
      <c r="BV11" s="116"/>
      <c r="BW11" s="116"/>
      <c r="BX11" s="116"/>
      <c r="BY11" s="116"/>
      <c r="BZ11" s="116"/>
      <c r="CP11" s="336"/>
    </row>
    <row r="12" spans="1:94" ht="12.75" thickBot="1">
      <c r="P12" s="337"/>
      <c r="AC12" s="480"/>
      <c r="AP12" s="480"/>
      <c r="BA12" t="s">
        <v>266</v>
      </c>
      <c r="BJ12" s="336"/>
      <c r="BM12" s="116"/>
      <c r="BN12" s="116"/>
      <c r="BO12" s="116"/>
      <c r="BP12" s="116"/>
      <c r="BQ12" s="116"/>
      <c r="BR12" s="116"/>
      <c r="BS12" s="116"/>
      <c r="BT12" s="116"/>
      <c r="BU12" s="116" t="s">
        <v>368</v>
      </c>
      <c r="BV12" s="116"/>
      <c r="BW12" s="116"/>
      <c r="BX12" s="116"/>
      <c r="BY12" s="116"/>
      <c r="BZ12" s="116"/>
      <c r="CP12" s="336"/>
    </row>
    <row r="13" spans="1:94" ht="16.5" thickBot="1">
      <c r="B13" s="241"/>
      <c r="C13" s="242" t="s">
        <v>72</v>
      </c>
      <c r="D13" s="242" t="s">
        <v>73</v>
      </c>
      <c r="E13" s="242" t="s">
        <v>74</v>
      </c>
      <c r="F13" s="242" t="s">
        <v>75</v>
      </c>
      <c r="G13" s="242" t="s">
        <v>121</v>
      </c>
      <c r="H13" s="242" t="s">
        <v>139</v>
      </c>
      <c r="I13" s="242" t="s">
        <v>386</v>
      </c>
      <c r="J13" s="242" t="s">
        <v>387</v>
      </c>
      <c r="K13" s="528"/>
      <c r="O13" s="499"/>
      <c r="P13" s="337"/>
      <c r="AC13" s="480"/>
      <c r="AP13" s="480"/>
      <c r="BJ13" s="336"/>
      <c r="BM13" s="116"/>
      <c r="BN13" s="116"/>
      <c r="BO13" s="116"/>
      <c r="BP13" s="116"/>
      <c r="BQ13" s="116"/>
      <c r="BR13" s="116"/>
      <c r="BS13" s="116"/>
      <c r="BT13" s="116"/>
      <c r="BU13" t="s">
        <v>267</v>
      </c>
      <c r="BV13" s="116"/>
      <c r="BW13" s="116"/>
      <c r="BX13" s="116"/>
      <c r="BY13" s="116"/>
      <c r="BZ13" s="116"/>
      <c r="CP13" s="336"/>
    </row>
    <row r="14" spans="1:94" ht="15" thickBot="1">
      <c r="B14" s="244" t="s">
        <v>50</v>
      </c>
      <c r="C14" s="245" t="s">
        <v>123</v>
      </c>
      <c r="D14" s="245" t="s">
        <v>123</v>
      </c>
      <c r="E14" s="245" t="s">
        <v>123</v>
      </c>
      <c r="F14" s="245" t="s">
        <v>123</v>
      </c>
      <c r="G14" s="245" t="s">
        <v>123</v>
      </c>
      <c r="H14" s="245" t="s">
        <v>123</v>
      </c>
      <c r="I14" s="195" t="s">
        <v>123</v>
      </c>
      <c r="J14" s="245" t="s">
        <v>124</v>
      </c>
      <c r="K14" s="529"/>
      <c r="L14" s="135"/>
      <c r="M14" s="135"/>
      <c r="N14" s="135" t="s">
        <v>420</v>
      </c>
      <c r="O14" s="83">
        <v>1.02589</v>
      </c>
      <c r="P14" s="336"/>
      <c r="Q14" s="664"/>
      <c r="AC14" s="480"/>
      <c r="AP14" s="480"/>
      <c r="BJ14" s="336"/>
      <c r="BM14" s="116"/>
      <c r="BN14" s="116"/>
      <c r="BO14" s="116"/>
      <c r="BP14" s="116"/>
      <c r="BQ14" s="116"/>
      <c r="BR14" s="116"/>
      <c r="BS14" s="116"/>
      <c r="BT14" s="116"/>
      <c r="BU14" s="563"/>
      <c r="BV14" s="563"/>
      <c r="BW14" s="563"/>
      <c r="BX14" s="116"/>
      <c r="BY14" s="116"/>
      <c r="BZ14" s="116"/>
      <c r="CP14" s="336"/>
    </row>
    <row r="15" spans="1:94" ht="15.75">
      <c r="A15" t="str">
        <f>A32</f>
        <v>source T2.4 RRP20</v>
      </c>
      <c r="B15" s="246"/>
      <c r="C15" s="247">
        <v>2014</v>
      </c>
      <c r="D15" s="247">
        <v>2015</v>
      </c>
      <c r="E15" s="247">
        <v>2016</v>
      </c>
      <c r="F15" s="247">
        <v>2017</v>
      </c>
      <c r="G15" s="247">
        <v>2018</v>
      </c>
      <c r="H15" s="247">
        <v>2019</v>
      </c>
      <c r="I15" s="202">
        <v>2020</v>
      </c>
      <c r="J15" s="247">
        <v>2021</v>
      </c>
      <c r="K15" s="530" t="s">
        <v>52</v>
      </c>
      <c r="L15" s="136"/>
      <c r="N15" s="558" t="s">
        <v>187</v>
      </c>
      <c r="O15" s="559" t="s">
        <v>421</v>
      </c>
      <c r="P15" s="338"/>
      <c r="Q15" s="676"/>
      <c r="AC15" s="480"/>
      <c r="AP15" s="480"/>
      <c r="BJ15" s="336"/>
      <c r="BM15" s="116"/>
      <c r="BN15" s="116"/>
      <c r="BO15" s="116"/>
      <c r="BP15" s="116"/>
      <c r="BQ15" s="116"/>
      <c r="BR15" s="116"/>
      <c r="BS15" s="116"/>
      <c r="BT15" s="116"/>
      <c r="BU15" s="563"/>
      <c r="BV15" s="563"/>
      <c r="BW15" s="563"/>
      <c r="BX15" s="116"/>
      <c r="BY15" s="116"/>
      <c r="BZ15" s="116"/>
      <c r="CP15" s="336"/>
    </row>
    <row r="16" spans="1:94" ht="15.75">
      <c r="A16" s="179" t="s">
        <v>408</v>
      </c>
      <c r="B16" s="248" t="s">
        <v>142</v>
      </c>
      <c r="C16" s="201">
        <f>C17*'Universal data'!$C$55</f>
        <v>1596.0655633271656</v>
      </c>
      <c r="D16" s="201">
        <f>D17*'Universal data'!$C$55</f>
        <v>1373.2857665464742</v>
      </c>
      <c r="E16" s="201">
        <f>E17*'Universal data'!$C$55</f>
        <v>1142.3516307856155</v>
      </c>
      <c r="F16" s="201">
        <f>F17*'Universal data'!$C$55</f>
        <v>1051.8174754081458</v>
      </c>
      <c r="G16" s="201">
        <f>G17*'Universal data'!$C$55</f>
        <v>1043.3387199434187</v>
      </c>
      <c r="H16" s="201">
        <f>H17*'Universal data'!$C$55</f>
        <v>1211.3090836854681</v>
      </c>
      <c r="I16" s="138">
        <f>I17*'Universal data'!$C$55</f>
        <v>1109.4442485929869</v>
      </c>
      <c r="J16" s="201">
        <f>J17*'Universal data'!$C$55</f>
        <v>1063.8947335171579</v>
      </c>
      <c r="K16" s="531">
        <f>SUM(C16:J16)</f>
        <v>9591.5072218064324</v>
      </c>
      <c r="L16" s="139"/>
      <c r="N16" s="681" t="str">
        <f>B17</f>
        <v>TOTEX allowance (£/m) 2019/20 prices</v>
      </c>
      <c r="O16" s="656">
        <f>'[6]2.4_Totex'!$M$49*O14</f>
        <v>13378.013318609997</v>
      </c>
      <c r="P16" s="338"/>
      <c r="Q16" s="667">
        <f>(K17-O16)/O16</f>
        <v>-3.4240056978078505E-2</v>
      </c>
      <c r="AC16" s="480"/>
      <c r="AP16" s="480"/>
      <c r="BJ16" s="336"/>
      <c r="BM16" s="116"/>
      <c r="BN16" s="116"/>
      <c r="BO16" s="116"/>
      <c r="BP16" s="116"/>
      <c r="BQ16" s="116"/>
      <c r="BR16" s="116"/>
      <c r="BS16" s="116"/>
      <c r="BT16" s="116"/>
      <c r="BU16" s="563"/>
      <c r="BV16" s="563"/>
      <c r="BW16" s="563"/>
      <c r="BX16" s="116"/>
      <c r="BY16" s="116"/>
      <c r="BZ16" s="116"/>
      <c r="CP16" s="336"/>
    </row>
    <row r="17" spans="1:94" ht="15.75">
      <c r="B17" s="249" t="s">
        <v>404</v>
      </c>
      <c r="C17" s="250">
        <f>C22+C23</f>
        <v>2149.9317895510944</v>
      </c>
      <c r="D17" s="250">
        <f t="shared" ref="D17:H17" si="7">D22+D23</f>
        <v>1849.8430098833621</v>
      </c>
      <c r="E17" s="250">
        <f t="shared" si="7"/>
        <v>1538.7701747989515</v>
      </c>
      <c r="F17" s="250">
        <f t="shared" si="7"/>
        <v>1416.8188820961454</v>
      </c>
      <c r="G17" s="250">
        <f t="shared" si="7"/>
        <v>1405.3978312770003</v>
      </c>
      <c r="H17" s="250">
        <f t="shared" si="7"/>
        <v>1631.6572237537666</v>
      </c>
      <c r="I17" s="240">
        <f>I22+I23</f>
        <v>1494.4432820243483</v>
      </c>
      <c r="J17" s="250">
        <f>J22+J23</f>
        <v>1433.0871869426276</v>
      </c>
      <c r="K17" s="532">
        <f t="shared" ref="K17:K29" si="8">SUM(C17:J17)</f>
        <v>12919.949380327298</v>
      </c>
      <c r="L17" s="139"/>
      <c r="N17" s="653" t="s">
        <v>545</v>
      </c>
      <c r="O17" s="654">
        <f>'[7]8-year TO forecasts'!K19*$O$14</f>
        <v>4736.9862994738724</v>
      </c>
      <c r="P17" s="339"/>
      <c r="Q17" s="667">
        <f>(K19-O17)/O17</f>
        <v>-9.6284807257179736E-2</v>
      </c>
      <c r="AC17" s="480"/>
      <c r="AP17" s="480"/>
      <c r="BJ17" s="336"/>
      <c r="BM17" s="116"/>
      <c r="BN17" s="116"/>
      <c r="BO17" s="116"/>
      <c r="BP17" s="116"/>
      <c r="BQ17" s="116"/>
      <c r="BR17" s="116"/>
      <c r="BS17" s="116"/>
      <c r="BT17" s="116"/>
      <c r="BU17" s="563"/>
      <c r="BV17" s="563"/>
      <c r="BW17" s="563"/>
      <c r="BX17" s="116"/>
      <c r="BY17" s="116"/>
      <c r="BZ17" s="116"/>
      <c r="CP17" s="336"/>
    </row>
    <row r="18" spans="1:94" s="116" customFormat="1" ht="15.75">
      <c r="B18" s="248"/>
      <c r="C18" s="201"/>
      <c r="D18" s="201"/>
      <c r="E18" s="201"/>
      <c r="F18" s="201"/>
      <c r="G18" s="201"/>
      <c r="H18" s="201"/>
      <c r="I18" s="138"/>
      <c r="J18" s="201"/>
      <c r="K18" s="531"/>
      <c r="L18" s="139"/>
      <c r="M18" s="139"/>
      <c r="N18" s="653" t="s">
        <v>546</v>
      </c>
      <c r="O18" s="654">
        <f>'[7]8-year TO forecasts'!K20*$O$14</f>
        <v>6237.096326917841</v>
      </c>
      <c r="P18" s="336"/>
      <c r="Q18" s="667">
        <f>(K20-O18)/O18</f>
        <v>-3.1379083630234795E-4</v>
      </c>
      <c r="AC18" s="480"/>
      <c r="AP18" s="480"/>
      <c r="BJ18" s="336"/>
      <c r="BU18" s="563"/>
      <c r="BV18" s="563"/>
      <c r="BW18" s="563"/>
      <c r="CP18" s="336"/>
    </row>
    <row r="19" spans="1:94" s="116" customFormat="1" ht="15.75">
      <c r="B19" s="248" t="s">
        <v>409</v>
      </c>
      <c r="C19" s="201">
        <v>1185.9899700228589</v>
      </c>
      <c r="D19" s="201">
        <v>878.82747259487712</v>
      </c>
      <c r="E19" s="201">
        <v>587.37604470920508</v>
      </c>
      <c r="F19" s="201">
        <v>428.33924472551382</v>
      </c>
      <c r="G19" s="201">
        <v>214.38175739746225</v>
      </c>
      <c r="H19" s="201">
        <v>315.3756710561903</v>
      </c>
      <c r="I19" s="138">
        <v>316.20610816852133</v>
      </c>
      <c r="J19" s="201">
        <v>354.39021797450056</v>
      </c>
      <c r="K19" s="531">
        <f t="shared" si="8"/>
        <v>4280.8864866491294</v>
      </c>
      <c r="L19" s="560" t="s">
        <v>422</v>
      </c>
      <c r="M19" s="139"/>
      <c r="N19" s="653" t="s">
        <v>534</v>
      </c>
      <c r="O19" s="654">
        <f>'[7]8-year TO forecasts'!K21*$O$14</f>
        <v>199.03478829080066</v>
      </c>
      <c r="P19" s="336"/>
      <c r="Q19" s="667">
        <f t="shared" ref="Q19:Q20" si="9">(K21-O19)/O19</f>
        <v>-2.9043206018570101E-6</v>
      </c>
      <c r="AC19" s="480"/>
      <c r="AP19" s="480"/>
      <c r="BJ19" s="336"/>
      <c r="CP19" s="336"/>
    </row>
    <row r="20" spans="1:94" s="116" customFormat="1" ht="15.75">
      <c r="B20" s="248" t="s">
        <v>410</v>
      </c>
      <c r="C20" s="201">
        <v>666.39335530130927</v>
      </c>
      <c r="D20" s="201">
        <v>668.62997055756955</v>
      </c>
      <c r="E20" s="201">
        <v>649.38335855016658</v>
      </c>
      <c r="F20" s="201">
        <v>685.78836205988353</v>
      </c>
      <c r="G20" s="201">
        <v>887.97111576726593</v>
      </c>
      <c r="H20" s="201">
        <v>1021.8342427895481</v>
      </c>
      <c r="I20" s="138">
        <v>876.98304527979008</v>
      </c>
      <c r="J20" s="201">
        <v>778.15573293978605</v>
      </c>
      <c r="K20" s="531">
        <f t="shared" si="8"/>
        <v>6235.1391832453191</v>
      </c>
      <c r="L20" s="560" t="s">
        <v>422</v>
      </c>
      <c r="M20" s="139"/>
      <c r="N20" s="653" t="s">
        <v>531</v>
      </c>
      <c r="O20" s="654">
        <f>'[7]8-year TO forecasts'!K22*$O$14</f>
        <v>2204.8959039274828</v>
      </c>
      <c r="P20" s="336"/>
      <c r="Q20" s="667">
        <f t="shared" si="9"/>
        <v>-2.9043206021147199E-6</v>
      </c>
      <c r="AC20" s="480"/>
      <c r="AP20" s="480"/>
      <c r="BJ20" s="336"/>
      <c r="CP20" s="336"/>
    </row>
    <row r="21" spans="1:94" s="116" customFormat="1" ht="15.75">
      <c r="B21" s="248" t="s">
        <v>411</v>
      </c>
      <c r="C21" s="201">
        <v>38.393096699814521</v>
      </c>
      <c r="D21" s="201">
        <v>37.572716550519296</v>
      </c>
      <c r="E21" s="201">
        <v>27.159818297226945</v>
      </c>
      <c r="F21" s="201">
        <v>25.16770954047167</v>
      </c>
      <c r="G21" s="201">
        <v>23.326926105919483</v>
      </c>
      <c r="H21" s="201">
        <v>13.648372309126376</v>
      </c>
      <c r="I21" s="138">
        <v>17.65920808043839</v>
      </c>
      <c r="J21" s="201">
        <v>16.10636264644786</v>
      </c>
      <c r="K21" s="531">
        <f t="shared" si="8"/>
        <v>199.03421022996454</v>
      </c>
      <c r="M21" s="139"/>
      <c r="N21" s="246"/>
      <c r="O21" s="652"/>
      <c r="P21" s="336"/>
      <c r="Q21" s="668"/>
      <c r="AC21" s="480"/>
      <c r="AP21" s="480"/>
      <c r="BJ21" s="336"/>
      <c r="CC21" s="83"/>
      <c r="CD21" s="83"/>
      <c r="CE21" s="83"/>
      <c r="CF21" s="83"/>
      <c r="CP21" s="336"/>
    </row>
    <row r="22" spans="1:94" ht="15.75">
      <c r="B22" s="251" t="s">
        <v>412</v>
      </c>
      <c r="C22" s="252">
        <v>259.15536752711171</v>
      </c>
      <c r="D22" s="252">
        <v>264.81285018039631</v>
      </c>
      <c r="E22" s="252">
        <v>274.85095324235294</v>
      </c>
      <c r="F22" s="252">
        <v>277.52356577027638</v>
      </c>
      <c r="G22" s="252">
        <v>279.71803200635264</v>
      </c>
      <c r="H22" s="252">
        <v>280.79893759890183</v>
      </c>
      <c r="I22" s="239">
        <v>283.59492049559844</v>
      </c>
      <c r="J22" s="252">
        <v>284.43487338189311</v>
      </c>
      <c r="K22" s="533">
        <f t="shared" si="8"/>
        <v>2204.8895002028835</v>
      </c>
      <c r="L22" s="139"/>
      <c r="M22" s="139"/>
      <c r="N22" s="682" t="s">
        <v>532</v>
      </c>
      <c r="O22" s="683">
        <f>'[7]8-year TO forecasts'!K25*$O$14</f>
        <v>3514.6534931134715</v>
      </c>
      <c r="P22" s="336"/>
      <c r="Q22" s="667">
        <f>(K25-O22)/O22</f>
        <v>-6.5972465296039048E-2</v>
      </c>
      <c r="AC22" s="480"/>
      <c r="AP22" s="480"/>
      <c r="BJ22" s="336"/>
      <c r="BM22" s="116"/>
      <c r="BN22" s="116"/>
      <c r="BO22" s="116"/>
      <c r="BP22" s="116"/>
      <c r="BQ22" s="116"/>
      <c r="BR22" s="116"/>
      <c r="BS22" s="116"/>
      <c r="BT22" s="116"/>
      <c r="BU22" s="116"/>
      <c r="BV22" s="116"/>
      <c r="BW22" s="116"/>
      <c r="BX22" s="116"/>
      <c r="BY22" s="116"/>
      <c r="BZ22" s="116"/>
      <c r="CC22" s="783"/>
      <c r="CD22" s="733"/>
      <c r="CE22" s="296"/>
      <c r="CF22" s="296"/>
      <c r="CP22" s="336"/>
    </row>
    <row r="23" spans="1:94" ht="15.75">
      <c r="B23" s="251" t="s">
        <v>413</v>
      </c>
      <c r="C23" s="252">
        <f>SUM(C19:C21)</f>
        <v>1890.7764220239828</v>
      </c>
      <c r="D23" s="252">
        <f t="shared" ref="D23:H23" si="10">SUM(D19:D21)</f>
        <v>1585.0301597029659</v>
      </c>
      <c r="E23" s="252">
        <f t="shared" si="10"/>
        <v>1263.9192215565986</v>
      </c>
      <c r="F23" s="252">
        <f t="shared" si="10"/>
        <v>1139.295316325869</v>
      </c>
      <c r="G23" s="252">
        <f t="shared" si="10"/>
        <v>1125.6797992706477</v>
      </c>
      <c r="H23" s="252">
        <f t="shared" si="10"/>
        <v>1350.8582861548648</v>
      </c>
      <c r="I23" s="239">
        <f>SUM(I19:I21)</f>
        <v>1210.8483615287498</v>
      </c>
      <c r="J23" s="252">
        <f>SUM(J19:J21)</f>
        <v>1148.6523135607345</v>
      </c>
      <c r="K23" s="533">
        <f t="shared" si="8"/>
        <v>10715.059880124414</v>
      </c>
      <c r="L23" s="139"/>
      <c r="M23" s="679"/>
      <c r="N23" s="682" t="s">
        <v>533</v>
      </c>
      <c r="O23" s="683">
        <f>'[7]8-year TO forecasts'!K26*$O$14</f>
        <v>4253.9476059628087</v>
      </c>
      <c r="P23" s="337"/>
      <c r="Q23" s="667">
        <f t="shared" ref="Q23" si="11">(K26-O23)/O23</f>
        <v>-4.856142371400024E-2</v>
      </c>
      <c r="AC23" s="480"/>
      <c r="AP23" s="480"/>
      <c r="BJ23" s="336"/>
      <c r="BM23" s="116"/>
      <c r="BN23" s="116"/>
      <c r="BO23" s="116"/>
      <c r="BP23" s="116"/>
      <c r="BQ23" s="116"/>
      <c r="BR23" s="116"/>
      <c r="BS23" s="116"/>
      <c r="BT23" s="116"/>
      <c r="BU23" s="116"/>
      <c r="BV23" s="116"/>
      <c r="BW23" s="116"/>
      <c r="BX23" s="116"/>
      <c r="BY23" s="116"/>
      <c r="BZ23" s="116"/>
      <c r="CC23" s="783"/>
      <c r="CD23" s="733"/>
      <c r="CE23" s="296"/>
      <c r="CF23" s="296"/>
      <c r="CP23" s="336"/>
    </row>
    <row r="24" spans="1:94" s="116" customFormat="1" ht="16.149999999999999" customHeight="1">
      <c r="B24" s="248"/>
      <c r="C24" s="201"/>
      <c r="D24" s="201"/>
      <c r="E24" s="201"/>
      <c r="F24" s="201"/>
      <c r="G24" s="201"/>
      <c r="H24" s="201"/>
      <c r="I24" s="138"/>
      <c r="J24" s="201"/>
      <c r="K24" s="531"/>
      <c r="L24" s="139"/>
      <c r="M24" s="139"/>
      <c r="N24" s="682" t="s">
        <v>535</v>
      </c>
      <c r="O24" s="683">
        <f>'[7]8-year TO forecasts'!K27*$O$14</f>
        <v>366.76573793184156</v>
      </c>
      <c r="P24" s="337"/>
      <c r="Q24" s="667">
        <f>(K27-O24)/O24</f>
        <v>5.8271145918562466E-2</v>
      </c>
      <c r="AC24" s="480"/>
      <c r="AP24" s="480"/>
      <c r="BJ24" s="336"/>
      <c r="CC24" s="784"/>
      <c r="CD24" s="342"/>
      <c r="CE24" s="342"/>
      <c r="CF24" s="342"/>
      <c r="CP24" s="336"/>
    </row>
    <row r="25" spans="1:94" s="116" customFormat="1" ht="15.75">
      <c r="B25" s="253" t="s">
        <v>414</v>
      </c>
      <c r="C25" s="201">
        <v>764.17807943476726</v>
      </c>
      <c r="D25" s="201">
        <v>589.2582737277063</v>
      </c>
      <c r="E25" s="201">
        <v>539.82741116971863</v>
      </c>
      <c r="F25" s="201">
        <v>402.11332523133234</v>
      </c>
      <c r="G25" s="201">
        <v>271.49889011761491</v>
      </c>
      <c r="H25" s="201">
        <v>243.50567691094867</v>
      </c>
      <c r="I25" s="138">
        <v>180.17594754000001</v>
      </c>
      <c r="J25" s="201">
        <v>292.22553337935244</v>
      </c>
      <c r="K25" s="531">
        <f>SUM(C25:J25)</f>
        <v>3282.7831375114406</v>
      </c>
      <c r="L25" s="373" t="s">
        <v>269</v>
      </c>
      <c r="M25" s="139"/>
      <c r="N25" s="682" t="s">
        <v>536</v>
      </c>
      <c r="O25" s="683">
        <f>'[7]8-year TO forecasts'!K28*$O$14</f>
        <v>2374.0187696470921</v>
      </c>
      <c r="P25" s="337"/>
      <c r="Q25" s="667">
        <f>(K28-O25)/O25</f>
        <v>-4.5111217364261266E-3</v>
      </c>
      <c r="AC25" s="480"/>
      <c r="AP25" s="480"/>
      <c r="BJ25" s="336"/>
      <c r="CC25" s="784"/>
      <c r="CD25" s="342"/>
      <c r="CE25" s="342"/>
      <c r="CF25" s="342"/>
      <c r="CP25" s="336"/>
    </row>
    <row r="26" spans="1:94" s="116" customFormat="1" ht="36.4" customHeight="1">
      <c r="B26" s="253" t="s">
        <v>415</v>
      </c>
      <c r="C26" s="201">
        <v>540.42288300535233</v>
      </c>
      <c r="D26" s="201">
        <v>292.69105318051845</v>
      </c>
      <c r="E26" s="201">
        <v>417.99840454596961</v>
      </c>
      <c r="F26" s="201">
        <v>484.47291372885229</v>
      </c>
      <c r="G26" s="201">
        <v>522.9133117564661</v>
      </c>
      <c r="H26" s="201">
        <v>475.74547251930051</v>
      </c>
      <c r="I26" s="138">
        <v>518.09667755999999</v>
      </c>
      <c r="J26" s="201">
        <v>795.02913751603205</v>
      </c>
      <c r="K26" s="531">
        <f>SUM(C26:J26)</f>
        <v>4047.3698538124918</v>
      </c>
      <c r="L26" s="373" t="s">
        <v>269</v>
      </c>
      <c r="M26" s="139"/>
      <c r="N26" s="554"/>
      <c r="O26" s="553" t="str">
        <f>O15</f>
        <v>RRP19: 8 year forecast</v>
      </c>
      <c r="P26" s="337"/>
      <c r="Q26" s="668"/>
      <c r="AC26" s="480"/>
      <c r="AP26" s="480"/>
      <c r="BJ26" s="336"/>
      <c r="CC26" s="785"/>
      <c r="CD26" s="342"/>
      <c r="CE26" s="342"/>
      <c r="CF26" s="342"/>
      <c r="CP26" s="336"/>
    </row>
    <row r="27" spans="1:94" s="116" customFormat="1" ht="15.75">
      <c r="B27" s="253" t="s">
        <v>416</v>
      </c>
      <c r="C27" s="201">
        <v>40.955667896571157</v>
      </c>
      <c r="D27" s="201">
        <v>32.643424959603571</v>
      </c>
      <c r="E27" s="201">
        <v>42.274134843042361</v>
      </c>
      <c r="F27" s="201">
        <v>55.268813085426665</v>
      </c>
      <c r="G27" s="201">
        <v>41.399467132141609</v>
      </c>
      <c r="H27" s="201">
        <v>53.496390922809674</v>
      </c>
      <c r="I27" s="138">
        <v>64.383194286700004</v>
      </c>
      <c r="J27" s="201">
        <v>57.71650463850203</v>
      </c>
      <c r="K27" s="531">
        <f>SUM(C27:J27)</f>
        <v>388.13759776479714</v>
      </c>
      <c r="L27" s="373" t="s">
        <v>269</v>
      </c>
      <c r="M27" s="139"/>
      <c r="N27" s="655" t="s">
        <v>419</v>
      </c>
      <c r="O27" s="656">
        <f>'[6]2.4_Totex'!$M$23*O14</f>
        <v>10509.385606655214</v>
      </c>
      <c r="P27" s="337"/>
      <c r="Q27" s="667">
        <f>(K29-O27)/O27</f>
        <v>-4.0705113657922377E-2</v>
      </c>
      <c r="AC27" s="480"/>
      <c r="AP27" s="480"/>
      <c r="BJ27" s="336"/>
      <c r="BT27" s="214" t="s">
        <v>176</v>
      </c>
      <c r="CC27" s="785"/>
      <c r="CD27" s="342"/>
      <c r="CE27" s="342"/>
      <c r="CF27" s="343"/>
      <c r="CP27" s="336"/>
    </row>
    <row r="28" spans="1:94" s="116" customFormat="1" ht="16.149999999999999" thickBot="1">
      <c r="A28" s="675"/>
      <c r="B28" s="253" t="s">
        <v>417</v>
      </c>
      <c r="C28" s="201">
        <v>277.21348731733343</v>
      </c>
      <c r="D28" s="201">
        <v>303.85798842613718</v>
      </c>
      <c r="E28" s="201">
        <v>309.18543171404821</v>
      </c>
      <c r="F28" s="201">
        <v>283.65086585016365</v>
      </c>
      <c r="G28" s="201">
        <v>292.23602769943813</v>
      </c>
      <c r="H28" s="201">
        <v>310.76324763357877</v>
      </c>
      <c r="I28" s="549">
        <v>301.33141438803534</v>
      </c>
      <c r="J28" s="201">
        <v>285.07081894391871</v>
      </c>
      <c r="K28" s="531">
        <f>SUM(C28:J28)</f>
        <v>2363.3092819726535</v>
      </c>
      <c r="L28" s="373"/>
      <c r="M28" s="139"/>
      <c r="N28" s="246"/>
      <c r="O28" s="556"/>
      <c r="P28" s="337"/>
      <c r="Q28" s="668"/>
      <c r="AC28" s="480"/>
      <c r="AP28" s="480"/>
      <c r="AT28" s="1" t="s">
        <v>51</v>
      </c>
      <c r="BJ28" s="336"/>
      <c r="BM28" s="27" t="s">
        <v>360</v>
      </c>
      <c r="BS28" s="176"/>
      <c r="CC28" s="785"/>
      <c r="CD28" s="342"/>
      <c r="CE28" s="342"/>
      <c r="CF28" s="342"/>
      <c r="CP28" s="336"/>
    </row>
    <row r="29" spans="1:94" ht="16.149999999999999" thickBot="1">
      <c r="B29" s="254" t="s">
        <v>418</v>
      </c>
      <c r="C29" s="255">
        <f>SUM(C25:C28)</f>
        <v>1622.770117654024</v>
      </c>
      <c r="D29" s="255">
        <f t="shared" ref="D29:J29" si="12">SUM(D25:D28)</f>
        <v>1218.4507402939655</v>
      </c>
      <c r="E29" s="255">
        <f t="shared" si="12"/>
        <v>1309.2853822727789</v>
      </c>
      <c r="F29" s="255">
        <f t="shared" si="12"/>
        <v>1225.5059178957749</v>
      </c>
      <c r="G29" s="255">
        <f t="shared" si="12"/>
        <v>1128.0476967056607</v>
      </c>
      <c r="H29" s="255">
        <f t="shared" si="12"/>
        <v>1083.5107879866378</v>
      </c>
      <c r="I29" s="548">
        <f t="shared" si="12"/>
        <v>1063.9872337747354</v>
      </c>
      <c r="J29" s="255">
        <f t="shared" si="12"/>
        <v>1430.0419944778055</v>
      </c>
      <c r="K29" s="256">
        <f t="shared" si="8"/>
        <v>10081.59987106138</v>
      </c>
      <c r="L29" s="662">
        <f>(K29-K17)/K17</f>
        <v>-0.21968735524519636</v>
      </c>
      <c r="M29" s="141"/>
      <c r="N29" s="659" t="s">
        <v>542</v>
      </c>
      <c r="O29" s="677">
        <f>(O27-O16)/O16</f>
        <v>-0.21442852863393916</v>
      </c>
      <c r="P29" s="337"/>
      <c r="Q29" s="669"/>
      <c r="AC29" s="480"/>
      <c r="AM29" s="116"/>
      <c r="AN29" s="116"/>
      <c r="AP29" s="480"/>
      <c r="AT29" s="116"/>
      <c r="AU29" s="116"/>
      <c r="AV29" s="116"/>
      <c r="AW29" s="116"/>
      <c r="AX29" s="116"/>
      <c r="AY29" s="116"/>
      <c r="AZ29" s="214" t="s">
        <v>176</v>
      </c>
      <c r="BA29" s="116"/>
      <c r="BB29" s="116"/>
      <c r="BC29" s="116"/>
      <c r="BD29" s="116"/>
      <c r="BE29" s="116"/>
      <c r="BJ29" s="336"/>
      <c r="BM29" s="116"/>
      <c r="BN29" s="116"/>
      <c r="BO29" s="116"/>
      <c r="BP29" s="116"/>
      <c r="BQ29" s="116"/>
      <c r="BR29" s="116"/>
      <c r="BS29" s="116"/>
      <c r="BT29" s="116"/>
      <c r="BU29" s="116"/>
      <c r="BV29" s="116"/>
      <c r="BW29" s="211">
        <f>SUM(BN32:BU33)</f>
        <v>15764.963230451402</v>
      </c>
      <c r="BX29" s="116"/>
      <c r="BY29" s="116"/>
      <c r="BZ29" s="116"/>
      <c r="CC29" s="785"/>
      <c r="CD29" s="342"/>
      <c r="CE29" s="342"/>
      <c r="CF29" s="342"/>
      <c r="CP29" s="336"/>
    </row>
    <row r="30" spans="1:94" ht="12.75" thickBot="1">
      <c r="C30" s="140"/>
      <c r="D30" s="140"/>
      <c r="E30" s="140"/>
      <c r="F30" s="140"/>
      <c r="G30" s="140"/>
      <c r="H30" s="527"/>
      <c r="I30" s="203"/>
      <c r="J30" s="140"/>
      <c r="K30" s="140"/>
      <c r="L30" s="375"/>
      <c r="M30" s="140"/>
      <c r="N30" s="241"/>
      <c r="O30" s="551"/>
      <c r="P30" s="337"/>
      <c r="Q30" s="668"/>
      <c r="AC30" s="480"/>
      <c r="AP30" s="480"/>
      <c r="AT30" s="116" t="str">
        <f>R37</f>
        <v>£m, 2019-20 prices </v>
      </c>
      <c r="AU30" s="135" t="s">
        <v>123</v>
      </c>
      <c r="AV30" s="135" t="s">
        <v>123</v>
      </c>
      <c r="AW30" s="135" t="s">
        <v>123</v>
      </c>
      <c r="AX30" s="135" t="s">
        <v>123</v>
      </c>
      <c r="AY30" s="135" t="s">
        <v>123</v>
      </c>
      <c r="AZ30" s="135" t="s">
        <v>123</v>
      </c>
      <c r="BA30" s="195" t="s">
        <v>123</v>
      </c>
      <c r="BB30" s="135" t="s">
        <v>124</v>
      </c>
      <c r="BC30" s="116"/>
      <c r="BD30" s="116"/>
      <c r="BE30" s="116"/>
      <c r="BJ30" s="336"/>
      <c r="BM30" s="116" t="str">
        <f>AK37</f>
        <v>ACTUAL</v>
      </c>
      <c r="BN30" s="135" t="s">
        <v>123</v>
      </c>
      <c r="BO30" s="135" t="s">
        <v>123</v>
      </c>
      <c r="BP30" s="135" t="s">
        <v>123</v>
      </c>
      <c r="BQ30" s="135" t="s">
        <v>123</v>
      </c>
      <c r="BR30" s="135" t="s">
        <v>123</v>
      </c>
      <c r="BS30" s="135" t="s">
        <v>123</v>
      </c>
      <c r="BT30" s="195" t="s">
        <v>123</v>
      </c>
      <c r="BU30" s="135" t="s">
        <v>124</v>
      </c>
      <c r="BV30" s="116"/>
      <c r="BW30" s="211">
        <f>SUM(BN34:BU34)</f>
        <v>19019.822268570995</v>
      </c>
      <c r="BX30" s="116"/>
      <c r="BY30" s="116"/>
      <c r="BZ30" s="116"/>
      <c r="CC30" s="83"/>
      <c r="CD30" s="83"/>
      <c r="CE30" s="83"/>
      <c r="CF30" s="83"/>
      <c r="CP30" s="336"/>
    </row>
    <row r="31" spans="1:94" ht="14.65">
      <c r="B31" s="257" t="s">
        <v>1</v>
      </c>
      <c r="C31" s="258" t="s">
        <v>123</v>
      </c>
      <c r="D31" s="258" t="s">
        <v>123</v>
      </c>
      <c r="E31" s="258" t="s">
        <v>123</v>
      </c>
      <c r="F31" s="258" t="s">
        <v>123</v>
      </c>
      <c r="G31" s="258" t="s">
        <v>123</v>
      </c>
      <c r="H31" s="258" t="s">
        <v>123</v>
      </c>
      <c r="I31" s="259" t="str">
        <f>I14</f>
        <v>ACTUAL</v>
      </c>
      <c r="J31" s="258" t="s">
        <v>124</v>
      </c>
      <c r="K31" s="534"/>
      <c r="L31" s="375"/>
      <c r="M31" s="140"/>
      <c r="N31" s="246"/>
      <c r="O31" s="556"/>
      <c r="P31" s="337"/>
      <c r="Q31" s="668"/>
      <c r="AC31" s="480"/>
      <c r="AP31" s="480"/>
      <c r="AT31" s="116"/>
      <c r="AU31" s="190">
        <v>2014</v>
      </c>
      <c r="AV31" s="190">
        <v>2015</v>
      </c>
      <c r="AW31" s="190">
        <v>2016</v>
      </c>
      <c r="AX31" s="190">
        <v>2017</v>
      </c>
      <c r="AY31" s="191">
        <v>2018</v>
      </c>
      <c r="AZ31" s="543">
        <v>2019</v>
      </c>
      <c r="BA31" s="196">
        <v>2020</v>
      </c>
      <c r="BB31" s="537">
        <v>2021</v>
      </c>
      <c r="BC31" s="116"/>
      <c r="BD31" s="116"/>
      <c r="BE31" s="116"/>
      <c r="BJ31" s="336"/>
      <c r="BM31" s="116"/>
      <c r="BN31" s="190">
        <v>2014</v>
      </c>
      <c r="BO31" s="190">
        <v>2015</v>
      </c>
      <c r="BP31" s="190">
        <v>2016</v>
      </c>
      <c r="BQ31" s="190">
        <v>2017</v>
      </c>
      <c r="BR31" s="191">
        <v>2018</v>
      </c>
      <c r="BS31" s="191">
        <v>2019</v>
      </c>
      <c r="BT31" s="196">
        <v>2020</v>
      </c>
      <c r="BU31" s="537">
        <v>2021</v>
      </c>
      <c r="BV31" s="116"/>
      <c r="BW31" s="211"/>
      <c r="BX31" s="116"/>
      <c r="BY31" s="116"/>
      <c r="BZ31" s="116"/>
      <c r="CP31" s="336"/>
    </row>
    <row r="32" spans="1:94" ht="15.75">
      <c r="A32" t="s">
        <v>405</v>
      </c>
      <c r="B32" s="246"/>
      <c r="C32" s="260">
        <v>2014</v>
      </c>
      <c r="D32" s="260">
        <v>2015</v>
      </c>
      <c r="E32" s="260">
        <v>2016</v>
      </c>
      <c r="F32" s="260">
        <v>2017</v>
      </c>
      <c r="G32" s="260">
        <v>2018</v>
      </c>
      <c r="H32" s="260">
        <v>2019</v>
      </c>
      <c r="I32" s="204">
        <v>2020</v>
      </c>
      <c r="J32" s="260">
        <v>2021</v>
      </c>
      <c r="K32" s="535" t="s">
        <v>52</v>
      </c>
      <c r="L32" s="374"/>
      <c r="M32" s="141"/>
      <c r="N32" s="552"/>
      <c r="O32" s="553" t="str">
        <f>O15</f>
        <v>RRP19: 8 year forecast</v>
      </c>
      <c r="P32" s="337"/>
      <c r="Q32" s="668"/>
      <c r="AC32" s="480"/>
      <c r="AP32" s="480"/>
      <c r="AT32" s="43" t="s">
        <v>6</v>
      </c>
      <c r="AU32" s="3">
        <f t="shared" ref="AU32:AY32" si="13">AU6</f>
        <v>201.46679721949295</v>
      </c>
      <c r="AV32" s="3">
        <f t="shared" si="13"/>
        <v>383.30854529452893</v>
      </c>
      <c r="AW32" s="3">
        <f t="shared" si="13"/>
        <v>586.88690418985493</v>
      </c>
      <c r="AX32" s="3">
        <f t="shared" si="13"/>
        <v>506.28603081089432</v>
      </c>
      <c r="AY32" s="192">
        <f t="shared" si="13"/>
        <v>455.6066645297301</v>
      </c>
      <c r="AZ32" s="544">
        <f t="shared" ref="AZ32:BA32" si="14">AZ6</f>
        <v>354.30505395978389</v>
      </c>
      <c r="BA32" s="197">
        <f t="shared" si="14"/>
        <v>368.77111621122066</v>
      </c>
      <c r="BB32" s="116"/>
      <c r="BJ32" s="336"/>
      <c r="BM32" s="43" t="s">
        <v>6</v>
      </c>
      <c r="BN32" s="3">
        <f>S6+AF6+AU32</f>
        <v>2100.6577685277466</v>
      </c>
      <c r="BO32" s="3">
        <f t="shared" ref="BO32:BT32" si="15">T6+AG6+AV32</f>
        <v>1918.3917908358089</v>
      </c>
      <c r="BP32" s="3">
        <f t="shared" si="15"/>
        <v>2294.2176475898259</v>
      </c>
      <c r="BQ32" s="3">
        <f t="shared" si="15"/>
        <v>2110.8965863504018</v>
      </c>
      <c r="BR32" s="192">
        <f t="shared" si="15"/>
        <v>1836.1191422078159</v>
      </c>
      <c r="BS32" s="192">
        <f t="shared" si="15"/>
        <v>1630.3618667036617</v>
      </c>
      <c r="BT32" s="197">
        <f t="shared" si="15"/>
        <v>1637.2768313649908</v>
      </c>
      <c r="BU32" s="539">
        <f>BB32+Z39+AM39</f>
        <v>0</v>
      </c>
      <c r="BV32" s="116"/>
      <c r="BW32" s="271"/>
      <c r="BX32" s="116"/>
      <c r="BY32" s="116"/>
      <c r="BZ32" s="116"/>
      <c r="CP32" s="336"/>
    </row>
    <row r="33" spans="1:94" ht="15.75">
      <c r="A33" s="179" t="s">
        <v>406</v>
      </c>
      <c r="B33" s="248" t="s">
        <v>142</v>
      </c>
      <c r="C33" s="201">
        <v>312.34545607660476</v>
      </c>
      <c r="D33" s="201">
        <v>391.51171203566685</v>
      </c>
      <c r="E33" s="201">
        <v>294.51880822061969</v>
      </c>
      <c r="F33" s="201">
        <v>147.41754109602664</v>
      </c>
      <c r="G33" s="201">
        <v>193.15526846736498</v>
      </c>
      <c r="H33" s="201">
        <v>209.94175520748794</v>
      </c>
      <c r="I33" s="138">
        <v>175.91628794609224</v>
      </c>
      <c r="J33" s="201">
        <v>74.29310458784434</v>
      </c>
      <c r="K33" s="531">
        <f>SUM(C33:J33)</f>
        <v>1799.0999336377074</v>
      </c>
      <c r="L33" s="373"/>
      <c r="M33" s="139"/>
      <c r="N33" s="681" t="str">
        <f>B34</f>
        <v>TOTEX allowance (£/m) 2019/20 prices</v>
      </c>
      <c r="O33" s="656">
        <f>'[8]2.4_Totex'!$M$49*O14</f>
        <v>2423.4301287852413</v>
      </c>
      <c r="P33" s="337"/>
      <c r="Q33" s="667">
        <f>(K34-O33)/O33</f>
        <v>1.7816516952855185E-2</v>
      </c>
      <c r="AC33" s="480"/>
      <c r="AP33" s="480"/>
      <c r="AT33" s="43" t="s">
        <v>77</v>
      </c>
      <c r="AU33" s="2"/>
      <c r="AV33" s="2"/>
      <c r="AW33" s="2"/>
      <c r="AX33" s="44"/>
      <c r="AY33" s="193"/>
      <c r="AZ33" s="545"/>
      <c r="BA33" s="198"/>
      <c r="BB33" s="541">
        <f>BB7</f>
        <v>503.5792214125488</v>
      </c>
      <c r="BD33" s="211">
        <f>SUM(AU32:BB33)</f>
        <v>3360.2103336280543</v>
      </c>
      <c r="BE33" s="211"/>
      <c r="BJ33" s="336"/>
      <c r="BM33" s="43" t="s">
        <v>77</v>
      </c>
      <c r="BN33" s="3">
        <f t="shared" ref="BN33:BS33" si="16">AU33+S40+AF40</f>
        <v>0</v>
      </c>
      <c r="BO33" s="3">
        <f t="shared" si="16"/>
        <v>0</v>
      </c>
      <c r="BP33" s="3">
        <f t="shared" si="16"/>
        <v>0</v>
      </c>
      <c r="BQ33" s="3">
        <f t="shared" si="16"/>
        <v>0</v>
      </c>
      <c r="BR33" s="192">
        <f t="shared" si="16"/>
        <v>0</v>
      </c>
      <c r="BS33" s="192">
        <f t="shared" si="16"/>
        <v>0</v>
      </c>
      <c r="BT33" s="197">
        <f>Y7+AL7+BA33</f>
        <v>0</v>
      </c>
      <c r="BU33" s="539">
        <f>Z7+AM7+BB33</f>
        <v>2237.0415968711504</v>
      </c>
      <c r="BV33" s="116"/>
      <c r="BW33" s="116"/>
      <c r="BX33" s="116"/>
      <c r="BY33" s="116"/>
      <c r="BZ33" s="116"/>
      <c r="CP33" s="336"/>
    </row>
    <row r="34" spans="1:94" ht="16.149999999999999" thickBot="1">
      <c r="B34" s="249" t="s">
        <v>404</v>
      </c>
      <c r="C34" s="250">
        <f>SUM(C39:C40)</f>
        <v>420.73548904912843</v>
      </c>
      <c r="D34" s="250">
        <f t="shared" ref="D34:J34" si="17">SUM(D39:D40)</f>
        <v>527.37399705084385</v>
      </c>
      <c r="E34" s="250">
        <f t="shared" si="17"/>
        <v>396.72264283069336</v>
      </c>
      <c r="F34" s="250">
        <f t="shared" si="17"/>
        <v>198.57211099362672</v>
      </c>
      <c r="G34" s="250">
        <f t="shared" si="17"/>
        <v>260.95296492943663</v>
      </c>
      <c r="H34" s="250">
        <f t="shared" si="17"/>
        <v>283.85069287341707</v>
      </c>
      <c r="I34" s="240">
        <f t="shared" si="17"/>
        <v>245.93466772730324</v>
      </c>
      <c r="J34" s="250">
        <f t="shared" si="17"/>
        <v>132.4646473043544</v>
      </c>
      <c r="K34" s="532">
        <f t="shared" ref="K34:K46" si="18">SUM(C34:J34)</f>
        <v>2466.6072127588036</v>
      </c>
      <c r="L34" s="373"/>
      <c r="M34" s="139"/>
      <c r="N34" s="685" t="s">
        <v>538</v>
      </c>
      <c r="O34" s="654">
        <f>'[7]8-year TO forecasts'!K36*$O$14</f>
        <v>1318.3043228933639</v>
      </c>
      <c r="P34" s="337"/>
      <c r="Q34" s="667">
        <f>(K36-O34)/O34</f>
        <v>4.8309980670372323E-2</v>
      </c>
      <c r="AC34" s="480"/>
      <c r="AP34" s="480"/>
      <c r="AT34" s="2" t="s">
        <v>78</v>
      </c>
      <c r="AU34" s="45">
        <f>AU8</f>
        <v>270.77214511443947</v>
      </c>
      <c r="AV34" s="45">
        <f t="shared" ref="AV34:AY34" si="19">AV8</f>
        <v>474.66532001474621</v>
      </c>
      <c r="AW34" s="45">
        <f t="shared" si="19"/>
        <v>899.19320432599261</v>
      </c>
      <c r="AX34" s="45">
        <f t="shared" si="19"/>
        <v>733.75794233344709</v>
      </c>
      <c r="AY34" s="45">
        <f t="shared" si="19"/>
        <v>439.52845066845015</v>
      </c>
      <c r="AZ34" s="546">
        <f t="shared" ref="AZ34" si="20">AZ8</f>
        <v>235.33019812921148</v>
      </c>
      <c r="BA34" s="200">
        <f>BA8+BA52</f>
        <v>242.34735822008724</v>
      </c>
      <c r="BB34" s="542">
        <f>BB8+BB52</f>
        <v>337.67105667852348</v>
      </c>
      <c r="BC34" s="116"/>
      <c r="BD34" s="211">
        <f>SUM(AU34:BB34)</f>
        <v>3633.2656754848981</v>
      </c>
      <c r="BE34" s="211"/>
      <c r="BF34" s="211"/>
      <c r="BJ34" s="336"/>
      <c r="BM34" s="2" t="s">
        <v>78</v>
      </c>
      <c r="BN34" s="3">
        <f t="shared" ref="BN34:BS34" si="21">S8+AF8+AU34</f>
        <v>2841.4394237146621</v>
      </c>
      <c r="BO34" s="3">
        <f t="shared" si="21"/>
        <v>2851.8823269489521</v>
      </c>
      <c r="BP34" s="3">
        <f t="shared" si="21"/>
        <v>2834.6860219556374</v>
      </c>
      <c r="BQ34" s="3">
        <f t="shared" si="21"/>
        <v>2349.148935423219</v>
      </c>
      <c r="BR34" s="192">
        <f t="shared" si="21"/>
        <v>2105.879246874887</v>
      </c>
      <c r="BS34" s="192">
        <f t="shared" si="21"/>
        <v>2150.838114756395</v>
      </c>
      <c r="BT34" s="209">
        <f>Y8+AL8+BA34</f>
        <v>1982.7253079717389</v>
      </c>
      <c r="BU34" s="539">
        <f>Z8+AM8+BB34</f>
        <v>1903.2228909255055</v>
      </c>
      <c r="BV34" s="116"/>
      <c r="BW34" s="116"/>
      <c r="BX34" s="116"/>
      <c r="BY34" s="116"/>
      <c r="BZ34" s="116"/>
      <c r="CP34" s="336"/>
    </row>
    <row r="35" spans="1:94" s="116" customFormat="1" ht="15.75">
      <c r="B35" s="248"/>
      <c r="C35" s="201"/>
      <c r="D35" s="201"/>
      <c r="E35" s="201"/>
      <c r="F35" s="201"/>
      <c r="G35" s="201"/>
      <c r="H35" s="201"/>
      <c r="I35" s="138"/>
      <c r="J35" s="201"/>
      <c r="K35" s="531"/>
      <c r="L35" s="373"/>
      <c r="M35" s="139"/>
      <c r="N35" s="653" t="s">
        <v>537</v>
      </c>
      <c r="O35" s="654">
        <f>'[7]8-year TO forecasts'!K37*$O$14</f>
        <v>883.35854772777111</v>
      </c>
      <c r="P35" s="337"/>
      <c r="Q35" s="667">
        <f>(K37-O35)/O35</f>
        <v>-1.8478424570446066E-2</v>
      </c>
      <c r="R35" s="1" t="s">
        <v>187</v>
      </c>
      <c r="AC35" s="480"/>
      <c r="AE35" s="1" t="s">
        <v>1</v>
      </c>
      <c r="AP35" s="480"/>
      <c r="BD35" s="211"/>
      <c r="BJ35" s="336"/>
      <c r="CP35" s="336"/>
    </row>
    <row r="36" spans="1:94" s="116" customFormat="1" ht="27" customHeight="1" thickBot="1">
      <c r="B36" s="248" t="s">
        <v>409</v>
      </c>
      <c r="C36" s="201">
        <v>306.09653028408178</v>
      </c>
      <c r="D36" s="201">
        <v>409.77181218063697</v>
      </c>
      <c r="E36" s="201">
        <v>276.43391259450698</v>
      </c>
      <c r="F36" s="201">
        <v>60.757318933322587</v>
      </c>
      <c r="G36" s="201">
        <v>111.04257101767158</v>
      </c>
      <c r="H36" s="201">
        <v>135.30570113456051</v>
      </c>
      <c r="I36" s="138">
        <v>85.387232733743403</v>
      </c>
      <c r="J36" s="201">
        <v>-2.8034996285132037</v>
      </c>
      <c r="K36" s="531">
        <f t="shared" si="18"/>
        <v>1381.9915792500105</v>
      </c>
      <c r="L36" s="373"/>
      <c r="M36" s="626"/>
      <c r="N36" s="653" t="s">
        <v>534</v>
      </c>
      <c r="O36" s="654">
        <f>'[7]8-year TO forecasts'!K38*$O$14</f>
        <v>9.6985701577861629</v>
      </c>
      <c r="P36" s="337"/>
      <c r="Q36" s="667">
        <f t="shared" ref="Q36:Q37" si="22">(K38-O36)/O36</f>
        <v>-2.9043206019566123E-6</v>
      </c>
      <c r="V36" s="214" t="s">
        <v>176</v>
      </c>
      <c r="AC36" s="480"/>
      <c r="AF36"/>
      <c r="AG36"/>
      <c r="AH36"/>
      <c r="AI36"/>
      <c r="AJ36"/>
      <c r="AK36" s="214" t="s">
        <v>176</v>
      </c>
      <c r="AL36"/>
      <c r="AM36"/>
      <c r="AN36"/>
      <c r="AP36" s="480"/>
      <c r="AT36" s="473" t="s">
        <v>389</v>
      </c>
      <c r="BJ36" s="336"/>
      <c r="BU36" s="1" t="s">
        <v>163</v>
      </c>
      <c r="CP36" s="336"/>
    </row>
    <row r="37" spans="1:94" s="116" customFormat="1" ht="15.75">
      <c r="B37" s="248" t="s">
        <v>410</v>
      </c>
      <c r="C37" s="201">
        <v>89.988497873722849</v>
      </c>
      <c r="D37" s="201">
        <v>92.817022006799306</v>
      </c>
      <c r="E37" s="201">
        <v>94.964759484443917</v>
      </c>
      <c r="F37" s="201">
        <v>110.20088778313811</v>
      </c>
      <c r="G37" s="201">
        <v>122.02708569043153</v>
      </c>
      <c r="H37" s="201">
        <v>121.06578943377431</v>
      </c>
      <c r="I37" s="138">
        <v>130.46862651461703</v>
      </c>
      <c r="J37" s="201">
        <v>105.50280464799759</v>
      </c>
      <c r="K37" s="531">
        <f t="shared" si="18"/>
        <v>867.03547343492471</v>
      </c>
      <c r="L37" s="373"/>
      <c r="M37" s="626"/>
      <c r="N37" s="653" t="s">
        <v>531</v>
      </c>
      <c r="O37" s="654">
        <f>'[7]8-year TO forecasts'!K39*$O$14</f>
        <v>212.06868800632029</v>
      </c>
      <c r="P37" s="337"/>
      <c r="Q37" s="667">
        <f t="shared" si="22"/>
        <v>-1.9743932788210451E-2</v>
      </c>
      <c r="R37" s="116" t="str">
        <f>R4</f>
        <v>£m, 2019-20 prices </v>
      </c>
      <c r="S37" s="135" t="s">
        <v>123</v>
      </c>
      <c r="T37" s="135" t="s">
        <v>123</v>
      </c>
      <c r="U37" s="135" t="s">
        <v>123</v>
      </c>
      <c r="V37" s="135" t="s">
        <v>123</v>
      </c>
      <c r="W37" s="135" t="s">
        <v>123</v>
      </c>
      <c r="X37" s="135" t="s">
        <v>123</v>
      </c>
      <c r="Y37" s="195" t="s">
        <v>123</v>
      </c>
      <c r="Z37" s="135" t="s">
        <v>124</v>
      </c>
      <c r="AA37" s="437"/>
      <c r="AB37" s="437"/>
      <c r="AC37" s="480"/>
      <c r="AE37" s="116" t="str">
        <f>R37</f>
        <v>£m, 2019-20 prices </v>
      </c>
      <c r="AF37" s="135" t="s">
        <v>123</v>
      </c>
      <c r="AG37" s="135" t="s">
        <v>123</v>
      </c>
      <c r="AH37" s="135" t="s">
        <v>123</v>
      </c>
      <c r="AI37" s="135" t="s">
        <v>123</v>
      </c>
      <c r="AJ37" s="135" t="s">
        <v>123</v>
      </c>
      <c r="AK37" s="135" t="s">
        <v>123</v>
      </c>
      <c r="AL37" s="195" t="s">
        <v>123</v>
      </c>
      <c r="AM37" s="135" t="s">
        <v>124</v>
      </c>
      <c r="AN37"/>
      <c r="AP37" s="480"/>
      <c r="BJ37" s="336"/>
      <c r="BU37" s="116" t="s">
        <v>182</v>
      </c>
      <c r="CP37" s="336"/>
    </row>
    <row r="38" spans="1:94" s="116" customFormat="1" ht="15.75">
      <c r="B38" s="248" t="s">
        <v>411</v>
      </c>
      <c r="C38" s="201">
        <v>1.2123177487536307</v>
      </c>
      <c r="D38" s="201">
        <v>1.2123177487536307</v>
      </c>
      <c r="E38" s="201">
        <v>1.2123177487536307</v>
      </c>
      <c r="F38" s="201">
        <v>1.2123177487536307</v>
      </c>
      <c r="G38" s="201">
        <v>1.2123177487536307</v>
      </c>
      <c r="H38" s="201">
        <v>1.2123177487536307</v>
      </c>
      <c r="I38" s="138">
        <v>1.2123177487536307</v>
      </c>
      <c r="J38" s="201">
        <v>1.2123177487536307</v>
      </c>
      <c r="K38" s="531">
        <f t="shared" si="18"/>
        <v>9.6985419900290442</v>
      </c>
      <c r="L38" s="373"/>
      <c r="M38" s="626"/>
      <c r="N38" s="554"/>
      <c r="O38" s="652"/>
      <c r="P38" s="337"/>
      <c r="Q38" s="668"/>
      <c r="S38" s="190">
        <v>2014</v>
      </c>
      <c r="T38" s="190">
        <v>2015</v>
      </c>
      <c r="U38" s="190">
        <v>2016</v>
      </c>
      <c r="V38" s="190">
        <v>2017</v>
      </c>
      <c r="W38" s="191">
        <v>2018</v>
      </c>
      <c r="X38" s="191">
        <v>2019</v>
      </c>
      <c r="Y38" s="196">
        <v>2020</v>
      </c>
      <c r="Z38" s="537">
        <v>2021</v>
      </c>
      <c r="AC38" s="480"/>
      <c r="AF38" s="190">
        <v>2014</v>
      </c>
      <c r="AG38" s="190">
        <v>2015</v>
      </c>
      <c r="AH38" s="190">
        <v>2016</v>
      </c>
      <c r="AI38" s="190">
        <v>2017</v>
      </c>
      <c r="AJ38" s="191">
        <v>2018</v>
      </c>
      <c r="AK38" s="543">
        <v>2019</v>
      </c>
      <c r="AL38" s="196">
        <v>2020</v>
      </c>
      <c r="AM38" s="537">
        <v>2021</v>
      </c>
      <c r="AN38"/>
      <c r="AP38" s="480"/>
      <c r="BJ38" s="336"/>
      <c r="BU38" s="116" t="s">
        <v>364</v>
      </c>
      <c r="CP38" s="336"/>
    </row>
    <row r="39" spans="1:94" ht="15.75">
      <c r="B39" s="251" t="s">
        <v>412</v>
      </c>
      <c r="C39" s="252">
        <v>23.438143142570198</v>
      </c>
      <c r="D39" s="252">
        <v>23.57284511465393</v>
      </c>
      <c r="E39" s="252">
        <v>24.111653002988881</v>
      </c>
      <c r="F39" s="252">
        <v>26.401586528412405</v>
      </c>
      <c r="G39" s="252">
        <v>26.670990472579881</v>
      </c>
      <c r="H39" s="252">
        <v>26.266884556328673</v>
      </c>
      <c r="I39" s="239">
        <v>28.866490730189156</v>
      </c>
      <c r="J39" s="252">
        <v>28.553024536116396</v>
      </c>
      <c r="K39" s="533">
        <f t="shared" si="18"/>
        <v>207.88161808383953</v>
      </c>
      <c r="L39" s="373"/>
      <c r="M39" s="626"/>
      <c r="N39" s="682" t="s">
        <v>532</v>
      </c>
      <c r="O39" s="683">
        <f>'[7]8-year TO forecasts'!K42*$O$14</f>
        <v>1258.3948232217949</v>
      </c>
      <c r="P39" s="337"/>
      <c r="Q39" s="667">
        <f>(K42-O39)/O39</f>
        <v>-2.7852519165425468E-2</v>
      </c>
      <c r="R39" s="665" t="s">
        <v>6</v>
      </c>
      <c r="S39" s="3">
        <f>S6</f>
        <v>1622.770117654024</v>
      </c>
      <c r="T39" s="3">
        <f t="shared" ref="T39:W39" si="23">T6</f>
        <v>1218.4507402939655</v>
      </c>
      <c r="U39" s="3">
        <f t="shared" si="23"/>
        <v>1309.2853822727789</v>
      </c>
      <c r="V39" s="3">
        <f t="shared" si="23"/>
        <v>1225.5059178957749</v>
      </c>
      <c r="W39" s="192">
        <f t="shared" si="23"/>
        <v>1128.0476967056607</v>
      </c>
      <c r="X39" s="192">
        <f t="shared" ref="X39:Y39" si="24">X6</f>
        <v>1083.5107879866378</v>
      </c>
      <c r="Y39" s="197">
        <f t="shared" si="24"/>
        <v>1063.9872337747354</v>
      </c>
      <c r="Z39" s="116"/>
      <c r="AC39" s="480"/>
      <c r="AE39" s="43" t="s">
        <v>6</v>
      </c>
      <c r="AF39" s="3">
        <f t="shared" ref="AF39:AL39" si="25">AF6</f>
        <v>276.42085365422957</v>
      </c>
      <c r="AG39" s="3">
        <f t="shared" si="25"/>
        <v>316.63250524731433</v>
      </c>
      <c r="AH39" s="3">
        <f t="shared" si="25"/>
        <v>398.04536112719177</v>
      </c>
      <c r="AI39" s="3">
        <f t="shared" si="25"/>
        <v>379.1046376437323</v>
      </c>
      <c r="AJ39" s="3">
        <f t="shared" si="25"/>
        <v>252.46478097242527</v>
      </c>
      <c r="AK39" s="544">
        <f t="shared" si="25"/>
        <v>192.5460247572401</v>
      </c>
      <c r="AL39" s="197">
        <f t="shared" si="25"/>
        <v>204.51848137903463</v>
      </c>
      <c r="AM39" s="116"/>
      <c r="AP39" s="480"/>
      <c r="BJ39" s="336"/>
      <c r="BU39" s="116" t="s">
        <v>267</v>
      </c>
      <c r="BV39" s="116"/>
      <c r="BW39" s="116"/>
      <c r="CF39" s="116"/>
      <c r="CG39" s="116"/>
      <c r="CH39" s="116"/>
      <c r="CP39" s="336"/>
    </row>
    <row r="40" spans="1:94" ht="15.75">
      <c r="B40" s="251" t="s">
        <v>413</v>
      </c>
      <c r="C40" s="252">
        <f>SUM(C36:C38)</f>
        <v>397.29734590655823</v>
      </c>
      <c r="D40" s="252">
        <f t="shared" ref="D40:J40" si="26">SUM(D36:D38)</f>
        <v>503.80115193618991</v>
      </c>
      <c r="E40" s="252">
        <f t="shared" si="26"/>
        <v>372.61098982770449</v>
      </c>
      <c r="F40" s="252">
        <f t="shared" si="26"/>
        <v>172.17052446521433</v>
      </c>
      <c r="G40" s="252">
        <f t="shared" si="26"/>
        <v>234.28197445685674</v>
      </c>
      <c r="H40" s="252">
        <f t="shared" si="26"/>
        <v>257.58380831708843</v>
      </c>
      <c r="I40" s="239">
        <f t="shared" si="26"/>
        <v>217.06817699711408</v>
      </c>
      <c r="J40" s="252">
        <f t="shared" si="26"/>
        <v>103.91162276823802</v>
      </c>
      <c r="K40" s="533">
        <f t="shared" si="18"/>
        <v>2258.7255946749642</v>
      </c>
      <c r="L40" s="373"/>
      <c r="M40" s="139"/>
      <c r="N40" s="682" t="s">
        <v>533</v>
      </c>
      <c r="O40" s="683">
        <f>'[7]8-year TO forecasts'!K43*$O$14</f>
        <v>780.35710268219214</v>
      </c>
      <c r="P40" s="337"/>
      <c r="Q40" s="667">
        <f t="shared" ref="Q40" si="27">(K43-O40)/O40</f>
        <v>1.053879967959238E-2</v>
      </c>
      <c r="R40" s="665" t="s">
        <v>77</v>
      </c>
      <c r="S40" s="2"/>
      <c r="T40" s="2"/>
      <c r="U40" s="2"/>
      <c r="V40" s="44"/>
      <c r="W40" s="193"/>
      <c r="X40" s="193"/>
      <c r="Y40" s="540"/>
      <c r="Z40" s="538">
        <f>Z7</f>
        <v>1430.0419944778055</v>
      </c>
      <c r="AB40" s="211">
        <f>SUM(S39:Z40)</f>
        <v>10081.59987106138</v>
      </c>
      <c r="AC40" s="480"/>
      <c r="AE40" s="43" t="s">
        <v>77</v>
      </c>
      <c r="AF40" s="2"/>
      <c r="AG40" s="2"/>
      <c r="AH40" s="2"/>
      <c r="AI40" s="2"/>
      <c r="AJ40" s="2"/>
      <c r="AK40" s="547"/>
      <c r="AL40" s="198"/>
      <c r="AM40" s="541">
        <f>AM7-AN51</f>
        <v>301.60786212930066</v>
      </c>
      <c r="AO40" s="211">
        <f>SUM(AF39:AM40)</f>
        <v>2321.3405069104683</v>
      </c>
      <c r="AP40" s="480"/>
      <c r="BJ40" s="336"/>
      <c r="BU40" s="563"/>
      <c r="BV40" s="563"/>
      <c r="BW40" s="563"/>
      <c r="CF40" s="116"/>
      <c r="CG40" s="116"/>
      <c r="CH40" s="116"/>
      <c r="CP40" s="336"/>
    </row>
    <row r="41" spans="1:94" s="116" customFormat="1" ht="16.149999999999999" thickBot="1">
      <c r="B41" s="248"/>
      <c r="C41" s="201"/>
      <c r="D41" s="201"/>
      <c r="E41" s="201"/>
      <c r="F41" s="201"/>
      <c r="G41" s="201"/>
      <c r="H41" s="201"/>
      <c r="I41" s="138"/>
      <c r="J41" s="201"/>
      <c r="K41" s="531"/>
      <c r="L41" s="373"/>
      <c r="M41" s="139"/>
      <c r="N41" s="682" t="s">
        <v>535</v>
      </c>
      <c r="O41" s="683">
        <f>'[7]8-year TO forecasts'!K44*$O$14</f>
        <v>19.237632094312154</v>
      </c>
      <c r="P41" s="337"/>
      <c r="Q41" s="667">
        <f>(K44-O41)/O41</f>
        <v>-0.1470204884887267</v>
      </c>
      <c r="R41" s="666" t="s">
        <v>78</v>
      </c>
      <c r="S41" s="192">
        <f t="shared" ref="S41:W41" si="28">S8</f>
        <v>2149.9317895510944</v>
      </c>
      <c r="T41" s="192">
        <f t="shared" si="28"/>
        <v>1849.8430098833621</v>
      </c>
      <c r="U41" s="192">
        <f t="shared" si="28"/>
        <v>1538.7701747989515</v>
      </c>
      <c r="V41" s="192">
        <f t="shared" si="28"/>
        <v>1416.8188820961454</v>
      </c>
      <c r="W41" s="192">
        <f t="shared" si="28"/>
        <v>1405.3978312770003</v>
      </c>
      <c r="X41" s="192">
        <f>X8</f>
        <v>1631.6572237537666</v>
      </c>
      <c r="Y41" s="209">
        <f>Y8-X57</f>
        <v>1817.7280150253164</v>
      </c>
      <c r="Z41" s="539">
        <f>Z8-Y57</f>
        <v>1756.3719199435959</v>
      </c>
      <c r="AB41" s="211">
        <f>SUM(S41:Z41)</f>
        <v>13566.518846329234</v>
      </c>
      <c r="AC41" s="480"/>
      <c r="AE41" s="2" t="s">
        <v>78</v>
      </c>
      <c r="AF41" s="45">
        <f t="shared" ref="AF41:AM41" si="29">AF8</f>
        <v>420.73548904912843</v>
      </c>
      <c r="AG41" s="45">
        <f t="shared" si="29"/>
        <v>527.37399705084385</v>
      </c>
      <c r="AH41" s="45">
        <f t="shared" si="29"/>
        <v>396.72264283069336</v>
      </c>
      <c r="AI41" s="45">
        <f t="shared" si="29"/>
        <v>198.57211099362672</v>
      </c>
      <c r="AJ41" s="45">
        <f t="shared" si="29"/>
        <v>260.95296492943663</v>
      </c>
      <c r="AK41" s="546">
        <f t="shared" ref="AK41" si="30">AK8</f>
        <v>283.85069287341707</v>
      </c>
      <c r="AL41" s="200">
        <f t="shared" ref="AL41" si="31">AL8</f>
        <v>245.93466772730324</v>
      </c>
      <c r="AM41" s="542">
        <f t="shared" si="29"/>
        <v>132.4646473043544</v>
      </c>
      <c r="AN41"/>
      <c r="AO41" s="211">
        <f>SUM(AF41:AM41)</f>
        <v>2466.6072127588036</v>
      </c>
      <c r="AP41" s="480"/>
      <c r="BJ41" s="336"/>
      <c r="BU41" s="563"/>
      <c r="BV41" s="563"/>
      <c r="BW41" s="563"/>
      <c r="CP41" s="336"/>
    </row>
    <row r="42" spans="1:94" s="116" customFormat="1" ht="15.75">
      <c r="B42" s="253" t="s">
        <v>414</v>
      </c>
      <c r="C42" s="201">
        <v>141.49924538255462</v>
      </c>
      <c r="D42" s="201">
        <v>191.62477394978396</v>
      </c>
      <c r="E42" s="201">
        <v>297.74310405763771</v>
      </c>
      <c r="F42" s="201">
        <v>250.56003808685466</v>
      </c>
      <c r="G42" s="201">
        <v>140.98661563553128</v>
      </c>
      <c r="H42" s="201">
        <v>64.005244099302573</v>
      </c>
      <c r="I42" s="138">
        <v>34.523518383734306</v>
      </c>
      <c r="J42" s="201">
        <v>102.40281769493862</v>
      </c>
      <c r="K42" s="531">
        <f>SUM(C42:J42)</f>
        <v>1223.3453572903377</v>
      </c>
      <c r="L42" s="373" t="s">
        <v>269</v>
      </c>
      <c r="M42" s="139"/>
      <c r="N42" s="682" t="s">
        <v>536</v>
      </c>
      <c r="O42" s="683">
        <f>'[7]8-year TO forecasts'!K45*$O$14</f>
        <v>287.44129475962609</v>
      </c>
      <c r="P42" s="337"/>
      <c r="Q42" s="667">
        <f>(K45-O42)/O42</f>
        <v>2.5660675602721703E-2</v>
      </c>
      <c r="X42" s="176"/>
      <c r="AC42" s="480"/>
      <c r="AP42" s="480"/>
      <c r="BJ42" s="336"/>
      <c r="BU42" s="563"/>
      <c r="BV42" s="563"/>
      <c r="BW42" s="563"/>
      <c r="CP42" s="336"/>
    </row>
    <row r="43" spans="1:94" s="116" customFormat="1" ht="15.75">
      <c r="B43" s="253" t="s">
        <v>415</v>
      </c>
      <c r="C43" s="201">
        <v>106.14533113667748</v>
      </c>
      <c r="D43" s="201">
        <v>94.618589347401596</v>
      </c>
      <c r="E43" s="201">
        <v>63.64277889771418</v>
      </c>
      <c r="F43" s="201">
        <v>88.11930028297455</v>
      </c>
      <c r="G43" s="201">
        <v>78.274401887377437</v>
      </c>
      <c r="H43" s="201">
        <v>89.912063449274385</v>
      </c>
      <c r="I43" s="138">
        <v>113.19301153571863</v>
      </c>
      <c r="J43" s="201">
        <v>154.67565332876865</v>
      </c>
      <c r="K43" s="531">
        <f>SUM(C43:J43)</f>
        <v>788.58112986590686</v>
      </c>
      <c r="L43" s="373" t="s">
        <v>269</v>
      </c>
      <c r="M43" s="139"/>
      <c r="N43" s="554"/>
      <c r="O43" s="553" t="str">
        <f>O15</f>
        <v>RRP19: 8 year forecast</v>
      </c>
      <c r="P43" s="337"/>
      <c r="Q43" s="668"/>
      <c r="R43" s="27" t="s">
        <v>173</v>
      </c>
      <c r="AC43" s="480"/>
      <c r="AE43" s="27" t="s">
        <v>185</v>
      </c>
      <c r="AP43" s="480"/>
      <c r="BJ43" s="336"/>
      <c r="BT43" s="1"/>
      <c r="BU43" s="563"/>
      <c r="BV43" s="563"/>
      <c r="BW43" s="563"/>
      <c r="CP43" s="336"/>
    </row>
    <row r="44" spans="1:94" s="116" customFormat="1" ht="15.75">
      <c r="B44" s="253" t="s">
        <v>416</v>
      </c>
      <c r="C44" s="201">
        <v>1.6066648498358553</v>
      </c>
      <c r="D44" s="201">
        <v>2.5438490658461785</v>
      </c>
      <c r="E44" s="201">
        <v>3.604997411490575</v>
      </c>
      <c r="F44" s="201">
        <v>2.405155185697236</v>
      </c>
      <c r="G44" s="201">
        <v>2.854519033554674</v>
      </c>
      <c r="H44" s="201">
        <v>0.8240701889750518</v>
      </c>
      <c r="I44" s="138">
        <v>1.1439318934460556</v>
      </c>
      <c r="J44" s="201">
        <v>1.4261183975943508</v>
      </c>
      <c r="K44" s="531">
        <f>SUM(C44:J44)</f>
        <v>16.409306026439975</v>
      </c>
      <c r="L44" s="373" t="s">
        <v>269</v>
      </c>
      <c r="M44" s="139"/>
      <c r="N44" s="655" t="s">
        <v>419</v>
      </c>
      <c r="O44" s="656">
        <f>'[8]2.4_Totex'!$M$23*O14</f>
        <v>2345.4308527579251</v>
      </c>
      <c r="P44" s="337"/>
      <c r="Q44" s="667">
        <f>(K46-O44)/O44</f>
        <v>-9.4983942799956849E-3</v>
      </c>
      <c r="AC44" s="480"/>
      <c r="AP44" s="480"/>
      <c r="BJ44" s="336"/>
      <c r="BU44" s="563"/>
      <c r="BV44" s="563"/>
      <c r="BW44" s="563"/>
      <c r="CP44" s="336"/>
    </row>
    <row r="45" spans="1:94" s="116" customFormat="1" ht="16.149999999999999" thickBot="1">
      <c r="A45" s="675"/>
      <c r="B45" s="253" t="s">
        <v>417</v>
      </c>
      <c r="C45" s="201">
        <v>27.169612285161612</v>
      </c>
      <c r="D45" s="201">
        <v>27.845292884282593</v>
      </c>
      <c r="E45" s="201">
        <v>33.054480760349271</v>
      </c>
      <c r="F45" s="201">
        <v>38.020144088205846</v>
      </c>
      <c r="G45" s="201">
        <v>30.349244415961866</v>
      </c>
      <c r="H45" s="201">
        <v>37.804647019688105</v>
      </c>
      <c r="I45" s="549">
        <v>55.658019566135643</v>
      </c>
      <c r="J45" s="201">
        <v>44.915791559494252</v>
      </c>
      <c r="K45" s="531">
        <f>SUM(C45:J45)</f>
        <v>294.81723257927916</v>
      </c>
      <c r="L45" s="373"/>
      <c r="M45" s="139"/>
      <c r="N45" s="246"/>
      <c r="O45" s="556"/>
      <c r="P45" s="337"/>
      <c r="Q45" s="668"/>
      <c r="X45" s="1" t="s">
        <v>163</v>
      </c>
      <c r="AC45" s="480"/>
      <c r="AL45" s="1" t="s">
        <v>163</v>
      </c>
      <c r="AP45" s="480"/>
      <c r="BA45" s="1" t="s">
        <v>163</v>
      </c>
      <c r="BJ45" s="336"/>
      <c r="CP45" s="336"/>
    </row>
    <row r="46" spans="1:94" ht="16.149999999999999" thickBot="1">
      <c r="B46" s="254" t="s">
        <v>418</v>
      </c>
      <c r="C46" s="255">
        <f>SUM(C42:C45)</f>
        <v>276.42085365422957</v>
      </c>
      <c r="D46" s="255">
        <f t="shared" ref="D46:J46" si="32">SUM(D42:D45)</f>
        <v>316.63250524731433</v>
      </c>
      <c r="E46" s="255">
        <f t="shared" si="32"/>
        <v>398.04536112719177</v>
      </c>
      <c r="F46" s="255">
        <f t="shared" si="32"/>
        <v>379.1046376437323</v>
      </c>
      <c r="G46" s="255">
        <f t="shared" si="32"/>
        <v>252.46478097242527</v>
      </c>
      <c r="H46" s="255">
        <f t="shared" si="32"/>
        <v>192.5460247572401</v>
      </c>
      <c r="I46" s="548">
        <f t="shared" si="32"/>
        <v>204.51848137903463</v>
      </c>
      <c r="J46" s="255">
        <f t="shared" si="32"/>
        <v>303.42038098079587</v>
      </c>
      <c r="K46" s="536">
        <f t="shared" si="18"/>
        <v>2323.1530257619638</v>
      </c>
      <c r="L46" s="662">
        <f>(K46-K34)/K34</f>
        <v>-5.815850462724946E-2</v>
      </c>
      <c r="M46" s="139"/>
      <c r="N46" s="657" t="s">
        <v>541</v>
      </c>
      <c r="O46" s="658">
        <f>(O44-O33)/O33</f>
        <v>-3.2185485812381898E-2</v>
      </c>
      <c r="P46" s="337"/>
      <c r="Q46" s="670"/>
      <c r="X46" t="s">
        <v>181</v>
      </c>
      <c r="AL46" s="116" t="s">
        <v>268</v>
      </c>
      <c r="AP46" s="480"/>
      <c r="BA46" s="116" t="s">
        <v>182</v>
      </c>
      <c r="BB46" s="116"/>
      <c r="BC46" s="116"/>
      <c r="BJ46" s="336"/>
      <c r="BM46" s="116"/>
      <c r="BN46" s="116"/>
      <c r="BO46" s="116"/>
      <c r="BP46" s="116"/>
      <c r="BQ46" s="116"/>
      <c r="BR46" s="116"/>
      <c r="BS46" s="116"/>
      <c r="BT46" s="83"/>
      <c r="BU46" s="180" t="s">
        <v>369</v>
      </c>
      <c r="BV46" s="116"/>
      <c r="BW46" s="116"/>
      <c r="BX46" s="116"/>
      <c r="CP46" s="336"/>
    </row>
    <row r="47" spans="1:94" ht="12.75" thickBot="1">
      <c r="C47" s="140"/>
      <c r="D47" s="140"/>
      <c r="E47" s="140"/>
      <c r="F47" s="140"/>
      <c r="G47" s="140"/>
      <c r="H47" s="527"/>
      <c r="I47" s="203"/>
      <c r="J47" s="140"/>
      <c r="K47" s="140"/>
      <c r="L47" s="214"/>
      <c r="M47" s="140"/>
      <c r="N47" s="550"/>
      <c r="O47" s="243"/>
      <c r="P47" s="337"/>
      <c r="Q47" s="668"/>
      <c r="X47" s="116" t="s">
        <v>171</v>
      </c>
      <c r="Y47" s="116"/>
      <c r="Z47" s="116"/>
      <c r="AL47" s="116" t="s">
        <v>183</v>
      </c>
      <c r="AP47" s="480"/>
      <c r="BA47" s="116" t="s">
        <v>172</v>
      </c>
      <c r="BB47" s="116"/>
      <c r="BC47" s="116"/>
      <c r="BJ47" s="336"/>
      <c r="BM47" s="116"/>
      <c r="BN47" s="116"/>
      <c r="BO47" s="116"/>
      <c r="BP47" s="116"/>
      <c r="BQ47" s="116"/>
      <c r="BR47" s="116"/>
      <c r="BS47" s="116"/>
      <c r="BT47" s="215"/>
      <c r="BU47" s="215"/>
      <c r="BV47" s="215"/>
      <c r="BW47" s="116"/>
      <c r="BX47" s="116"/>
      <c r="CP47" s="336"/>
    </row>
    <row r="48" spans="1:94" ht="14.65">
      <c r="B48" s="257" t="s">
        <v>51</v>
      </c>
      <c r="C48" s="258" t="s">
        <v>123</v>
      </c>
      <c r="D48" s="258" t="s">
        <v>123</v>
      </c>
      <c r="E48" s="258" t="s">
        <v>123</v>
      </c>
      <c r="F48" s="258" t="s">
        <v>123</v>
      </c>
      <c r="G48" s="258" t="s">
        <v>123</v>
      </c>
      <c r="H48" s="258" t="s">
        <v>123</v>
      </c>
      <c r="I48" s="259" t="str">
        <f>I14</f>
        <v>ACTUAL</v>
      </c>
      <c r="J48" s="258" t="s">
        <v>124</v>
      </c>
      <c r="K48" s="534"/>
      <c r="L48" s="375"/>
      <c r="M48" s="140"/>
      <c r="N48" s="246"/>
      <c r="O48" s="556"/>
      <c r="P48" s="337"/>
      <c r="Q48" s="668"/>
      <c r="X48" s="83" t="s">
        <v>164</v>
      </c>
      <c r="Y48" s="116"/>
      <c r="Z48" s="116"/>
      <c r="AL48" t="s">
        <v>482</v>
      </c>
      <c r="AP48" s="480"/>
      <c r="BA48" s="83" t="s">
        <v>170</v>
      </c>
      <c r="BB48" s="116"/>
      <c r="BC48" s="116"/>
      <c r="BJ48" s="336"/>
      <c r="BM48" s="116"/>
      <c r="BN48" s="116"/>
      <c r="BO48" s="116"/>
      <c r="BP48" s="116"/>
      <c r="BQ48" s="116"/>
      <c r="BR48" s="116"/>
      <c r="BS48" s="116"/>
      <c r="BT48" s="215"/>
      <c r="BU48" s="215"/>
      <c r="BV48" s="215"/>
      <c r="BW48" s="116"/>
      <c r="BX48" s="116"/>
      <c r="CP48" s="336"/>
    </row>
    <row r="49" spans="1:94" ht="16.149999999999999" thickBot="1">
      <c r="A49" t="str">
        <f>A32</f>
        <v>source T2.4 RRP20</v>
      </c>
      <c r="B49" s="246"/>
      <c r="C49" s="260">
        <v>2014</v>
      </c>
      <c r="D49" s="260">
        <v>2015</v>
      </c>
      <c r="E49" s="260">
        <v>2016</v>
      </c>
      <c r="F49" s="260">
        <v>2017</v>
      </c>
      <c r="G49" s="260">
        <v>2018</v>
      </c>
      <c r="H49" s="260">
        <v>2019</v>
      </c>
      <c r="I49" s="204">
        <v>2020</v>
      </c>
      <c r="J49" s="260">
        <v>2021</v>
      </c>
      <c r="K49" s="535" t="s">
        <v>52</v>
      </c>
      <c r="L49" s="374"/>
      <c r="M49" s="141"/>
      <c r="N49" s="552"/>
      <c r="O49" s="553" t="str">
        <f>O15</f>
        <v>RRP19: 8 year forecast</v>
      </c>
      <c r="P49" s="337"/>
      <c r="Q49" s="668"/>
      <c r="X49" s="83" t="s">
        <v>165</v>
      </c>
      <c r="Y49" s="116"/>
      <c r="Z49" s="116"/>
      <c r="AL49" t="s">
        <v>483</v>
      </c>
      <c r="AP49" s="480"/>
      <c r="BA49" s="434">
        <v>-23.74</v>
      </c>
      <c r="BB49" s="434">
        <v>-23.74</v>
      </c>
      <c r="BC49" s="215" t="s">
        <v>169</v>
      </c>
      <c r="BJ49" s="336"/>
      <c r="BM49" s="116"/>
      <c r="BN49" s="116"/>
      <c r="BO49" s="116"/>
      <c r="BP49" s="116"/>
      <c r="BQ49" s="116"/>
      <c r="BR49" s="116"/>
      <c r="BS49" s="116"/>
      <c r="BT49" s="215"/>
      <c r="BU49" s="215"/>
      <c r="BV49" s="215"/>
      <c r="BW49" s="116"/>
      <c r="BX49" s="116"/>
      <c r="CP49" s="336"/>
    </row>
    <row r="50" spans="1:94" ht="16.149999999999999" thickBot="1">
      <c r="A50" s="179" t="s">
        <v>407</v>
      </c>
      <c r="B50" s="248" t="s">
        <v>142</v>
      </c>
      <c r="C50" s="201">
        <f>C51*'Universal data'!$C$55</f>
        <v>201.0157245107855</v>
      </c>
      <c r="D50" s="201">
        <f>D51*'Universal data'!$C$55</f>
        <v>352.38186395643345</v>
      </c>
      <c r="E50" s="201">
        <f>E51*'Universal data'!$C$55</f>
        <v>667.54271701903076</v>
      </c>
      <c r="F50" s="201">
        <f>F51*'Universal data'!$C$55</f>
        <v>544.72694867251857</v>
      </c>
      <c r="G50" s="201">
        <f>G51*'Universal data'!$C$55</f>
        <v>326.29696794284467</v>
      </c>
      <c r="H50" s="201">
        <f>H51*'Universal data'!$C$55</f>
        <v>174.70434507292865</v>
      </c>
      <c r="I50" s="201">
        <f>I51*'Universal data'!$C$55</f>
        <v>203.65374177464403</v>
      </c>
      <c r="J50" s="201">
        <f>J51*'Universal data'!$C$55</f>
        <v>274.42011362789259</v>
      </c>
      <c r="K50" s="531">
        <f>SUM(C50:J50)</f>
        <v>2744.7424225770783</v>
      </c>
      <c r="L50" s="373"/>
      <c r="M50" s="141"/>
      <c r="N50" s="681" t="str">
        <f>B51</f>
        <v>TOTEX allowance (£/m) 2019/20 prices</v>
      </c>
      <c r="O50" s="555">
        <f>'[9]2.4_Totex'!$M$49*O14</f>
        <v>4216.2532107628331</v>
      </c>
      <c r="P50" s="337"/>
      <c r="Q50" s="667">
        <f>(K51-O50)/O50</f>
        <v>-0.12310243550070614</v>
      </c>
      <c r="W50" s="231" t="s">
        <v>347</v>
      </c>
      <c r="X50" s="597">
        <v>-175</v>
      </c>
      <c r="Y50" s="597">
        <v>-175</v>
      </c>
      <c r="Z50" s="597" t="s">
        <v>169</v>
      </c>
      <c r="AK50" s="604">
        <v>2018</v>
      </c>
      <c r="AL50" s="604">
        <v>2019</v>
      </c>
      <c r="AM50" s="604">
        <v>2020</v>
      </c>
      <c r="AN50" s="604">
        <v>2021</v>
      </c>
      <c r="AO50" s="604" t="s">
        <v>52</v>
      </c>
      <c r="AP50" s="480"/>
      <c r="BA50" s="215"/>
      <c r="BB50" s="215"/>
      <c r="BC50" s="215"/>
      <c r="BJ50" s="336"/>
      <c r="BM50" s="116"/>
      <c r="BN50" s="116"/>
      <c r="BO50" s="116"/>
      <c r="BP50" s="116"/>
      <c r="BQ50" s="116"/>
      <c r="BR50" s="116"/>
      <c r="BS50" s="116"/>
      <c r="BT50" s="340"/>
      <c r="BU50" s="341"/>
      <c r="BV50" s="215"/>
      <c r="BW50" s="116"/>
      <c r="BX50" s="116"/>
      <c r="CP50" s="336"/>
    </row>
    <row r="51" spans="1:94" ht="16.5" thickTop="1" thickBot="1">
      <c r="B51" s="249" t="s">
        <v>404</v>
      </c>
      <c r="C51" s="250">
        <f>C56+C57</f>
        <v>270.77214511443947</v>
      </c>
      <c r="D51" s="250">
        <f t="shared" ref="D51:J51" si="33">D56+D57</f>
        <v>474.66532001474621</v>
      </c>
      <c r="E51" s="250">
        <f t="shared" si="33"/>
        <v>899.19320432599261</v>
      </c>
      <c r="F51" s="250">
        <f t="shared" si="33"/>
        <v>733.75794233344709</v>
      </c>
      <c r="G51" s="250">
        <f t="shared" si="33"/>
        <v>439.52845066845015</v>
      </c>
      <c r="H51" s="250">
        <f t="shared" si="33"/>
        <v>235.33019812921148</v>
      </c>
      <c r="I51" s="240">
        <f t="shared" si="33"/>
        <v>274.32560639276636</v>
      </c>
      <c r="J51" s="250">
        <f t="shared" si="33"/>
        <v>369.6493048512026</v>
      </c>
      <c r="K51" s="532">
        <f t="shared" ref="K51:K57" si="34">SUM(C51:J51)</f>
        <v>3697.2221718302562</v>
      </c>
      <c r="L51" s="373"/>
      <c r="M51" s="141"/>
      <c r="N51" s="685" t="s">
        <v>539</v>
      </c>
      <c r="O51" s="686">
        <f>'[7]8-year TO forecasts'!K53*$O$14</f>
        <v>3597.3428363410476</v>
      </c>
      <c r="P51" s="337"/>
      <c r="Q51" s="667">
        <f>(K53-O51)/O51</f>
        <v>-0.130453431549645</v>
      </c>
      <c r="W51" s="231" t="s">
        <v>346</v>
      </c>
      <c r="X51" s="597">
        <v>-65</v>
      </c>
      <c r="Y51" s="597">
        <v>-65</v>
      </c>
      <c r="Z51" s="597" t="s">
        <v>169</v>
      </c>
      <c r="AK51" s="144">
        <v>0.76560380783542992</v>
      </c>
      <c r="AL51" s="605">
        <v>7.4431686399999988</v>
      </c>
      <c r="AM51" s="605">
        <v>10.542347738446411</v>
      </c>
      <c r="AN51" s="605">
        <v>1.812518851495206</v>
      </c>
      <c r="AO51" s="606">
        <f>SUM(AK51:AN51)</f>
        <v>20.563639037777044</v>
      </c>
      <c r="BA51" s="434"/>
      <c r="BB51" s="434"/>
      <c r="BC51" s="215"/>
      <c r="BJ51" s="336"/>
      <c r="BM51" s="116"/>
      <c r="BN51" s="116"/>
      <c r="BO51" s="116"/>
      <c r="BP51" s="116"/>
      <c r="BQ51" s="116"/>
      <c r="BR51" s="116"/>
      <c r="BS51" s="116"/>
      <c r="BT51" s="116"/>
      <c r="BU51" s="116"/>
      <c r="BV51" s="116"/>
      <c r="BW51" s="116"/>
      <c r="BX51" s="116"/>
      <c r="CP51" s="336"/>
    </row>
    <row r="52" spans="1:94" s="116" customFormat="1" ht="16.149999999999999" thickBot="1">
      <c r="B52" s="248"/>
      <c r="C52" s="201"/>
      <c r="D52" s="201"/>
      <c r="E52" s="201"/>
      <c r="F52" s="201"/>
      <c r="G52" s="201"/>
      <c r="H52" s="201"/>
      <c r="I52" s="138"/>
      <c r="J52" s="201"/>
      <c r="K52" s="531"/>
      <c r="L52" s="373"/>
      <c r="M52" s="139"/>
      <c r="N52" s="685" t="s">
        <v>537</v>
      </c>
      <c r="O52" s="686">
        <f>'[7]8-year TO forecasts'!K54*$O$14</f>
        <v>348.00121238835874</v>
      </c>
      <c r="P52" s="337"/>
      <c r="Q52" s="667">
        <f>(K54-O52)/O52</f>
        <v>-0.13364252637869495</v>
      </c>
      <c r="R52" s="176"/>
      <c r="S52" s="237"/>
      <c r="T52" s="237"/>
      <c r="U52" s="237"/>
      <c r="V52" s="237"/>
      <c r="W52" s="231"/>
      <c r="X52" s="598">
        <f>X50+X51</f>
        <v>-240</v>
      </c>
      <c r="Y52" s="599">
        <f>Y50+Y51</f>
        <v>-240</v>
      </c>
      <c r="Z52" s="600" t="s">
        <v>169</v>
      </c>
      <c r="AE52" s="176"/>
      <c r="AF52" s="238"/>
      <c r="AG52" s="238"/>
      <c r="AH52" s="238"/>
      <c r="AI52" s="238"/>
      <c r="AJ52" s="238"/>
      <c r="AK52" s="238"/>
      <c r="AL52" s="238"/>
      <c r="AM52" s="238"/>
      <c r="AO52" s="144"/>
      <c r="AP52" s="232"/>
      <c r="AT52" s="176"/>
      <c r="AU52" s="238"/>
      <c r="AV52" s="238"/>
      <c r="AW52" s="238"/>
      <c r="AX52" s="238"/>
      <c r="AY52" s="238"/>
      <c r="AZ52" s="238"/>
      <c r="BA52" s="595">
        <f>BA49*'Universal data'!$C$54</f>
        <v>-31.978248172679102</v>
      </c>
      <c r="BB52" s="596">
        <f>BB49*'Universal data'!$C$54</f>
        <v>-31.978248172679102</v>
      </c>
      <c r="BC52" s="597" t="s">
        <v>474</v>
      </c>
      <c r="BJ52" s="336"/>
      <c r="BM52" s="176"/>
      <c r="BN52" s="238"/>
      <c r="BO52" s="238"/>
      <c r="BP52" s="238"/>
      <c r="BQ52" s="238"/>
      <c r="BR52" s="238"/>
      <c r="BS52" s="238"/>
      <c r="BT52" s="238"/>
      <c r="BU52" s="238"/>
      <c r="CP52" s="336"/>
    </row>
    <row r="53" spans="1:94" s="116" customFormat="1" ht="15.75">
      <c r="A53" s="116" t="s">
        <v>473</v>
      </c>
      <c r="B53" s="248" t="s">
        <v>409</v>
      </c>
      <c r="C53" s="201">
        <v>223.4531420590306</v>
      </c>
      <c r="D53" s="201">
        <v>422.8088616378443</v>
      </c>
      <c r="E53" s="201">
        <v>839.51543979496023</v>
      </c>
      <c r="F53" s="201">
        <v>668.07900710240813</v>
      </c>
      <c r="G53" s="201">
        <v>367.06204916795195</v>
      </c>
      <c r="H53" s="201">
        <v>152.49961911884768</v>
      </c>
      <c r="I53" s="138">
        <v>183.83269069731335</v>
      </c>
      <c r="J53" s="201">
        <v>270.80630930146901</v>
      </c>
      <c r="K53" s="531">
        <f t="shared" si="34"/>
        <v>3128.0571188798249</v>
      </c>
      <c r="L53" s="478" t="s">
        <v>385</v>
      </c>
      <c r="M53" s="139"/>
      <c r="N53" s="685" t="s">
        <v>534</v>
      </c>
      <c r="O53" s="686">
        <f>'[7]8-year TO forecasts'!K55*$O$14</f>
        <v>9.9728907403855018</v>
      </c>
      <c r="P53" s="337"/>
      <c r="Q53" s="667">
        <f t="shared" ref="Q53:Q54" si="35">(K55-O53)/O53</f>
        <v>-2.904320602157908E-6</v>
      </c>
      <c r="R53" s="176"/>
      <c r="S53" s="237"/>
      <c r="T53" s="237"/>
      <c r="U53" s="237"/>
      <c r="V53" s="237"/>
      <c r="W53" s="382"/>
      <c r="AE53" s="176"/>
      <c r="AF53" s="238"/>
      <c r="AG53" s="238"/>
      <c r="AH53" s="238"/>
      <c r="AI53" s="238"/>
      <c r="AJ53" s="238"/>
      <c r="AK53" s="238"/>
      <c r="AL53" s="238"/>
      <c r="AM53" s="238"/>
      <c r="AO53" s="144"/>
      <c r="AP53" s="232"/>
      <c r="AT53" s="176"/>
      <c r="AU53" s="238"/>
      <c r="AV53" s="238"/>
      <c r="AW53" s="238"/>
      <c r="AX53" s="238"/>
      <c r="AY53" s="238"/>
      <c r="AZ53" s="238"/>
      <c r="BJ53" s="336"/>
      <c r="BM53" s="176"/>
      <c r="BN53" s="238"/>
      <c r="BO53" s="238"/>
      <c r="BP53" s="238"/>
      <c r="BQ53" s="238"/>
      <c r="BR53" s="238"/>
      <c r="BS53" s="238"/>
      <c r="BT53" s="238"/>
      <c r="BU53" s="238"/>
      <c r="CP53" s="336"/>
    </row>
    <row r="54" spans="1:94" s="116" customFormat="1" ht="15.75">
      <c r="B54" s="248" t="s">
        <v>410</v>
      </c>
      <c r="C54" s="201">
        <v>29.261493331916952</v>
      </c>
      <c r="D54" s="201">
        <v>27.111533824147525</v>
      </c>
      <c r="E54" s="201">
        <v>31.128011731941562</v>
      </c>
      <c r="F54" s="201">
        <v>36.948611260187889</v>
      </c>
      <c r="G54" s="201">
        <v>38.750380627279135</v>
      </c>
      <c r="H54" s="201">
        <v>39.541212889863509</v>
      </c>
      <c r="I54" s="138">
        <v>46.099811619705392</v>
      </c>
      <c r="J54" s="201">
        <v>52.652395896887711</v>
      </c>
      <c r="K54" s="531">
        <f t="shared" si="34"/>
        <v>301.49345118192969</v>
      </c>
      <c r="L54" s="373"/>
      <c r="M54" s="139"/>
      <c r="N54" s="685" t="s">
        <v>531</v>
      </c>
      <c r="O54" s="686">
        <f>'[7]8-year TO forecasts'!K56*$O$14</f>
        <v>260.93627129304133</v>
      </c>
      <c r="P54" s="337"/>
      <c r="Q54" s="667">
        <f t="shared" si="35"/>
        <v>-1.2407364006584789E-2</v>
      </c>
      <c r="R54" s="176"/>
      <c r="S54" s="237"/>
      <c r="T54" s="237"/>
      <c r="U54" s="237"/>
      <c r="V54" s="237"/>
      <c r="W54" s="382"/>
      <c r="AE54" s="176"/>
      <c r="AF54" s="238"/>
      <c r="AG54" s="238"/>
      <c r="AH54" s="238"/>
      <c r="AI54" s="238"/>
      <c r="AJ54" s="238"/>
      <c r="AK54" s="238"/>
      <c r="AL54" s="238"/>
      <c r="AM54" s="238"/>
      <c r="AO54" s="144"/>
      <c r="AP54" s="232"/>
      <c r="BJ54" s="336"/>
      <c r="BM54" s="176"/>
      <c r="BN54" s="238"/>
      <c r="BO54" s="238"/>
      <c r="BP54" s="238"/>
      <c r="BQ54" s="238"/>
      <c r="BR54" s="238"/>
      <c r="BS54" s="238"/>
      <c r="BT54" s="214" t="s">
        <v>176</v>
      </c>
      <c r="BU54" s="238"/>
      <c r="CP54" s="336"/>
    </row>
    <row r="55" spans="1:94" s="116" customFormat="1" ht="15.75">
      <c r="B55" s="248" t="s">
        <v>411</v>
      </c>
      <c r="C55" s="201">
        <v>0.95035926885734434</v>
      </c>
      <c r="D55" s="201">
        <v>3.8432528832591011</v>
      </c>
      <c r="E55" s="201">
        <v>3.7393477963795596</v>
      </c>
      <c r="F55" s="201">
        <v>0.28058957909129578</v>
      </c>
      <c r="G55" s="201">
        <v>0.2842372436194826</v>
      </c>
      <c r="H55" s="201">
        <v>0.28793232778653582</v>
      </c>
      <c r="I55" s="138">
        <v>0.2916754480477608</v>
      </c>
      <c r="J55" s="201">
        <v>0.29546722887238158</v>
      </c>
      <c r="K55" s="531">
        <f t="shared" si="34"/>
        <v>9.9728617759134615</v>
      </c>
      <c r="L55" s="373"/>
      <c r="M55" s="139"/>
      <c r="N55" s="554"/>
      <c r="O55" s="652"/>
      <c r="P55" s="337"/>
      <c r="Q55" s="668"/>
      <c r="R55" s="176"/>
      <c r="S55" s="237"/>
      <c r="T55" s="237"/>
      <c r="U55" s="237"/>
      <c r="V55" s="237"/>
      <c r="W55" s="231" t="s">
        <v>347</v>
      </c>
      <c r="X55" s="601">
        <f>X50*'Universal data'!$C$54</f>
        <v>-235.72845114653933</v>
      </c>
      <c r="Y55" s="601">
        <f>Y50*'Universal data'!$C$54</f>
        <v>-235.72845114653933</v>
      </c>
      <c r="Z55" s="597" t="s">
        <v>474</v>
      </c>
      <c r="AE55" s="176"/>
      <c r="AF55" s="238"/>
      <c r="AG55" s="238"/>
      <c r="AH55" s="238"/>
      <c r="AI55" s="238"/>
      <c r="AJ55" s="238"/>
      <c r="AK55" s="238"/>
      <c r="AL55" s="238"/>
      <c r="AM55" s="238"/>
      <c r="AO55" s="144"/>
      <c r="AP55" s="232"/>
      <c r="BJ55" s="336"/>
      <c r="BM55" s="27" t="s">
        <v>365</v>
      </c>
      <c r="BS55" s="176"/>
      <c r="CP55" s="336"/>
    </row>
    <row r="56" spans="1:94" ht="16.149999999999999" thickBot="1">
      <c r="B56" s="251" t="s">
        <v>412</v>
      </c>
      <c r="C56" s="252">
        <v>17.107150454634571</v>
      </c>
      <c r="D56" s="252">
        <v>20.901671669495343</v>
      </c>
      <c r="E56" s="252">
        <v>24.810405002711263</v>
      </c>
      <c r="F56" s="252">
        <v>28.449734391759705</v>
      </c>
      <c r="G56" s="252">
        <v>33.431783629599593</v>
      </c>
      <c r="H56" s="252">
        <v>43.001433792713762</v>
      </c>
      <c r="I56" s="239">
        <v>44.10142862769986</v>
      </c>
      <c r="J56" s="252">
        <v>45.8951324239735</v>
      </c>
      <c r="K56" s="533">
        <f t="shared" si="34"/>
        <v>257.6987399925876</v>
      </c>
      <c r="L56" s="373"/>
      <c r="M56" s="139"/>
      <c r="N56" s="554" t="s">
        <v>532</v>
      </c>
      <c r="O56" s="652">
        <f>'[7]8-year TO forecasts'!K59*$O$14</f>
        <v>3161.7801305975368</v>
      </c>
      <c r="P56" s="337"/>
      <c r="Q56" s="667">
        <f>(K59-O56)/O56</f>
        <v>-0.16040103379505066</v>
      </c>
      <c r="W56" s="231" t="s">
        <v>346</v>
      </c>
      <c r="X56" s="601">
        <f>X51*'Universal data'!$C$54</f>
        <v>-87.556281854428889</v>
      </c>
      <c r="Y56" s="601">
        <f>Y51*'Universal data'!$C$54</f>
        <v>-87.556281854428889</v>
      </c>
      <c r="Z56" s="597" t="s">
        <v>474</v>
      </c>
      <c r="AE56" s="211"/>
      <c r="BJ56" s="336"/>
      <c r="BM56" s="116"/>
      <c r="BN56" s="116"/>
      <c r="BO56" s="116"/>
      <c r="BP56" s="116"/>
      <c r="BQ56" s="116"/>
      <c r="BR56" s="116"/>
      <c r="BS56" s="116"/>
      <c r="BT56" s="116"/>
      <c r="BU56" s="116"/>
      <c r="BV56" s="116"/>
      <c r="BW56" s="211">
        <f>SUM(BN59:BU60)</f>
        <v>15764.963230451402</v>
      </c>
      <c r="BX56" s="116"/>
      <c r="CP56" s="336"/>
    </row>
    <row r="57" spans="1:94" ht="16.149999999999999" thickBot="1">
      <c r="B57" s="251" t="s">
        <v>413</v>
      </c>
      <c r="C57" s="252">
        <f>SUM(C53:C55)</f>
        <v>253.66499465980488</v>
      </c>
      <c r="D57" s="252">
        <f t="shared" ref="D57:J57" si="36">SUM(D53:D55)</f>
        <v>453.76364834525089</v>
      </c>
      <c r="E57" s="252">
        <f t="shared" si="36"/>
        <v>874.38279932328135</v>
      </c>
      <c r="F57" s="252">
        <f t="shared" si="36"/>
        <v>705.30820794168733</v>
      </c>
      <c r="G57" s="252">
        <f t="shared" si="36"/>
        <v>406.09666703885057</v>
      </c>
      <c r="H57" s="252">
        <f t="shared" si="36"/>
        <v>192.32876433649773</v>
      </c>
      <c r="I57" s="239">
        <f t="shared" si="36"/>
        <v>230.22417776506651</v>
      </c>
      <c r="J57" s="252">
        <f t="shared" si="36"/>
        <v>323.75417242722909</v>
      </c>
      <c r="K57" s="533">
        <f t="shared" si="34"/>
        <v>3439.5234318376688</v>
      </c>
      <c r="L57" s="373"/>
      <c r="M57" s="139"/>
      <c r="N57" s="554" t="s">
        <v>533</v>
      </c>
      <c r="O57" s="652">
        <f>'[7]8-year TO forecasts'!K60*$O$14</f>
        <v>440.62582549021454</v>
      </c>
      <c r="P57" s="337"/>
      <c r="Q57" s="667">
        <f t="shared" ref="Q57" si="37">(K60-O57)/O57</f>
        <v>-5.2213697989184217E-2</v>
      </c>
      <c r="X57" s="602">
        <f>X52*'Universal data'!$C$54</f>
        <v>-323.28473300096823</v>
      </c>
      <c r="Y57" s="603">
        <f>Y52*'Universal data'!$C$54</f>
        <v>-323.28473300096823</v>
      </c>
      <c r="Z57" s="597" t="s">
        <v>474</v>
      </c>
      <c r="BJ57" s="336"/>
      <c r="BM57" s="116">
        <f>AK64</f>
        <v>0</v>
      </c>
      <c r="BN57" s="135" t="s">
        <v>123</v>
      </c>
      <c r="BO57" s="135" t="s">
        <v>123</v>
      </c>
      <c r="BP57" s="135" t="s">
        <v>123</v>
      </c>
      <c r="BQ57" s="135" t="s">
        <v>123</v>
      </c>
      <c r="BR57" s="135" t="s">
        <v>123</v>
      </c>
      <c r="BS57" s="135" t="s">
        <v>123</v>
      </c>
      <c r="BT57" s="195" t="s">
        <v>123</v>
      </c>
      <c r="BU57" s="135" t="s">
        <v>124</v>
      </c>
      <c r="BV57" s="116"/>
      <c r="BW57" s="211">
        <f>SUM(BN61:BU61)</f>
        <v>19019.822268570995</v>
      </c>
      <c r="BX57" s="116"/>
      <c r="BY57" s="116"/>
      <c r="BZ57" s="116"/>
      <c r="CP57" s="336"/>
    </row>
    <row r="58" spans="1:94" s="116" customFormat="1" ht="15.75">
      <c r="B58" s="248"/>
      <c r="C58" s="201"/>
      <c r="D58" s="201"/>
      <c r="E58" s="201"/>
      <c r="F58" s="201"/>
      <c r="G58" s="201"/>
      <c r="H58" s="201"/>
      <c r="I58" s="138"/>
      <c r="J58" s="201"/>
      <c r="K58" s="531"/>
      <c r="L58" s="373"/>
      <c r="M58" s="139"/>
      <c r="N58" s="554" t="s">
        <v>535</v>
      </c>
      <c r="O58" s="652">
        <f>'[7]8-year TO forecasts'!K61*$O$14</f>
        <v>25.046283638000002</v>
      </c>
      <c r="P58" s="337"/>
      <c r="Q58" s="667">
        <f>(K61-O58)/O58</f>
        <v>0.29972721432787874</v>
      </c>
      <c r="X58" s="1"/>
      <c r="AL58" s="1"/>
      <c r="BJ58" s="336"/>
      <c r="BN58" s="190">
        <v>2014</v>
      </c>
      <c r="BO58" s="190">
        <v>2015</v>
      </c>
      <c r="BP58" s="190">
        <v>2016</v>
      </c>
      <c r="BQ58" s="190">
        <v>2017</v>
      </c>
      <c r="BR58" s="191">
        <v>2018</v>
      </c>
      <c r="BS58" s="191">
        <v>2019</v>
      </c>
      <c r="BT58" s="196">
        <v>2020</v>
      </c>
      <c r="BU58" s="537">
        <v>2021</v>
      </c>
      <c r="BW58" s="211"/>
      <c r="CP58" s="336"/>
    </row>
    <row r="59" spans="1:94" s="116" customFormat="1" ht="15.75">
      <c r="B59" s="253" t="s">
        <v>414</v>
      </c>
      <c r="C59" s="201">
        <v>163.13454223303211</v>
      </c>
      <c r="D59" s="201">
        <v>337.54633919006034</v>
      </c>
      <c r="E59" s="201">
        <v>542.77037565622663</v>
      </c>
      <c r="F59" s="201">
        <v>439.84189802867957</v>
      </c>
      <c r="G59" s="201">
        <v>362.04354093705621</v>
      </c>
      <c r="H59" s="201">
        <v>255.99801504831498</v>
      </c>
      <c r="I59" s="138">
        <v>229.66260651102274</v>
      </c>
      <c r="J59" s="201">
        <v>323.6300114126488</v>
      </c>
      <c r="K59" s="531">
        <f t="shared" ref="K59:K63" si="38">SUM(C59:J59)</f>
        <v>2654.6273290170416</v>
      </c>
      <c r="L59" s="373" t="s">
        <v>269</v>
      </c>
      <c r="M59" s="139"/>
      <c r="N59" s="554" t="s">
        <v>536</v>
      </c>
      <c r="O59" s="652">
        <f>'[7]8-year TO forecasts'!K62*$O$14</f>
        <v>263.67539950240263</v>
      </c>
      <c r="P59" s="337"/>
      <c r="Q59" s="667">
        <f>(K62-O59)/O59</f>
        <v>-3.1344801528332834E-2</v>
      </c>
      <c r="X59" s="1"/>
      <c r="AL59" s="1"/>
      <c r="BJ59" s="336"/>
      <c r="BM59" s="43" t="s">
        <v>6</v>
      </c>
      <c r="BN59" s="3">
        <f t="shared" ref="BN59:BT59" si="39">S6+AF6+C67</f>
        <v>2100.6577685277466</v>
      </c>
      <c r="BO59" s="3">
        <f t="shared" si="39"/>
        <v>1918.3917908358089</v>
      </c>
      <c r="BP59" s="3">
        <f t="shared" si="39"/>
        <v>2294.2176475898259</v>
      </c>
      <c r="BQ59" s="3">
        <f t="shared" si="39"/>
        <v>2110.8965863504018</v>
      </c>
      <c r="BR59" s="192">
        <f t="shared" si="39"/>
        <v>1836.1191422078159</v>
      </c>
      <c r="BS59" s="192">
        <f t="shared" si="39"/>
        <v>1630.3618667036617</v>
      </c>
      <c r="BT59" s="197">
        <f t="shared" si="39"/>
        <v>1637.2768313649908</v>
      </c>
      <c r="BU59" s="539">
        <v>0</v>
      </c>
      <c r="BW59" s="271"/>
      <c r="CP59" s="336"/>
    </row>
    <row r="60" spans="1:94" s="116" customFormat="1" ht="15.75">
      <c r="B60" s="253" t="s">
        <v>415</v>
      </c>
      <c r="C60" s="201">
        <v>22.862918138562975</v>
      </c>
      <c r="D60" s="201">
        <v>25.112824336524103</v>
      </c>
      <c r="E60" s="201">
        <v>19.820844845311694</v>
      </c>
      <c r="F60" s="201">
        <v>34.549232229463748</v>
      </c>
      <c r="G60" s="201">
        <v>53.995851036274445</v>
      </c>
      <c r="H60" s="201">
        <v>54.959929125696526</v>
      </c>
      <c r="I60" s="138">
        <v>92.361999999999995</v>
      </c>
      <c r="J60" s="201">
        <v>113.95552199999999</v>
      </c>
      <c r="K60" s="531">
        <f t="shared" si="38"/>
        <v>417.61912171183349</v>
      </c>
      <c r="L60" s="373" t="s">
        <v>269</v>
      </c>
      <c r="M60" s="139"/>
      <c r="N60" s="554"/>
      <c r="O60" s="553" t="str">
        <f>O15</f>
        <v>RRP19: 8 year forecast</v>
      </c>
      <c r="P60" s="337"/>
      <c r="Q60" s="668"/>
      <c r="X60" s="1"/>
      <c r="AL60" s="1"/>
      <c r="BJ60" s="336"/>
      <c r="BM60" s="43" t="s">
        <v>77</v>
      </c>
      <c r="BN60" s="3">
        <f t="shared" ref="BN60:BR60" si="40">BN33</f>
        <v>0</v>
      </c>
      <c r="BO60" s="3">
        <f t="shared" si="40"/>
        <v>0</v>
      </c>
      <c r="BP60" s="3">
        <f t="shared" si="40"/>
        <v>0</v>
      </c>
      <c r="BQ60" s="3">
        <f t="shared" si="40"/>
        <v>0</v>
      </c>
      <c r="BR60" s="192">
        <f t="shared" si="40"/>
        <v>0</v>
      </c>
      <c r="BS60" s="192">
        <f t="shared" ref="BS60" si="41">BS33</f>
        <v>0</v>
      </c>
      <c r="BT60" s="197">
        <v>0</v>
      </c>
      <c r="BU60" s="539">
        <f>Z7+AM7+J67</f>
        <v>2237.0415968711504</v>
      </c>
      <c r="CP60" s="336"/>
    </row>
    <row r="61" spans="1:94" s="116" customFormat="1" ht="16.149999999999999" thickBot="1">
      <c r="A61" s="675"/>
      <c r="B61" s="253" t="s">
        <v>416</v>
      </c>
      <c r="C61" s="201">
        <v>0.34674981292444973</v>
      </c>
      <c r="D61" s="201">
        <v>2.1769322574724326</v>
      </c>
      <c r="E61" s="201">
        <v>1.8517260719782003</v>
      </c>
      <c r="F61" s="201">
        <v>5.415657581148432</v>
      </c>
      <c r="G61" s="201">
        <v>5.5049097519307599</v>
      </c>
      <c r="H61" s="201">
        <v>3.2163609866293927</v>
      </c>
      <c r="I61" s="138">
        <v>3.9220000000000002</v>
      </c>
      <c r="J61" s="201">
        <v>10.119000000000002</v>
      </c>
      <c r="K61" s="531">
        <f t="shared" si="38"/>
        <v>32.553336462083671</v>
      </c>
      <c r="L61" s="373" t="s">
        <v>269</v>
      </c>
      <c r="M61" s="139"/>
      <c r="N61" s="684" t="s">
        <v>419</v>
      </c>
      <c r="O61" s="557">
        <f>'[9]2.4_Totex'!$M$23*O14</f>
        <v>3891.1276392281538</v>
      </c>
      <c r="P61" s="337"/>
      <c r="Q61" s="667">
        <f>(K63-O61)/O61</f>
        <v>-0.13644304551916797</v>
      </c>
      <c r="X61" s="1"/>
      <c r="AL61" s="1"/>
      <c r="AT61" s="1"/>
      <c r="BJ61" s="336"/>
      <c r="BM61" s="2" t="s">
        <v>78</v>
      </c>
      <c r="BN61" s="3">
        <f>BN34</f>
        <v>2841.4394237146621</v>
      </c>
      <c r="BO61" s="3">
        <f t="shared" ref="BO61:BU61" si="42">BO34</f>
        <v>2851.8823269489521</v>
      </c>
      <c r="BP61" s="3">
        <f t="shared" si="42"/>
        <v>2834.6860219556374</v>
      </c>
      <c r="BQ61" s="3">
        <f t="shared" si="42"/>
        <v>2349.148935423219</v>
      </c>
      <c r="BR61" s="192">
        <f t="shared" si="42"/>
        <v>2105.879246874887</v>
      </c>
      <c r="BS61" s="192">
        <f t="shared" ref="BS61" si="43">BS34</f>
        <v>2150.838114756395</v>
      </c>
      <c r="BT61" s="209">
        <f t="shared" si="42"/>
        <v>1982.7253079717389</v>
      </c>
      <c r="BU61" s="539">
        <f t="shared" si="42"/>
        <v>1903.2228909255055</v>
      </c>
      <c r="CP61" s="336"/>
    </row>
    <row r="62" spans="1:94" s="116" customFormat="1" ht="16.149999999999999" thickBot="1">
      <c r="B62" s="253" t="s">
        <v>417</v>
      </c>
      <c r="C62" s="201">
        <v>15.122587034973412</v>
      </c>
      <c r="D62" s="201">
        <v>18.472449510472043</v>
      </c>
      <c r="E62" s="201">
        <v>22.443957616338388</v>
      </c>
      <c r="F62" s="201">
        <v>26.479242971602574</v>
      </c>
      <c r="G62" s="201">
        <v>34.062362804468634</v>
      </c>
      <c r="H62" s="201">
        <v>40.130748799142978</v>
      </c>
      <c r="I62" s="549">
        <v>42.824509700197915</v>
      </c>
      <c r="J62" s="201">
        <v>55.874687999900004</v>
      </c>
      <c r="K62" s="531">
        <f t="shared" si="38"/>
        <v>255.41054643709595</v>
      </c>
      <c r="L62" s="139"/>
      <c r="M62" s="139"/>
      <c r="N62" s="246"/>
      <c r="O62" s="556"/>
      <c r="P62" s="337"/>
      <c r="X62" s="1"/>
      <c r="AL62" s="1"/>
      <c r="AT62" s="1"/>
      <c r="AU62" s="480"/>
      <c r="AV62" s="480"/>
      <c r="AW62" s="480"/>
      <c r="AX62" s="480"/>
      <c r="AY62" s="480"/>
      <c r="AZ62" s="480"/>
      <c r="BA62" s="480"/>
      <c r="BB62" s="480"/>
      <c r="BJ62" s="336"/>
      <c r="BT62" s="1"/>
      <c r="CP62" s="336"/>
    </row>
    <row r="63" spans="1:94" ht="16.149999999999999" thickBot="1">
      <c r="B63" s="254" t="s">
        <v>418</v>
      </c>
      <c r="C63" s="255">
        <f>SUM(C59:C62)</f>
        <v>201.46679721949295</v>
      </c>
      <c r="D63" s="255">
        <f t="shared" ref="D63:J63" si="44">SUM(D59:D62)</f>
        <v>383.30854529452893</v>
      </c>
      <c r="E63" s="255">
        <f t="shared" si="44"/>
        <v>586.88690418985493</v>
      </c>
      <c r="F63" s="255">
        <f t="shared" si="44"/>
        <v>506.28603081089432</v>
      </c>
      <c r="G63" s="255">
        <f t="shared" si="44"/>
        <v>455.6066645297301</v>
      </c>
      <c r="H63" s="255">
        <f t="shared" si="44"/>
        <v>354.30505395978389</v>
      </c>
      <c r="I63" s="548">
        <f t="shared" si="44"/>
        <v>368.77111621122066</v>
      </c>
      <c r="J63" s="255">
        <f t="shared" si="44"/>
        <v>503.5792214125488</v>
      </c>
      <c r="K63" s="536">
        <f t="shared" si="38"/>
        <v>3360.2103336280543</v>
      </c>
      <c r="L63" s="662">
        <f>(K63-K51)/K51</f>
        <v>-9.1152714805712937E-2</v>
      </c>
      <c r="N63" s="657" t="s">
        <v>540</v>
      </c>
      <c r="O63" s="660">
        <f>(O61-O50)/O50</f>
        <v>-7.711243971418294E-2</v>
      </c>
      <c r="P63" s="336"/>
      <c r="Q63" s="223"/>
      <c r="AT63" s="1"/>
      <c r="AU63" s="480"/>
      <c r="AV63" s="480"/>
      <c r="AW63" s="480"/>
      <c r="AX63" s="480"/>
      <c r="AY63" s="480"/>
      <c r="AZ63" s="480"/>
      <c r="BA63" s="480"/>
      <c r="BB63" s="480"/>
      <c r="BC63" s="116"/>
      <c r="BD63" s="116"/>
      <c r="BJ63" s="336"/>
      <c r="BM63" s="116"/>
      <c r="BN63" s="116"/>
      <c r="BO63" s="116"/>
      <c r="BP63" s="116"/>
      <c r="BQ63" s="116"/>
      <c r="BR63" s="116"/>
      <c r="BS63" s="116"/>
      <c r="BT63" s="1" t="s">
        <v>163</v>
      </c>
      <c r="BU63" s="116"/>
      <c r="BV63" s="116"/>
      <c r="BW63" s="116"/>
      <c r="BX63" s="116"/>
      <c r="BY63" s="116"/>
      <c r="BZ63" s="116"/>
      <c r="CP63" s="336"/>
    </row>
    <row r="64" spans="1:94" s="116" customFormat="1" ht="13.15" thickBot="1">
      <c r="M64" s="223"/>
      <c r="N64" s="139"/>
      <c r="O64" s="223"/>
      <c r="P64" s="336"/>
      <c r="AT64" s="1"/>
      <c r="AU64" s="480"/>
      <c r="AV64" s="480"/>
      <c r="AW64" s="480"/>
      <c r="AX64" s="480"/>
      <c r="AY64" s="480"/>
      <c r="AZ64" s="480"/>
      <c r="BA64" s="480"/>
      <c r="BB64" s="480"/>
      <c r="BE64"/>
      <c r="BF64"/>
      <c r="BJ64" s="336"/>
      <c r="BT64" s="116" t="s">
        <v>182</v>
      </c>
      <c r="CP64" s="336"/>
    </row>
    <row r="65" spans="1:94" s="116" customFormat="1" ht="16.149999999999999" thickBot="1">
      <c r="A65" s="584"/>
      <c r="B65" s="586" t="s">
        <v>358</v>
      </c>
      <c r="C65" s="587">
        <f t="shared" ref="C65:H65" si="45">C53</f>
        <v>223.4531420590306</v>
      </c>
      <c r="D65" s="587">
        <f t="shared" si="45"/>
        <v>422.8088616378443</v>
      </c>
      <c r="E65" s="587">
        <f t="shared" si="45"/>
        <v>839.51543979496023</v>
      </c>
      <c r="F65" s="587">
        <f t="shared" si="45"/>
        <v>668.07900710240813</v>
      </c>
      <c r="G65" s="587">
        <f t="shared" si="45"/>
        <v>367.06204916795195</v>
      </c>
      <c r="H65" s="587">
        <f t="shared" si="45"/>
        <v>152.49961911884768</v>
      </c>
      <c r="I65" s="592">
        <f>I53+BA52</f>
        <v>151.85444252463424</v>
      </c>
      <c r="J65" s="587">
        <f>J53+BB52</f>
        <v>238.8280611287899</v>
      </c>
      <c r="K65" s="588">
        <f>SUM(C65:J65)</f>
        <v>3064.1006225344668</v>
      </c>
      <c r="L65" s="478" t="s">
        <v>423</v>
      </c>
      <c r="O65" s="223"/>
      <c r="P65" s="336"/>
      <c r="AT65" s="1"/>
      <c r="AU65" s="480"/>
      <c r="AV65" s="480"/>
      <c r="AW65" s="480"/>
      <c r="AX65" s="480"/>
      <c r="AY65" s="480"/>
      <c r="AZ65" s="480"/>
      <c r="BA65" s="480"/>
      <c r="BB65" s="480"/>
      <c r="BJ65" s="336"/>
      <c r="BT65" s="116" t="s">
        <v>364</v>
      </c>
      <c r="CP65" s="336"/>
    </row>
    <row r="66" spans="1:94" s="116" customFormat="1" ht="16.149999999999999" thickBot="1">
      <c r="A66" s="584"/>
      <c r="B66" s="589" t="str">
        <f>B51</f>
        <v>TOTEX allowance (£/m) 2019/20 prices</v>
      </c>
      <c r="C66" s="590">
        <f>C65+C54+C55+C56</f>
        <v>270.77214511443947</v>
      </c>
      <c r="D66" s="590">
        <f t="shared" ref="D66:H66" si="46">D65+D54+D55+D56</f>
        <v>474.66532001474621</v>
      </c>
      <c r="E66" s="590">
        <f t="shared" si="46"/>
        <v>899.19320432599261</v>
      </c>
      <c r="F66" s="590">
        <f t="shared" si="46"/>
        <v>733.75794233344709</v>
      </c>
      <c r="G66" s="590">
        <f t="shared" si="46"/>
        <v>439.52845066845015</v>
      </c>
      <c r="H66" s="590">
        <f t="shared" si="46"/>
        <v>235.33019812921148</v>
      </c>
      <c r="I66" s="594">
        <f>I65+I54+I55+I56</f>
        <v>242.34735822008724</v>
      </c>
      <c r="J66" s="590">
        <f>J65+J54+J55+J56</f>
        <v>337.67105667852348</v>
      </c>
      <c r="K66" s="591">
        <f>SUM(C66:J66)</f>
        <v>3633.2656754848981</v>
      </c>
      <c r="L66" s="139"/>
      <c r="O66" s="223"/>
      <c r="P66" s="336"/>
      <c r="AT66" s="1"/>
      <c r="AU66" s="480"/>
      <c r="AV66" s="480"/>
      <c r="AW66" s="480"/>
      <c r="AX66" s="480"/>
      <c r="AY66" s="480"/>
      <c r="AZ66" s="480"/>
      <c r="BA66" s="480"/>
      <c r="BB66" s="480"/>
      <c r="BD66" s="211"/>
      <c r="BE66" s="211"/>
      <c r="BF66" s="211"/>
      <c r="BJ66" s="336"/>
      <c r="BT66" s="116" t="s">
        <v>267</v>
      </c>
      <c r="CP66" s="336"/>
    </row>
    <row r="67" spans="1:94" s="116" customFormat="1" ht="12.75" customHeight="1" thickBot="1">
      <c r="A67" s="584"/>
      <c r="B67" s="254" t="s">
        <v>418</v>
      </c>
      <c r="C67" s="255">
        <f>C63</f>
        <v>201.46679721949295</v>
      </c>
      <c r="D67" s="255">
        <f t="shared" ref="D67:I67" si="47">D63</f>
        <v>383.30854529452893</v>
      </c>
      <c r="E67" s="255">
        <f t="shared" si="47"/>
        <v>586.88690418985493</v>
      </c>
      <c r="F67" s="255">
        <f t="shared" si="47"/>
        <v>506.28603081089432</v>
      </c>
      <c r="G67" s="255">
        <f t="shared" si="47"/>
        <v>455.6066645297301</v>
      </c>
      <c r="H67" s="255">
        <f t="shared" si="47"/>
        <v>354.30505395978389</v>
      </c>
      <c r="I67" s="593">
        <f t="shared" si="47"/>
        <v>368.77111621122066</v>
      </c>
      <c r="J67" s="255">
        <f>J63</f>
        <v>503.5792214125488</v>
      </c>
      <c r="K67" s="536">
        <f>SUM(C67:J67)</f>
        <v>3360.2103336280543</v>
      </c>
      <c r="L67" s="663">
        <f>(K67-K66)/K66</f>
        <v>-7.5154245861858607E-2</v>
      </c>
      <c r="N67" s="116" t="s">
        <v>543</v>
      </c>
      <c r="O67" s="661">
        <f>(O61-(O50+BA52+BB52))/(O50+BA52+BB52)</f>
        <v>-6.2897498216468603E-2</v>
      </c>
      <c r="P67" s="336"/>
      <c r="AT67" s="1"/>
      <c r="AU67" s="480"/>
      <c r="AV67" s="480"/>
      <c r="AW67" s="480"/>
      <c r="AX67" s="480"/>
      <c r="AY67" s="480"/>
      <c r="AZ67" s="480"/>
      <c r="BA67" s="480"/>
      <c r="BB67" s="480"/>
      <c r="BD67" s="211"/>
      <c r="BJ67" s="336"/>
      <c r="BT67" s="563"/>
      <c r="BU67" s="563"/>
      <c r="BV67" s="563"/>
      <c r="CP67" s="336"/>
    </row>
    <row r="68" spans="1:94" s="116" customFormat="1" ht="12.75">
      <c r="A68" s="584"/>
      <c r="B68" s="584"/>
      <c r="C68" s="584"/>
      <c r="D68" s="584"/>
      <c r="E68" s="584"/>
      <c r="F68" s="584"/>
      <c r="G68" s="137"/>
      <c r="H68" s="201"/>
      <c r="I68" s="137"/>
      <c r="J68" s="137"/>
      <c r="K68" s="139"/>
      <c r="L68" s="585"/>
      <c r="O68" s="223"/>
      <c r="P68" s="336"/>
      <c r="AT68" s="1"/>
      <c r="AU68" s="480"/>
      <c r="AV68" s="480"/>
      <c r="AW68" s="480"/>
      <c r="AX68" s="480"/>
      <c r="AY68" s="480"/>
      <c r="AZ68" s="480"/>
      <c r="BA68" s="480"/>
      <c r="BB68" s="480"/>
      <c r="BJ68" s="336"/>
      <c r="BT68" s="563"/>
      <c r="BU68" s="563"/>
      <c r="BV68" s="563"/>
      <c r="CP68" s="336"/>
    </row>
    <row r="69" spans="1:94" s="116" customFormat="1" ht="12.75" thickBot="1">
      <c r="B69" s="27" t="s">
        <v>263</v>
      </c>
      <c r="G69" s="137"/>
      <c r="H69" s="201"/>
      <c r="L69" s="223"/>
      <c r="M69" s="460"/>
      <c r="N69" s="137"/>
      <c r="O69" s="223"/>
      <c r="P69" s="336"/>
      <c r="AT69" s="1"/>
      <c r="AU69" s="480"/>
      <c r="AV69" s="480"/>
      <c r="AW69" s="480"/>
      <c r="AX69" s="480"/>
      <c r="AY69" s="480"/>
      <c r="AZ69" s="480"/>
      <c r="BA69" s="480"/>
      <c r="BB69" s="480"/>
      <c r="BJ69" s="336"/>
      <c r="BT69" s="563"/>
      <c r="BU69" s="563"/>
      <c r="BV69" s="563"/>
      <c r="CP69" s="336"/>
    </row>
    <row r="70" spans="1:94" s="116" customFormat="1" ht="33.75" customHeight="1" thickTop="1" thickBot="1">
      <c r="B70" s="41" t="s">
        <v>400</v>
      </c>
      <c r="C70" s="788" t="s">
        <v>481</v>
      </c>
      <c r="D70" s="789"/>
      <c r="E70" s="789"/>
      <c r="F70" s="789"/>
      <c r="H70" s="818" t="s">
        <v>508</v>
      </c>
      <c r="I70" s="800"/>
      <c r="M70" s="223"/>
      <c r="P70" s="336"/>
      <c r="AT70" s="1"/>
      <c r="AU70" s="480"/>
      <c r="AV70" s="480"/>
      <c r="AW70" s="480"/>
      <c r="AX70" s="480"/>
      <c r="AY70" s="480"/>
      <c r="AZ70" s="480"/>
      <c r="BA70" s="480"/>
      <c r="BB70" s="480"/>
      <c r="BJ70" s="336"/>
      <c r="BT70" s="563"/>
      <c r="BU70" s="563"/>
      <c r="BV70" s="563"/>
      <c r="CF70" s="176"/>
      <c r="CP70" s="336"/>
    </row>
    <row r="71" spans="1:94" s="116" customFormat="1">
      <c r="B71" s="121"/>
      <c r="C71" s="123" t="s">
        <v>2</v>
      </c>
      <c r="D71" s="170" t="s">
        <v>4</v>
      </c>
      <c r="E71" s="790" t="s">
        <v>47</v>
      </c>
      <c r="F71" s="791"/>
      <c r="H71" s="800"/>
      <c r="I71" s="800"/>
      <c r="L71" s="584"/>
      <c r="M71" s="584"/>
      <c r="N71" s="584"/>
      <c r="O71" s="645"/>
      <c r="P71" s="336"/>
      <c r="Q71" s="584"/>
      <c r="R71" s="584"/>
      <c r="AT71" s="1"/>
      <c r="AU71" s="480"/>
      <c r="AV71" s="480"/>
      <c r="AW71" s="480"/>
      <c r="AX71" s="480"/>
      <c r="AY71" s="480"/>
      <c r="AZ71" s="480"/>
      <c r="BA71" s="480"/>
      <c r="BB71" s="480"/>
      <c r="BJ71" s="336"/>
      <c r="BT71" s="563"/>
      <c r="BU71" s="563"/>
      <c r="BV71" s="563"/>
      <c r="CP71" s="336"/>
    </row>
    <row r="72" spans="1:94" s="116" customFormat="1" ht="13.15">
      <c r="B72" s="121"/>
      <c r="C72" s="125"/>
      <c r="D72" s="126"/>
      <c r="E72" s="127" t="s">
        <v>48</v>
      </c>
      <c r="F72" s="128" t="s">
        <v>49</v>
      </c>
      <c r="K72" s="675"/>
      <c r="L72" s="647"/>
      <c r="M72" s="645"/>
      <c r="N72" s="678"/>
      <c r="O72" s="645"/>
      <c r="P72" s="336"/>
      <c r="Q72" s="648"/>
      <c r="R72" s="584"/>
      <c r="BJ72" s="336"/>
      <c r="CP72" s="336"/>
    </row>
    <row r="73" spans="1:94" s="116" customFormat="1">
      <c r="B73" s="121" t="s">
        <v>363</v>
      </c>
      <c r="C73" s="129">
        <f>C7+'Forecast "True up" 1'!I26</f>
        <v>12644.133813132048</v>
      </c>
      <c r="D73" s="25">
        <f>D7</f>
        <v>10081.59987106138</v>
      </c>
      <c r="E73" s="130">
        <f>D73-C73</f>
        <v>-2562.5339420706678</v>
      </c>
      <c r="F73" s="131">
        <f>E73/C73</f>
        <v>-0.20266583539390023</v>
      </c>
      <c r="G73" s="223"/>
      <c r="I73" s="211">
        <f>'Forecast "True up" 1'!I26</f>
        <v>-275.81556719524929</v>
      </c>
      <c r="L73" s="584"/>
      <c r="M73" s="645"/>
      <c r="N73" s="646"/>
      <c r="O73" s="645"/>
      <c r="P73" s="336"/>
      <c r="Q73" s="648"/>
      <c r="R73" s="649"/>
      <c r="BJ73" s="336"/>
      <c r="CP73" s="336"/>
    </row>
    <row r="74" spans="1:94">
      <c r="B74" s="121" t="s">
        <v>1</v>
      </c>
      <c r="C74" s="129">
        <f>C8+'Forecast "True up" 1'!I17</f>
        <v>2451.4940433883421</v>
      </c>
      <c r="D74" s="25">
        <f>D8</f>
        <v>2323.1530257619638</v>
      </c>
      <c r="E74" s="130">
        <f>D74-C74</f>
        <v>-128.34101762637829</v>
      </c>
      <c r="F74" s="131">
        <f>E74/C74</f>
        <v>-5.2352163764180004E-2</v>
      </c>
      <c r="G74" s="223"/>
      <c r="I74" s="211">
        <f>'Forecast "True up" 1'!I17</f>
        <v>-15.113169370461463</v>
      </c>
      <c r="L74" s="584"/>
      <c r="M74" s="645"/>
      <c r="N74" s="646"/>
      <c r="O74" s="645"/>
      <c r="P74" s="336"/>
      <c r="Q74" s="648"/>
      <c r="R74" s="649"/>
      <c r="BJ74" s="336"/>
      <c r="BL74" s="116"/>
      <c r="CF74" s="116"/>
      <c r="CP74" s="336"/>
    </row>
    <row r="75" spans="1:94" s="116" customFormat="1" ht="27" customHeight="1">
      <c r="B75" s="121" t="s">
        <v>366</v>
      </c>
      <c r="C75" s="129">
        <f>C9+'Forecast "True up" 1'!I9</f>
        <v>3490.6093547258429</v>
      </c>
      <c r="D75" s="25">
        <f>D9</f>
        <v>3360.2103336280543</v>
      </c>
      <c r="E75" s="130">
        <f>D75-C75</f>
        <v>-130.39902109778859</v>
      </c>
      <c r="F75" s="131">
        <f>E75/C75</f>
        <v>-3.7357093804050237E-2</v>
      </c>
      <c r="G75" s="223"/>
      <c r="I75" s="211">
        <f>'Forecast "True up" 1'!I9</f>
        <v>-206.61281710441352</v>
      </c>
      <c r="L75" s="584"/>
      <c r="M75" s="647"/>
      <c r="N75" s="647"/>
      <c r="O75" s="647"/>
      <c r="P75" s="336"/>
      <c r="Q75" s="650"/>
      <c r="R75" s="649"/>
      <c r="BA75" s="1"/>
      <c r="BJ75" s="336"/>
      <c r="CP75" s="336"/>
    </row>
    <row r="76" spans="1:94" s="116" customFormat="1" ht="12.75" thickBot="1">
      <c r="B76" s="122" t="s">
        <v>3</v>
      </c>
      <c r="C76" s="132">
        <f>SUM(C73:C75)</f>
        <v>18586.237211246233</v>
      </c>
      <c r="D76" s="132">
        <f>SUM(D73:D75)</f>
        <v>15764.963230451398</v>
      </c>
      <c r="E76" s="133">
        <f>D76-C76</f>
        <v>-2821.2739807948346</v>
      </c>
      <c r="F76" s="134">
        <f>E76/C76</f>
        <v>-0.1517937142805714</v>
      </c>
      <c r="L76" s="584"/>
      <c r="M76" s="584"/>
      <c r="N76" s="584"/>
      <c r="O76" s="584"/>
      <c r="P76" s="336"/>
      <c r="Q76" s="584"/>
      <c r="R76" s="584"/>
      <c r="BA76" s="563"/>
      <c r="BB76" s="563"/>
      <c r="BC76" s="563"/>
      <c r="BD76" s="563"/>
      <c r="BE76" s="563"/>
      <c r="BF76" s="563"/>
      <c r="BJ76" s="336"/>
      <c r="CP76" s="336"/>
    </row>
    <row r="77" spans="1:94" s="116" customFormat="1" ht="12.75" thickTop="1">
      <c r="B77" s="89" t="s">
        <v>122</v>
      </c>
      <c r="L77" s="584"/>
      <c r="M77" s="584"/>
      <c r="N77" s="584"/>
      <c r="O77" s="584"/>
      <c r="P77" s="336"/>
      <c r="Q77" s="584"/>
      <c r="R77" s="584"/>
      <c r="BA77" s="563"/>
      <c r="BB77" s="563"/>
      <c r="BC77" s="563"/>
      <c r="BD77" s="563"/>
      <c r="BE77" s="563"/>
      <c r="BF77" s="563"/>
      <c r="BJ77" s="336"/>
      <c r="CP77" s="336"/>
    </row>
    <row r="78" spans="1:94">
      <c r="B78" s="475"/>
      <c r="L78" s="584"/>
      <c r="M78" s="584"/>
      <c r="N78" s="584"/>
      <c r="O78" s="584"/>
      <c r="P78" s="336"/>
      <c r="Q78" s="584"/>
      <c r="R78" s="584"/>
      <c r="BA78" s="563"/>
      <c r="BB78" s="563"/>
      <c r="BC78" s="563"/>
      <c r="BD78" s="563"/>
      <c r="BE78" s="563"/>
      <c r="BF78" s="563"/>
      <c r="BJ78" s="336"/>
      <c r="CP78" s="336"/>
    </row>
    <row r="79" spans="1:94" s="116" customFormat="1">
      <c r="L79" s="584"/>
      <c r="M79" s="645"/>
      <c r="N79" s="645"/>
      <c r="O79" s="584"/>
      <c r="P79" s="336"/>
      <c r="Q79" s="584"/>
      <c r="R79" s="584"/>
      <c r="BA79" s="563"/>
      <c r="BB79" s="563"/>
      <c r="BC79" s="563"/>
      <c r="BD79" s="563"/>
      <c r="BE79" s="563"/>
      <c r="BF79" s="563"/>
      <c r="BJ79" s="336"/>
      <c r="CP79" s="336"/>
    </row>
    <row r="80" spans="1:94" s="116" customFormat="1" ht="12.75" thickBot="1">
      <c r="B80" s="27" t="s">
        <v>524</v>
      </c>
      <c r="L80" s="584"/>
      <c r="M80" s="645"/>
      <c r="N80" s="645"/>
      <c r="O80" s="645"/>
      <c r="P80" s="336"/>
      <c r="Q80" s="648"/>
      <c r="R80" s="584"/>
      <c r="BA80" s="563"/>
      <c r="BB80" s="563"/>
      <c r="BC80" s="563"/>
      <c r="BD80" s="563"/>
      <c r="BE80" s="563"/>
      <c r="BF80" s="563"/>
      <c r="BJ80" s="336"/>
      <c r="CP80" s="336"/>
    </row>
    <row r="81" spans="2:94" s="116" customFormat="1" ht="24.75" customHeight="1" thickTop="1" thickBot="1">
      <c r="B81" s="41" t="str">
        <f>B70</f>
        <v>£m, 2019-20 prices </v>
      </c>
      <c r="C81" s="788" t="s">
        <v>177</v>
      </c>
      <c r="D81" s="789"/>
      <c r="E81" s="789"/>
      <c r="F81" s="789"/>
      <c r="H81" s="818" t="s">
        <v>519</v>
      </c>
      <c r="I81" s="800"/>
      <c r="L81" s="584"/>
      <c r="M81" s="645"/>
      <c r="N81" s="645"/>
      <c r="O81" s="645"/>
      <c r="P81" s="336"/>
      <c r="Q81" s="648"/>
      <c r="R81" s="584"/>
      <c r="BA81" s="563"/>
      <c r="BB81" s="563"/>
      <c r="BC81" s="563"/>
      <c r="BD81" s="563"/>
      <c r="BE81" s="563"/>
      <c r="BF81" s="563"/>
      <c r="BJ81" s="336"/>
      <c r="BW81" s="211"/>
      <c r="CP81" s="336"/>
    </row>
    <row r="82" spans="2:94" s="116" customFormat="1">
      <c r="B82" s="121"/>
      <c r="C82" s="123" t="s">
        <v>2</v>
      </c>
      <c r="D82" s="344" t="s">
        <v>4</v>
      </c>
      <c r="E82" s="790" t="s">
        <v>47</v>
      </c>
      <c r="F82" s="791"/>
      <c r="H82" s="800"/>
      <c r="I82" s="800"/>
      <c r="L82" s="584"/>
      <c r="M82" s="645"/>
      <c r="N82" s="645"/>
      <c r="O82" s="645"/>
      <c r="P82" s="336"/>
      <c r="Q82" s="648"/>
      <c r="R82" s="584"/>
      <c r="BJ82" s="336"/>
      <c r="BW82" s="211"/>
      <c r="CP82" s="336"/>
    </row>
    <row r="83" spans="2:94" s="116" customFormat="1" ht="13.15">
      <c r="B83" s="121"/>
      <c r="C83" s="125"/>
      <c r="D83" s="126"/>
      <c r="E83" s="127" t="s">
        <v>48</v>
      </c>
      <c r="F83" s="128" t="s">
        <v>49</v>
      </c>
      <c r="H83" s="480"/>
      <c r="I83" s="480"/>
      <c r="L83" s="584"/>
      <c r="M83" s="647"/>
      <c r="N83" s="647"/>
      <c r="O83" s="647"/>
      <c r="P83" s="336"/>
      <c r="Q83" s="650"/>
      <c r="R83" s="584"/>
      <c r="BJ83" s="336"/>
      <c r="BW83" s="211"/>
      <c r="CP83" s="336"/>
    </row>
    <row r="84" spans="2:94" s="116" customFormat="1">
      <c r="B84" s="121" t="s">
        <v>363</v>
      </c>
      <c r="C84" s="129">
        <f>C73</f>
        <v>12644.133813132048</v>
      </c>
      <c r="D84" s="25">
        <f>D73</f>
        <v>10081.59987106138</v>
      </c>
      <c r="E84" s="130">
        <f>D84-C84</f>
        <v>-2562.5339420706678</v>
      </c>
      <c r="F84" s="131">
        <f>E84/C84</f>
        <v>-0.20266583539390023</v>
      </c>
      <c r="G84" s="480"/>
      <c r="H84" s="480"/>
      <c r="I84" s="211">
        <f>E84-E73</f>
        <v>0</v>
      </c>
      <c r="L84" s="646"/>
      <c r="M84" s="584"/>
      <c r="N84" s="584"/>
      <c r="O84" s="584"/>
      <c r="P84" s="336"/>
      <c r="Q84" s="584"/>
      <c r="R84" s="584"/>
      <c r="BJ84" s="336"/>
      <c r="BW84" s="271"/>
      <c r="CP84" s="336"/>
    </row>
    <row r="85" spans="2:94" s="116" customFormat="1">
      <c r="B85" s="121" t="s">
        <v>1</v>
      </c>
      <c r="C85" s="129">
        <f>C74</f>
        <v>2451.4940433883421</v>
      </c>
      <c r="D85" s="25">
        <f>D74</f>
        <v>2323.1530257619638</v>
      </c>
      <c r="E85" s="130">
        <f>D85-C85</f>
        <v>-128.34101762637829</v>
      </c>
      <c r="F85" s="131">
        <f>E85/C85</f>
        <v>-5.2352163764180004E-2</v>
      </c>
      <c r="G85" s="480"/>
      <c r="H85" s="480"/>
      <c r="I85" s="211">
        <f t="shared" ref="I85:I86" si="48">E85-E74</f>
        <v>0</v>
      </c>
      <c r="L85" s="584"/>
      <c r="M85" s="645"/>
      <c r="N85" s="645"/>
      <c r="O85" s="645"/>
      <c r="P85" s="336"/>
      <c r="Q85" s="648"/>
      <c r="R85" s="584"/>
      <c r="BJ85" s="336"/>
      <c r="CP85" s="336"/>
    </row>
    <row r="86" spans="2:94" s="116" customFormat="1">
      <c r="B86" s="121" t="s">
        <v>525</v>
      </c>
      <c r="C86" s="129">
        <f>BD34+'Forecast "True up" 1'!I9</f>
        <v>3426.6528583804848</v>
      </c>
      <c r="D86" s="25">
        <f>D75</f>
        <v>3360.2103336280543</v>
      </c>
      <c r="E86" s="130">
        <f>D86-C86</f>
        <v>-66.442524752430472</v>
      </c>
      <c r="F86" s="131">
        <f>E86/C86</f>
        <v>-1.9389919988519858E-2</v>
      </c>
      <c r="G86" s="480"/>
      <c r="H86" s="480"/>
      <c r="I86" s="211">
        <f t="shared" si="48"/>
        <v>63.956496345358119</v>
      </c>
      <c r="L86" s="584"/>
      <c r="M86" s="584"/>
      <c r="N86" s="584"/>
      <c r="O86" s="584"/>
      <c r="P86" s="336"/>
      <c r="Q86" s="584"/>
      <c r="R86" s="584"/>
      <c r="BJ86" s="336"/>
      <c r="CP86" s="336"/>
    </row>
    <row r="87" spans="2:94" s="116" customFormat="1" ht="12.75" thickBot="1">
      <c r="B87" s="122" t="s">
        <v>3</v>
      </c>
      <c r="C87" s="132">
        <f>SUM(C84:C86)</f>
        <v>18522.280714900873</v>
      </c>
      <c r="D87" s="132">
        <f>SUM(D84:D86)</f>
        <v>15764.963230451398</v>
      </c>
      <c r="E87" s="133">
        <f>D87-C87</f>
        <v>-2757.3174844494752</v>
      </c>
      <c r="F87" s="134">
        <f>E87/C87</f>
        <v>-0.1488649009747087</v>
      </c>
      <c r="G87" s="480"/>
      <c r="L87" s="584"/>
      <c r="M87" s="584"/>
      <c r="N87" s="584"/>
      <c r="O87" s="584"/>
      <c r="P87" s="336"/>
      <c r="Q87" s="584"/>
      <c r="R87" s="584"/>
      <c r="BJ87" s="336"/>
      <c r="CP87" s="336"/>
    </row>
    <row r="88" spans="2:94" s="116" customFormat="1" ht="12.75" thickTop="1">
      <c r="B88" s="89" t="s">
        <v>264</v>
      </c>
      <c r="L88" s="584"/>
      <c r="M88" s="645"/>
      <c r="N88" s="645"/>
      <c r="O88" s="645"/>
      <c r="P88" s="336"/>
      <c r="Q88" s="648"/>
      <c r="R88" s="584"/>
      <c r="BJ88" s="336"/>
      <c r="CP88" s="336"/>
    </row>
    <row r="89" spans="2:94" s="480" customFormat="1">
      <c r="B89" s="89"/>
      <c r="L89" s="584"/>
      <c r="M89" s="645"/>
      <c r="N89" s="645"/>
      <c r="O89" s="645"/>
      <c r="P89" s="336"/>
      <c r="Q89" s="648"/>
      <c r="R89" s="584"/>
      <c r="BJ89" s="336"/>
      <c r="CP89" s="336"/>
    </row>
    <row r="90" spans="2:94" s="480" customFormat="1">
      <c r="B90" s="89"/>
      <c r="L90" s="584"/>
      <c r="M90" s="645"/>
      <c r="N90" s="645"/>
      <c r="O90" s="645"/>
      <c r="P90" s="336"/>
      <c r="Q90" s="648"/>
      <c r="R90" s="584"/>
      <c r="BJ90" s="336"/>
      <c r="CP90" s="336"/>
    </row>
    <row r="91" spans="2:94" s="480" customFormat="1" ht="12.75" thickBot="1">
      <c r="B91" s="27" t="s">
        <v>520</v>
      </c>
      <c r="L91" s="584"/>
      <c r="M91" s="647"/>
      <c r="N91" s="647"/>
      <c r="O91" s="647"/>
      <c r="P91" s="336"/>
      <c r="Q91" s="650"/>
      <c r="R91" s="584"/>
      <c r="BJ91" s="336"/>
      <c r="CP91" s="336"/>
    </row>
    <row r="92" spans="2:94" s="480" customFormat="1" ht="28.15" customHeight="1" thickTop="1" thickBot="1">
      <c r="B92" s="41" t="str">
        <f>B81</f>
        <v>£m, 2019-20 prices </v>
      </c>
      <c r="C92" s="788" t="s">
        <v>526</v>
      </c>
      <c r="D92" s="789"/>
      <c r="E92" s="789"/>
      <c r="F92" s="789"/>
      <c r="H92" s="818" t="s">
        <v>521</v>
      </c>
      <c r="I92" s="800"/>
      <c r="L92" s="584"/>
      <c r="M92" s="584"/>
      <c r="N92" s="584"/>
      <c r="O92" s="645"/>
      <c r="P92" s="336"/>
      <c r="Q92" s="584"/>
      <c r="R92" s="584"/>
      <c r="BJ92" s="336"/>
      <c r="CP92" s="336"/>
    </row>
    <row r="93" spans="2:94" s="480" customFormat="1">
      <c r="B93" s="121"/>
      <c r="C93" s="123" t="s">
        <v>2</v>
      </c>
      <c r="D93" s="607" t="s">
        <v>4</v>
      </c>
      <c r="E93" s="790" t="s">
        <v>47</v>
      </c>
      <c r="F93" s="791"/>
      <c r="H93" s="800"/>
      <c r="I93" s="800"/>
      <c r="L93" s="584"/>
      <c r="M93" s="645"/>
      <c r="N93" s="645"/>
      <c r="O93" s="645"/>
      <c r="P93" s="336"/>
      <c r="Q93" s="648"/>
      <c r="R93" s="584"/>
      <c r="BJ93" s="336"/>
      <c r="CP93" s="336"/>
    </row>
    <row r="94" spans="2:94" s="480" customFormat="1" ht="13.15">
      <c r="B94" s="121"/>
      <c r="C94" s="125"/>
      <c r="D94" s="126"/>
      <c r="E94" s="127" t="s">
        <v>48</v>
      </c>
      <c r="F94" s="128" t="s">
        <v>49</v>
      </c>
      <c r="L94" s="584"/>
      <c r="M94" s="645"/>
      <c r="N94" s="645"/>
      <c r="O94" s="645"/>
      <c r="P94" s="336"/>
      <c r="Q94" s="648"/>
      <c r="R94" s="584"/>
      <c r="BJ94" s="336"/>
      <c r="CP94" s="336"/>
    </row>
    <row r="95" spans="2:94" s="480" customFormat="1">
      <c r="B95" s="121" t="s">
        <v>363</v>
      </c>
      <c r="C95" s="129">
        <f>C7</f>
        <v>12919.949380327298</v>
      </c>
      <c r="D95" s="129">
        <f>D7</f>
        <v>10081.59987106138</v>
      </c>
      <c r="E95" s="130">
        <f>D95-C95</f>
        <v>-2838.3495092659177</v>
      </c>
      <c r="F95" s="131">
        <f>E95/C95</f>
        <v>-0.21968735524519636</v>
      </c>
      <c r="I95" s="211">
        <f>E95-E7</f>
        <v>0</v>
      </c>
      <c r="L95" s="584"/>
      <c r="M95" s="645"/>
      <c r="N95" s="645"/>
      <c r="O95" s="645"/>
      <c r="P95" s="336"/>
      <c r="Q95" s="648"/>
      <c r="R95" s="584"/>
      <c r="BJ95" s="336"/>
      <c r="CP95" s="336"/>
    </row>
    <row r="96" spans="2:94" s="480" customFormat="1">
      <c r="B96" s="121" t="s">
        <v>1</v>
      </c>
      <c r="C96" s="129">
        <f>C8</f>
        <v>2466.6072127588036</v>
      </c>
      <c r="D96" s="129">
        <f>D8</f>
        <v>2323.1530257619638</v>
      </c>
      <c r="E96" s="130">
        <f>D96-C96</f>
        <v>-143.45418699683978</v>
      </c>
      <c r="F96" s="131">
        <f>E96/C96</f>
        <v>-5.815850462724946E-2</v>
      </c>
      <c r="I96" s="211">
        <f t="shared" ref="I96:I97" si="49">E96-E8</f>
        <v>0</v>
      </c>
      <c r="L96" s="584"/>
      <c r="M96" s="647"/>
      <c r="N96" s="647"/>
      <c r="O96" s="647"/>
      <c r="P96" s="336"/>
      <c r="Q96" s="650"/>
      <c r="R96" s="584"/>
      <c r="BJ96" s="336"/>
      <c r="CP96" s="336"/>
    </row>
    <row r="97" spans="2:94" s="480" customFormat="1">
      <c r="B97" s="121" t="s">
        <v>367</v>
      </c>
      <c r="C97" s="129">
        <f>BD34</f>
        <v>3633.2656754848981</v>
      </c>
      <c r="D97" s="25">
        <f>D75</f>
        <v>3360.2103336280543</v>
      </c>
      <c r="E97" s="130">
        <f>D97-C97</f>
        <v>-273.05534185684382</v>
      </c>
      <c r="F97" s="131">
        <f>E97/C97</f>
        <v>-7.5154245861858607E-2</v>
      </c>
      <c r="I97" s="211">
        <f t="shared" si="49"/>
        <v>63.956496345358119</v>
      </c>
      <c r="L97" s="584"/>
      <c r="M97" s="584"/>
      <c r="N97" s="584"/>
      <c r="O97" s="584"/>
      <c r="P97" s="336"/>
      <c r="Q97" s="584"/>
      <c r="R97" s="584"/>
      <c r="BJ97" s="336"/>
      <c r="CP97" s="336"/>
    </row>
    <row r="98" spans="2:94" s="480" customFormat="1" ht="12.75" thickBot="1">
      <c r="B98" s="122" t="s">
        <v>3</v>
      </c>
      <c r="C98" s="132">
        <f>SUM(C95:C97)</f>
        <v>19019.822268570999</v>
      </c>
      <c r="D98" s="132">
        <f>SUM(D95:D97)</f>
        <v>15764.963230451398</v>
      </c>
      <c r="E98" s="133">
        <f>D98-C98</f>
        <v>-3254.8590381196009</v>
      </c>
      <c r="F98" s="134">
        <f>E98/C98</f>
        <v>-0.17112983455676348</v>
      </c>
      <c r="P98" s="336"/>
      <c r="BJ98" s="336"/>
      <c r="CP98" s="336"/>
    </row>
    <row r="99" spans="2:94" s="480" customFormat="1" ht="12.75" thickTop="1">
      <c r="B99" s="89" t="s">
        <v>264</v>
      </c>
      <c r="M99" s="155"/>
      <c r="N99" s="155"/>
      <c r="P99" s="336"/>
      <c r="BJ99" s="336"/>
      <c r="CP99" s="336"/>
    </row>
    <row r="100" spans="2:94" s="480" customFormat="1">
      <c r="B100" s="89"/>
      <c r="M100" s="155"/>
      <c r="N100" s="155"/>
      <c r="P100" s="336"/>
      <c r="BJ100" s="336"/>
      <c r="CP100" s="336"/>
    </row>
    <row r="101" spans="2:94" s="480" customFormat="1">
      <c r="B101" s="89"/>
      <c r="M101" s="155"/>
      <c r="N101" s="155"/>
      <c r="P101" s="336"/>
      <c r="BJ101" s="336"/>
      <c r="CP101" s="336"/>
    </row>
    <row r="102" spans="2:94" s="480" customFormat="1" ht="12.75" thickBot="1">
      <c r="B102" s="27" t="s">
        <v>522</v>
      </c>
      <c r="P102" s="336"/>
      <c r="BJ102" s="336"/>
      <c r="CP102" s="336"/>
    </row>
    <row r="103" spans="2:94" s="480" customFormat="1" ht="43.9" customHeight="1" thickTop="1" thickBot="1">
      <c r="B103" s="41" t="str">
        <f>B92</f>
        <v>£m, 2019-20 prices </v>
      </c>
      <c r="C103" s="788" t="str">
        <f>C81</f>
        <v>Current RIIO-ET1 company forecast (including an adjustment for the RIIO-T1 forecast excluded services true-up)</v>
      </c>
      <c r="D103" s="789"/>
      <c r="E103" s="789"/>
      <c r="F103" s="789"/>
      <c r="H103" s="818" t="s">
        <v>523</v>
      </c>
      <c r="I103" s="800"/>
      <c r="K103" s="810" t="s">
        <v>544</v>
      </c>
      <c r="L103" s="811"/>
      <c r="M103" s="811"/>
      <c r="N103" s="812"/>
      <c r="P103" s="336"/>
      <c r="BJ103" s="336"/>
      <c r="CP103" s="336"/>
    </row>
    <row r="104" spans="2:94" s="480" customFormat="1">
      <c r="B104" s="121"/>
      <c r="C104" s="123" t="s">
        <v>2</v>
      </c>
      <c r="D104" s="607" t="s">
        <v>4</v>
      </c>
      <c r="E104" s="790" t="s">
        <v>47</v>
      </c>
      <c r="F104" s="791"/>
      <c r="H104" s="800"/>
      <c r="I104" s="800"/>
      <c r="K104" s="813"/>
      <c r="L104" s="814"/>
      <c r="M104" s="814"/>
      <c r="N104" s="762"/>
      <c r="P104" s="336"/>
      <c r="BJ104" s="336"/>
      <c r="CP104" s="336"/>
    </row>
    <row r="105" spans="2:94" s="480" customFormat="1" ht="13.15">
      <c r="B105" s="121"/>
      <c r="C105" s="125"/>
      <c r="D105" s="126"/>
      <c r="E105" s="127" t="s">
        <v>48</v>
      </c>
      <c r="F105" s="128" t="s">
        <v>49</v>
      </c>
      <c r="K105" s="813"/>
      <c r="L105" s="814"/>
      <c r="M105" s="814"/>
      <c r="N105" s="762"/>
      <c r="P105" s="336"/>
      <c r="BJ105" s="336"/>
      <c r="CP105" s="336"/>
    </row>
    <row r="106" spans="2:94" s="480" customFormat="1">
      <c r="B106" s="121" t="s">
        <v>527</v>
      </c>
      <c r="C106" s="129">
        <f>C73-87</f>
        <v>12557.133813132048</v>
      </c>
      <c r="D106" s="129">
        <f>D73</f>
        <v>10081.59987106138</v>
      </c>
      <c r="E106" s="130">
        <f>D106-C106</f>
        <v>-2475.5339420706678</v>
      </c>
      <c r="F106" s="131">
        <f>E106/C106</f>
        <v>-0.19714163908023297</v>
      </c>
      <c r="G106" s="675"/>
      <c r="I106" s="211">
        <f>E106-E73</f>
        <v>87</v>
      </c>
      <c r="K106" s="813"/>
      <c r="L106" s="814"/>
      <c r="M106" s="814"/>
      <c r="N106" s="762"/>
      <c r="P106" s="336"/>
      <c r="BJ106" s="336"/>
      <c r="CP106" s="336"/>
    </row>
    <row r="107" spans="2:94" s="480" customFormat="1">
      <c r="B107" s="121" t="s">
        <v>1</v>
      </c>
      <c r="C107" s="129">
        <f>C74</f>
        <v>2451.4940433883421</v>
      </c>
      <c r="D107" s="129">
        <f>D74</f>
        <v>2323.1530257619638</v>
      </c>
      <c r="E107" s="130">
        <f>D107-C107</f>
        <v>-128.34101762637829</v>
      </c>
      <c r="F107" s="131">
        <f>E107/C107</f>
        <v>-5.2352163764180004E-2</v>
      </c>
      <c r="I107" s="211">
        <f t="shared" ref="I107:I108" si="50">E107-E74</f>
        <v>0</v>
      </c>
      <c r="K107" s="813"/>
      <c r="L107" s="814"/>
      <c r="M107" s="814"/>
      <c r="N107" s="762"/>
      <c r="P107" s="336"/>
      <c r="BJ107" s="336"/>
      <c r="CP107" s="336"/>
    </row>
    <row r="108" spans="2:94" s="480" customFormat="1" ht="12.75" thickBot="1">
      <c r="B108" s="121" t="s">
        <v>367</v>
      </c>
      <c r="C108" s="129">
        <f>C75</f>
        <v>3490.6093547258429</v>
      </c>
      <c r="D108" s="129">
        <f>D75</f>
        <v>3360.2103336280543</v>
      </c>
      <c r="E108" s="130">
        <f>D108-C108</f>
        <v>-130.39902109778859</v>
      </c>
      <c r="F108" s="131">
        <f>E108/C108</f>
        <v>-3.7357093804050237E-2</v>
      </c>
      <c r="I108" s="211">
        <f t="shared" si="50"/>
        <v>0</v>
      </c>
      <c r="K108" s="815"/>
      <c r="L108" s="816"/>
      <c r="M108" s="816"/>
      <c r="N108" s="817"/>
      <c r="P108" s="336"/>
      <c r="BJ108" s="336"/>
      <c r="CP108" s="336"/>
    </row>
    <row r="109" spans="2:94" s="480" customFormat="1" ht="12.75" thickBot="1">
      <c r="B109" s="122" t="s">
        <v>3</v>
      </c>
      <c r="C109" s="132">
        <f>SUM(C106:C108)</f>
        <v>18499.237211246233</v>
      </c>
      <c r="D109" s="132">
        <f>SUM(D106:D108)</f>
        <v>15764.963230451398</v>
      </c>
      <c r="E109" s="133">
        <f>D109-C109</f>
        <v>-2734.2739807948346</v>
      </c>
      <c r="F109" s="134">
        <f>E109/C109</f>
        <v>-0.14780468781342987</v>
      </c>
      <c r="P109" s="336"/>
      <c r="BJ109" s="336"/>
      <c r="CP109" s="336"/>
    </row>
    <row r="110" spans="2:94" s="480" customFormat="1" ht="12.75" thickTop="1">
      <c r="B110" s="89" t="s">
        <v>264</v>
      </c>
      <c r="P110" s="336"/>
      <c r="BJ110" s="336"/>
      <c r="CP110" s="336"/>
    </row>
    <row r="111" spans="2:94" s="480" customFormat="1">
      <c r="B111" s="89"/>
      <c r="P111" s="336"/>
      <c r="BJ111" s="336"/>
      <c r="CP111" s="336"/>
    </row>
    <row r="112" spans="2:94" s="116" customFormat="1">
      <c r="B112" s="474"/>
      <c r="K112" s="480"/>
      <c r="P112" s="336"/>
      <c r="BJ112" s="336"/>
      <c r="CP112" s="336"/>
    </row>
    <row r="113" spans="1:94">
      <c r="A113" s="336"/>
      <c r="B113" s="336"/>
      <c r="C113" s="336"/>
      <c r="D113" s="336"/>
      <c r="E113" s="336"/>
      <c r="F113" s="336"/>
      <c r="G113" s="336"/>
      <c r="H113" s="336"/>
      <c r="I113" s="336"/>
      <c r="J113" s="336"/>
      <c r="K113" s="336"/>
      <c r="L113" s="336"/>
      <c r="M113" s="336"/>
      <c r="N113" s="336"/>
      <c r="O113" s="336"/>
      <c r="P113" s="336"/>
      <c r="Q113" s="336"/>
      <c r="R113" s="336"/>
      <c r="S113" s="336"/>
      <c r="T113" s="336"/>
      <c r="U113" s="336"/>
      <c r="V113" s="336"/>
      <c r="W113" s="336"/>
      <c r="X113" s="336"/>
      <c r="Y113" s="336"/>
      <c r="Z113" s="336"/>
      <c r="AA113" s="336"/>
      <c r="AB113" s="336"/>
      <c r="AC113" s="336"/>
      <c r="AD113" s="336"/>
      <c r="AE113" s="336"/>
      <c r="AF113" s="336"/>
      <c r="AG113" s="336"/>
      <c r="AH113" s="336"/>
      <c r="AI113" s="336"/>
      <c r="AJ113" s="336"/>
      <c r="AK113" s="336"/>
      <c r="AL113" s="336"/>
      <c r="AM113" s="336"/>
      <c r="AN113" s="336"/>
      <c r="AO113" s="336"/>
      <c r="AP113" s="336"/>
      <c r="AQ113" s="336"/>
      <c r="AR113" s="336"/>
      <c r="AS113" s="336"/>
      <c r="AT113" s="336"/>
      <c r="AU113" s="336"/>
      <c r="AV113" s="336"/>
      <c r="AW113" s="336"/>
      <c r="AX113" s="336"/>
      <c r="AY113" s="336"/>
      <c r="AZ113" s="336"/>
      <c r="BA113" s="336"/>
      <c r="BB113" s="336"/>
      <c r="BC113" s="336"/>
      <c r="BD113" s="336"/>
      <c r="BE113" s="336"/>
      <c r="BF113" s="336"/>
      <c r="BG113" s="336"/>
      <c r="BH113" s="336"/>
      <c r="BI113" s="336"/>
      <c r="BJ113" s="336"/>
      <c r="BK113" s="336"/>
      <c r="BL113" s="336"/>
      <c r="BM113" s="336"/>
      <c r="BN113" s="336"/>
      <c r="BO113" s="336"/>
      <c r="BP113" s="336"/>
      <c r="BQ113" s="336"/>
      <c r="BR113" s="336"/>
      <c r="BS113" s="336"/>
      <c r="BT113" s="336"/>
      <c r="BU113" s="336"/>
      <c r="BV113" s="336"/>
      <c r="BW113" s="336"/>
      <c r="BX113" s="336"/>
      <c r="BY113" s="336"/>
      <c r="BZ113" s="336"/>
      <c r="CA113" s="336"/>
      <c r="CB113" s="336"/>
      <c r="CC113" s="336"/>
      <c r="CD113" s="336"/>
      <c r="CE113" s="336"/>
      <c r="CF113" s="336"/>
      <c r="CG113" s="336"/>
      <c r="CH113" s="336"/>
      <c r="CI113" s="336"/>
      <c r="CJ113" s="336"/>
      <c r="CK113" s="336"/>
      <c r="CL113" s="336"/>
      <c r="CM113" s="336"/>
      <c r="CN113" s="336"/>
      <c r="CO113" s="336"/>
      <c r="CP113" s="336"/>
    </row>
    <row r="114" spans="1:94">
      <c r="K114" s="480"/>
      <c r="AF114" s="336"/>
      <c r="BI114" s="83"/>
      <c r="BJ114" s="83"/>
      <c r="BK114" s="83"/>
      <c r="BL114" s="83"/>
      <c r="BM114" s="83"/>
      <c r="BN114" s="83"/>
      <c r="BO114" s="83"/>
      <c r="BP114" s="83"/>
      <c r="BQ114" s="83"/>
      <c r="BR114" s="83"/>
      <c r="BS114" s="418"/>
      <c r="BT114" s="83"/>
      <c r="BU114" s="83"/>
      <c r="BV114" s="83"/>
      <c r="BW114" s="83"/>
      <c r="BX114" s="83"/>
      <c r="BY114" s="83"/>
      <c r="BZ114" s="83"/>
      <c r="CA114" s="83"/>
      <c r="CB114" s="83"/>
      <c r="CC114" s="83"/>
      <c r="CD114" s="83"/>
      <c r="CE114" s="83"/>
      <c r="CF114" s="83"/>
      <c r="CG114" s="83"/>
      <c r="CH114" s="83"/>
      <c r="CI114" s="83"/>
      <c r="CJ114" s="83"/>
      <c r="CK114" s="83"/>
      <c r="CL114" s="83"/>
      <c r="CM114" s="83"/>
      <c r="CN114" s="83"/>
      <c r="CO114" s="83"/>
      <c r="CP114" s="83"/>
    </row>
    <row r="115" spans="1:94" s="116" customFormat="1">
      <c r="AF115" s="336"/>
      <c r="BI115" s="83"/>
      <c r="BJ115" s="83"/>
      <c r="BK115" s="83"/>
      <c r="BL115" s="83"/>
      <c r="BM115" s="270"/>
      <c r="BN115" s="83"/>
      <c r="BO115" s="83"/>
      <c r="BP115" s="83"/>
      <c r="BQ115" s="83"/>
      <c r="BR115" s="83"/>
      <c r="BS115" s="418"/>
      <c r="BT115" s="83"/>
      <c r="BU115" s="83"/>
      <c r="BV115" s="270"/>
      <c r="BW115" s="83"/>
      <c r="BX115" s="83"/>
      <c r="BY115" s="83"/>
      <c r="BZ115" s="83"/>
      <c r="CA115" s="83"/>
      <c r="CB115" s="83"/>
      <c r="CC115" s="83"/>
      <c r="CD115" s="83"/>
      <c r="CE115" s="270"/>
      <c r="CF115" s="83"/>
      <c r="CG115" s="83"/>
      <c r="CH115" s="83"/>
      <c r="CI115" s="83"/>
      <c r="CJ115" s="83"/>
      <c r="CK115" s="83"/>
      <c r="CL115" s="83"/>
      <c r="CM115" s="83"/>
      <c r="CN115" s="83"/>
      <c r="CO115" s="83"/>
      <c r="CP115" s="83"/>
    </row>
    <row r="116" spans="1:94">
      <c r="A116" s="1" t="s">
        <v>157</v>
      </c>
      <c r="B116" s="220" t="s">
        <v>402</v>
      </c>
      <c r="C116" s="100"/>
      <c r="D116" s="100"/>
      <c r="E116" s="100"/>
      <c r="F116" s="100"/>
      <c r="R116" s="1" t="s">
        <v>158</v>
      </c>
      <c r="S116" s="28" t="s">
        <v>558</v>
      </c>
      <c r="AB116"/>
      <c r="AC116"/>
      <c r="AF116" s="336"/>
      <c r="BI116" s="83"/>
      <c r="BJ116" s="83"/>
      <c r="BK116" s="83"/>
      <c r="BL116" s="83"/>
      <c r="BM116" s="83"/>
      <c r="BN116" s="83"/>
      <c r="BO116" s="83"/>
      <c r="BP116" s="83"/>
      <c r="BQ116" s="83"/>
      <c r="BR116" s="83"/>
      <c r="BS116" s="83"/>
      <c r="BT116" s="83"/>
      <c r="BU116" s="83"/>
      <c r="BV116" s="83"/>
      <c r="BW116" s="83"/>
      <c r="BX116" s="83"/>
      <c r="BY116" s="83"/>
      <c r="BZ116" s="83"/>
      <c r="CA116" s="83"/>
      <c r="CB116" s="83"/>
      <c r="CC116" s="83"/>
      <c r="CD116" s="83"/>
      <c r="CE116" s="83"/>
      <c r="CF116" s="83"/>
      <c r="CG116" s="83"/>
      <c r="CH116" s="83"/>
      <c r="CI116" s="83"/>
      <c r="CJ116" s="83"/>
      <c r="CK116" s="83"/>
      <c r="CL116" s="83"/>
      <c r="CM116" s="83"/>
      <c r="CN116" s="83"/>
      <c r="CO116" s="83"/>
      <c r="CP116" s="83"/>
    </row>
    <row r="117" spans="1:94" ht="43.5" customHeight="1">
      <c r="B117" s="61"/>
      <c r="C117" s="100"/>
      <c r="D117" s="100"/>
      <c r="E117" s="100"/>
      <c r="F117" s="100"/>
      <c r="AB117"/>
      <c r="AC117"/>
      <c r="AF117" s="336"/>
      <c r="BI117" s="83"/>
      <c r="BJ117" s="83"/>
      <c r="BK117" s="83"/>
      <c r="BL117" s="83"/>
      <c r="BM117" s="419"/>
      <c r="BN117" s="420"/>
      <c r="BO117" s="420"/>
      <c r="BP117" s="420"/>
      <c r="BQ117" s="83"/>
      <c r="BR117" s="420"/>
      <c r="BS117" s="83"/>
      <c r="BT117" s="83"/>
      <c r="BU117" s="83"/>
      <c r="BV117" s="419"/>
      <c r="BW117" s="421"/>
      <c r="BX117" s="421"/>
      <c r="BY117" s="421"/>
      <c r="BZ117" s="420"/>
      <c r="CA117" s="83"/>
      <c r="CB117" s="83"/>
      <c r="CC117" s="83"/>
      <c r="CD117" s="83"/>
      <c r="CE117" s="419"/>
      <c r="CF117" s="421"/>
      <c r="CG117" s="421"/>
      <c r="CH117" s="421"/>
      <c r="CI117" s="420"/>
      <c r="CJ117" s="420"/>
      <c r="CK117" s="83"/>
      <c r="CL117" s="83"/>
      <c r="CM117" s="83"/>
      <c r="CN117" s="83"/>
      <c r="CO117" s="83"/>
      <c r="CP117" s="83"/>
    </row>
    <row r="118" spans="1:94" ht="23.65" thickBot="1">
      <c r="B118" s="99"/>
      <c r="C118" s="46" t="s">
        <v>403</v>
      </c>
      <c r="D118" s="46"/>
      <c r="E118" s="100"/>
      <c r="F118" s="90" t="s">
        <v>125</v>
      </c>
      <c r="G118" s="90" t="s">
        <v>144</v>
      </c>
      <c r="H118" s="90" t="s">
        <v>475</v>
      </c>
      <c r="I118" s="91" t="s">
        <v>476</v>
      </c>
      <c r="K118" s="83"/>
      <c r="L118" s="270"/>
      <c r="M118" s="83"/>
      <c r="N118" s="83"/>
      <c r="O118" s="506"/>
      <c r="S118" s="99"/>
      <c r="T118" s="46" t="str">
        <f>C118</f>
        <v>£ billion, 2019-20 Prices</v>
      </c>
      <c r="U118" s="116"/>
      <c r="V118" s="90" t="s">
        <v>125</v>
      </c>
      <c r="W118" s="90" t="s">
        <v>144</v>
      </c>
      <c r="X118" s="90" t="s">
        <v>475</v>
      </c>
      <c r="Y118" s="91" t="s">
        <v>126</v>
      </c>
      <c r="AA118" s="83"/>
      <c r="AB118" s="270"/>
      <c r="AC118" s="83"/>
      <c r="AD118" s="83"/>
      <c r="AE118" s="83"/>
      <c r="AF118" s="336"/>
      <c r="BI118" s="83"/>
      <c r="BJ118" s="83"/>
      <c r="BK118" s="83"/>
      <c r="BL118" s="83"/>
      <c r="BM118" s="404"/>
      <c r="BN118" s="406"/>
      <c r="BO118" s="406"/>
      <c r="BP118" s="406"/>
      <c r="BQ118" s="83"/>
      <c r="BR118" s="406"/>
      <c r="BS118" s="83"/>
      <c r="BT118" s="83"/>
      <c r="BU118" s="83"/>
      <c r="BV118" s="83"/>
      <c r="BW118" s="406"/>
      <c r="BX118" s="406"/>
      <c r="BY118" s="406"/>
      <c r="BZ118" s="406"/>
      <c r="CA118" s="83"/>
      <c r="CB118" s="83"/>
      <c r="CC118" s="83"/>
      <c r="CD118" s="83"/>
      <c r="CE118" s="83"/>
      <c r="CF118" s="406"/>
      <c r="CG118" s="406"/>
      <c r="CH118" s="406"/>
      <c r="CI118" s="406"/>
      <c r="CJ118" s="406"/>
      <c r="CK118" s="83"/>
      <c r="CL118" s="83"/>
      <c r="CM118" s="83"/>
      <c r="CN118" s="83"/>
      <c r="CO118" s="83"/>
      <c r="CP118" s="83"/>
    </row>
    <row r="119" spans="1:94" ht="13.9" thickBot="1">
      <c r="B119" s="761" t="s">
        <v>79</v>
      </c>
      <c r="C119" s="46" t="s">
        <v>127</v>
      </c>
      <c r="D119" s="46"/>
      <c r="E119" s="100"/>
      <c r="F119" s="146">
        <v>4.6469837597523362</v>
      </c>
      <c r="G119" s="146">
        <v>4.1465923305255039</v>
      </c>
      <c r="H119" s="146">
        <f>K26/1000</f>
        <v>4.0473698538124916</v>
      </c>
      <c r="I119" s="763"/>
      <c r="K119" s="83"/>
      <c r="L119" s="507"/>
      <c r="M119" s="507"/>
      <c r="N119" s="507"/>
      <c r="O119" s="507"/>
      <c r="R119" s="144"/>
      <c r="S119" s="761" t="s">
        <v>79</v>
      </c>
      <c r="T119" s="46" t="s">
        <v>127</v>
      </c>
      <c r="U119" s="116"/>
      <c r="V119" s="146">
        <f>F119</f>
        <v>4.6469837597523362</v>
      </c>
      <c r="W119" s="146">
        <f>G119</f>
        <v>4.1465923305255039</v>
      </c>
      <c r="X119" s="146">
        <f>H119</f>
        <v>4.0473698538124916</v>
      </c>
      <c r="Y119" s="763"/>
      <c r="AA119" s="83"/>
      <c r="AB119" s="507"/>
      <c r="AC119" s="507"/>
      <c r="AD119" s="507"/>
      <c r="AE119" s="507"/>
      <c r="AF119" s="336"/>
      <c r="BI119" s="83"/>
      <c r="BJ119" s="83"/>
      <c r="BK119" s="83"/>
      <c r="BL119" s="83"/>
      <c r="BM119" s="404"/>
      <c r="BN119" s="406"/>
      <c r="BO119" s="406"/>
      <c r="BP119" s="406"/>
      <c r="BQ119" s="83"/>
      <c r="BR119" s="406"/>
      <c r="BS119" s="83"/>
      <c r="BT119" s="83"/>
      <c r="BU119" s="83"/>
      <c r="BV119" s="83"/>
      <c r="BW119" s="406"/>
      <c r="BX119" s="406"/>
      <c r="BY119" s="406"/>
      <c r="BZ119" s="406"/>
      <c r="CA119" s="83"/>
      <c r="CB119" s="83"/>
      <c r="CC119" s="83"/>
      <c r="CD119" s="83"/>
      <c r="CE119" s="83"/>
      <c r="CF119" s="406"/>
      <c r="CG119" s="406"/>
      <c r="CH119" s="406"/>
      <c r="CI119" s="406"/>
      <c r="CJ119" s="779"/>
      <c r="CK119" s="83"/>
      <c r="CL119" s="83"/>
      <c r="CM119" s="83"/>
      <c r="CN119" s="83"/>
      <c r="CO119" s="83"/>
      <c r="CP119" s="83"/>
    </row>
    <row r="120" spans="1:94" ht="13.9" thickBot="1">
      <c r="B120" s="762"/>
      <c r="C120" s="46" t="s">
        <v>128</v>
      </c>
      <c r="D120" s="46"/>
      <c r="E120" s="100"/>
      <c r="F120" s="146">
        <v>6.2011414718863289</v>
      </c>
      <c r="G120" s="146">
        <v>6.0796930732513639</v>
      </c>
      <c r="H120" s="146">
        <f>K20/1000</f>
        <v>6.2351391832453196</v>
      </c>
      <c r="I120" s="764"/>
      <c r="K120" s="83"/>
      <c r="L120" s="477"/>
      <c r="M120" s="477"/>
      <c r="N120" s="477"/>
      <c r="O120" s="508"/>
      <c r="R120" s="144"/>
      <c r="S120" s="762"/>
      <c r="T120" s="46" t="s">
        <v>128</v>
      </c>
      <c r="U120" s="116"/>
      <c r="V120" s="146">
        <f>F120-($X$55+$Y$55)/1000</f>
        <v>6.6725983741794073</v>
      </c>
      <c r="W120" s="146">
        <f>G120-($X$55+$Y$55)/1000</f>
        <v>6.5511499755444422</v>
      </c>
      <c r="X120" s="146">
        <f>H120-($X$55+$Y$55)/1000</f>
        <v>6.7065960855383979</v>
      </c>
      <c r="Y120" s="764"/>
      <c r="AA120" s="83"/>
      <c r="AB120" s="477"/>
      <c r="AC120" s="477"/>
      <c r="AD120" s="477"/>
      <c r="AE120" s="508"/>
      <c r="AF120" s="336"/>
      <c r="BI120" s="83"/>
      <c r="BJ120" s="83"/>
      <c r="BK120" s="83"/>
      <c r="BL120" s="83"/>
      <c r="BM120" s="404"/>
      <c r="BN120" s="406"/>
      <c r="BO120" s="406"/>
      <c r="BP120" s="406"/>
      <c r="BQ120" s="83"/>
      <c r="BR120" s="406"/>
      <c r="BS120" s="83"/>
      <c r="BT120" s="83"/>
      <c r="BU120" s="83"/>
      <c r="BV120" s="404"/>
      <c r="BW120" s="408"/>
      <c r="BX120" s="408"/>
      <c r="BY120" s="408"/>
      <c r="BZ120" s="408"/>
      <c r="CA120" s="83"/>
      <c r="CB120" s="83"/>
      <c r="CC120" s="83"/>
      <c r="CD120" s="83"/>
      <c r="CE120" s="404"/>
      <c r="CF120" s="408"/>
      <c r="CG120" s="408"/>
      <c r="CH120" s="408"/>
      <c r="CI120" s="408"/>
      <c r="CJ120" s="780"/>
      <c r="CK120" s="83"/>
      <c r="CL120" s="83"/>
      <c r="CM120" s="83"/>
      <c r="CN120" s="83"/>
      <c r="CO120" s="83"/>
      <c r="CP120" s="83"/>
    </row>
    <row r="121" spans="1:94" ht="13.9" thickBot="1">
      <c r="B121" s="762"/>
      <c r="C121" s="46" t="s">
        <v>166</v>
      </c>
      <c r="D121" s="46"/>
      <c r="E121" s="100"/>
      <c r="F121" s="147">
        <f>F119-F120</f>
        <v>-1.5541577121339927</v>
      </c>
      <c r="G121" s="147">
        <f>G119-G120</f>
        <v>-1.93310074272586</v>
      </c>
      <c r="H121" s="147">
        <f>H119-H120</f>
        <v>-2.187769329432828</v>
      </c>
      <c r="I121" s="145">
        <f>H121-G121</f>
        <v>-0.25466858670696801</v>
      </c>
      <c r="K121" s="83"/>
      <c r="L121" s="477"/>
      <c r="M121" s="477"/>
      <c r="N121" s="477"/>
      <c r="O121" s="508"/>
      <c r="R121" s="144"/>
      <c r="S121" s="762"/>
      <c r="T121" s="46" t="s">
        <v>166</v>
      </c>
      <c r="U121" s="116"/>
      <c r="V121" s="147">
        <f>V119-V120</f>
        <v>-2.025614614427071</v>
      </c>
      <c r="W121" s="147">
        <f>W119-W120</f>
        <v>-2.4045576450189383</v>
      </c>
      <c r="X121" s="147">
        <f>X119-X120</f>
        <v>-2.6592262317259063</v>
      </c>
      <c r="Y121" s="145">
        <f>X121-W121</f>
        <v>-0.25466858670696801</v>
      </c>
      <c r="AA121" s="83"/>
      <c r="AB121" s="477"/>
      <c r="AC121" s="477"/>
      <c r="AD121" s="477"/>
      <c r="AE121" s="508"/>
      <c r="AF121" s="336"/>
      <c r="BI121" s="83"/>
      <c r="BJ121" s="83"/>
      <c r="BK121" s="83"/>
      <c r="BL121" s="83"/>
      <c r="BM121" s="83"/>
      <c r="BN121" s="407"/>
      <c r="BO121" s="407"/>
      <c r="BP121" s="407"/>
      <c r="BQ121" s="83"/>
      <c r="BR121" s="407"/>
      <c r="BS121" s="83"/>
      <c r="BT121" s="83"/>
      <c r="BU121" s="83"/>
      <c r="BV121" s="422"/>
      <c r="BW121" s="83"/>
      <c r="BX121" s="83"/>
      <c r="BY121" s="83"/>
      <c r="BZ121" s="83"/>
      <c r="CA121" s="83"/>
      <c r="CB121" s="83"/>
      <c r="CC121" s="83"/>
      <c r="CD121" s="83"/>
      <c r="CE121" s="422"/>
      <c r="CF121" s="83"/>
      <c r="CG121" s="83"/>
      <c r="CH121" s="83"/>
      <c r="CI121" s="83"/>
      <c r="CJ121" s="407"/>
      <c r="CK121" s="83"/>
      <c r="CL121" s="83"/>
      <c r="CM121" s="83"/>
      <c r="CN121" s="83"/>
      <c r="CO121" s="83"/>
      <c r="CP121" s="83"/>
    </row>
    <row r="122" spans="1:94" ht="13.9" thickBot="1">
      <c r="E122" s="213" t="s">
        <v>167</v>
      </c>
      <c r="F122" s="212">
        <f>F121/F120</f>
        <v>-0.25062445667139932</v>
      </c>
      <c r="G122" s="212">
        <f>G121/G120</f>
        <v>-0.31796025217635787</v>
      </c>
      <c r="H122" s="212">
        <f>H121/H120</f>
        <v>-0.35087738463187262</v>
      </c>
      <c r="K122" s="83"/>
      <c r="L122" s="477"/>
      <c r="M122" s="477"/>
      <c r="N122" s="477"/>
      <c r="O122" s="509"/>
      <c r="R122" s="144"/>
      <c r="S122" s="116"/>
      <c r="T122" s="116"/>
      <c r="U122" s="213" t="s">
        <v>167</v>
      </c>
      <c r="V122" s="212">
        <f>V121/V120</f>
        <v>-0.30357208703965793</v>
      </c>
      <c r="W122" s="212">
        <f>W121/W120</f>
        <v>-0.36704359600912728</v>
      </c>
      <c r="X122" s="212">
        <f>X121/X120</f>
        <v>-0.39650907819841169</v>
      </c>
      <c r="Y122" s="116"/>
      <c r="AA122" s="83"/>
      <c r="AB122" s="477"/>
      <c r="AC122" s="477"/>
      <c r="AD122" s="477"/>
      <c r="AE122" s="509"/>
      <c r="AF122" s="336"/>
      <c r="BI122" s="83"/>
      <c r="BJ122" s="83"/>
      <c r="BK122" s="83"/>
      <c r="BL122" s="83"/>
      <c r="BM122" s="404"/>
      <c r="BN122" s="406"/>
      <c r="BO122" s="406"/>
      <c r="BP122" s="406"/>
      <c r="BQ122" s="83"/>
      <c r="BR122" s="406"/>
      <c r="BS122" s="83"/>
      <c r="BT122" s="83"/>
      <c r="BU122" s="83"/>
      <c r="BV122" s="83"/>
      <c r="BW122" s="83"/>
      <c r="BX122" s="83"/>
      <c r="BY122" s="83"/>
      <c r="BZ122" s="83"/>
      <c r="CA122" s="83"/>
      <c r="CB122" s="83"/>
      <c r="CC122" s="83"/>
      <c r="CD122" s="83"/>
      <c r="CE122" s="404"/>
      <c r="CF122" s="406"/>
      <c r="CG122" s="406"/>
      <c r="CH122" s="406"/>
      <c r="CI122" s="83"/>
      <c r="CJ122" s="406"/>
      <c r="CK122" s="83"/>
      <c r="CL122" s="83"/>
      <c r="CM122" s="83"/>
      <c r="CN122" s="83"/>
      <c r="CO122" s="83"/>
      <c r="CP122" s="83"/>
    </row>
    <row r="123" spans="1:94" s="116" customFormat="1" ht="13.5">
      <c r="F123" s="148"/>
      <c r="G123" s="148"/>
      <c r="H123" s="148"/>
      <c r="K123" s="83"/>
      <c r="L123" s="408"/>
      <c r="M123" s="408"/>
      <c r="N123" s="408"/>
      <c r="O123" s="408"/>
      <c r="R123" s="144"/>
      <c r="V123" s="148"/>
      <c r="W123" s="148"/>
      <c r="X123" s="148"/>
      <c r="AA123" s="83"/>
      <c r="AB123" s="408"/>
      <c r="AC123" s="408"/>
      <c r="AD123" s="408"/>
      <c r="AE123" s="408"/>
      <c r="AF123" s="336"/>
      <c r="BI123" s="83"/>
      <c r="BJ123" s="83"/>
      <c r="BK123" s="83"/>
      <c r="BL123" s="83"/>
      <c r="BM123" s="404"/>
      <c r="BN123" s="406"/>
      <c r="BO123" s="406"/>
      <c r="BP123" s="406"/>
      <c r="BQ123" s="83"/>
      <c r="BR123" s="406"/>
      <c r="BS123" s="83"/>
      <c r="BT123" s="83"/>
      <c r="BU123" s="83"/>
      <c r="BV123" s="83"/>
      <c r="BW123" s="83"/>
      <c r="BX123" s="83"/>
      <c r="BY123" s="83"/>
      <c r="BZ123" s="83"/>
      <c r="CA123" s="83"/>
      <c r="CB123" s="83"/>
      <c r="CC123" s="83"/>
      <c r="CD123" s="83"/>
      <c r="CE123" s="781"/>
      <c r="CF123" s="782"/>
      <c r="CG123" s="782"/>
      <c r="CH123" s="782"/>
      <c r="CI123" s="83"/>
      <c r="CJ123" s="779"/>
      <c r="CK123" s="83"/>
      <c r="CL123" s="83"/>
      <c r="CM123" s="83"/>
      <c r="CN123" s="83"/>
      <c r="CO123" s="83"/>
      <c r="CP123" s="83"/>
    </row>
    <row r="124" spans="1:94" ht="14.25" customHeight="1" thickBot="1">
      <c r="B124" s="99"/>
      <c r="C124" s="46" t="str">
        <f>C118</f>
        <v>£ billion, 2019-20 Prices</v>
      </c>
      <c r="D124" s="46"/>
      <c r="E124" s="100"/>
      <c r="F124" s="147" t="s">
        <v>125</v>
      </c>
      <c r="G124" s="147" t="s">
        <v>144</v>
      </c>
      <c r="H124" s="147" t="s">
        <v>475</v>
      </c>
      <c r="I124" s="91" t="s">
        <v>126</v>
      </c>
      <c r="K124" s="83"/>
      <c r="L124" s="83"/>
      <c r="M124" s="477"/>
      <c r="N124" s="477"/>
      <c r="O124" s="477"/>
      <c r="R124" s="144"/>
      <c r="S124" s="99"/>
      <c r="T124" s="46" t="str">
        <f>T118</f>
        <v>£ billion, 2019-20 Prices</v>
      </c>
      <c r="U124" s="116"/>
      <c r="V124" s="147" t="s">
        <v>125</v>
      </c>
      <c r="W124" s="147" t="s">
        <v>144</v>
      </c>
      <c r="X124" s="147" t="s">
        <v>475</v>
      </c>
      <c r="Y124" s="91" t="s">
        <v>126</v>
      </c>
      <c r="AA124" s="83"/>
      <c r="AB124" s="83"/>
      <c r="AC124" s="477"/>
      <c r="AD124" s="477"/>
      <c r="AE124" s="477"/>
      <c r="AF124" s="336"/>
      <c r="BI124" s="83"/>
      <c r="BJ124" s="83"/>
      <c r="BK124" s="83"/>
      <c r="BL124" s="83"/>
      <c r="BM124" s="404"/>
      <c r="BN124" s="406"/>
      <c r="BO124" s="423"/>
      <c r="BP124" s="423"/>
      <c r="BQ124" s="83"/>
      <c r="BR124" s="423"/>
      <c r="BS124" s="83"/>
      <c r="BT124" s="83"/>
      <c r="BU124" s="83"/>
      <c r="BV124" s="83"/>
      <c r="BW124" s="83"/>
      <c r="BX124" s="83"/>
      <c r="BY124" s="83"/>
      <c r="BZ124" s="83"/>
      <c r="CA124" s="83"/>
      <c r="CB124" s="83"/>
      <c r="CC124" s="83"/>
      <c r="CD124" s="83"/>
      <c r="CE124" s="782"/>
      <c r="CF124" s="782"/>
      <c r="CG124" s="782"/>
      <c r="CH124" s="782"/>
      <c r="CI124" s="83"/>
      <c r="CJ124" s="780"/>
      <c r="CK124" s="83"/>
      <c r="CL124" s="83"/>
      <c r="CM124" s="83"/>
      <c r="CN124" s="83"/>
      <c r="CO124" s="83"/>
      <c r="CP124" s="83"/>
    </row>
    <row r="125" spans="1:94" ht="18" customHeight="1" thickBot="1">
      <c r="B125" s="761" t="s">
        <v>143</v>
      </c>
      <c r="C125" s="46" t="s">
        <v>127</v>
      </c>
      <c r="D125" s="46"/>
      <c r="E125" s="100"/>
      <c r="F125" s="146">
        <v>3.4314875223642387</v>
      </c>
      <c r="G125" s="146">
        <v>3.4259555050867747</v>
      </c>
      <c r="H125" s="146">
        <f>K25/1000</f>
        <v>3.2827831375114407</v>
      </c>
      <c r="I125" s="763"/>
      <c r="K125" s="83"/>
      <c r="L125" s="83"/>
      <c r="M125" s="477"/>
      <c r="N125" s="477"/>
      <c r="O125" s="477"/>
      <c r="R125" s="144"/>
      <c r="S125" s="761" t="s">
        <v>143</v>
      </c>
      <c r="T125" s="46" t="s">
        <v>127</v>
      </c>
      <c r="U125" s="116"/>
      <c r="V125" s="146">
        <f>F125</f>
        <v>3.4314875223642387</v>
      </c>
      <c r="W125" s="146">
        <f>G125</f>
        <v>3.4259555050867747</v>
      </c>
      <c r="X125" s="146">
        <f>H125</f>
        <v>3.2827831375114407</v>
      </c>
      <c r="Y125" s="763"/>
      <c r="AA125" s="83"/>
      <c r="AB125" s="83"/>
      <c r="AC125" s="477"/>
      <c r="AD125" s="477"/>
      <c r="AE125" s="477"/>
      <c r="AF125" s="336"/>
      <c r="BI125" s="83"/>
      <c r="BJ125" s="83"/>
      <c r="BK125" s="83"/>
      <c r="BL125" s="83"/>
      <c r="BM125" s="83"/>
      <c r="BN125" s="407"/>
      <c r="BO125" s="407"/>
      <c r="BP125" s="407"/>
      <c r="BQ125" s="83"/>
      <c r="BR125" s="407"/>
      <c r="BS125" s="83"/>
      <c r="BT125" s="83"/>
      <c r="BU125" s="83"/>
      <c r="BV125" s="83"/>
      <c r="BW125" s="83"/>
      <c r="BX125" s="83"/>
      <c r="BY125" s="83"/>
      <c r="BZ125" s="83"/>
      <c r="CA125" s="83"/>
      <c r="CB125" s="83"/>
      <c r="CC125" s="83"/>
      <c r="CD125" s="83"/>
      <c r="CE125" s="83"/>
      <c r="CF125" s="409"/>
      <c r="CG125" s="407"/>
      <c r="CH125" s="409"/>
      <c r="CI125" s="83"/>
      <c r="CJ125" s="407"/>
      <c r="CK125" s="83"/>
      <c r="CL125" s="83"/>
      <c r="CM125" s="83"/>
      <c r="CN125" s="83"/>
      <c r="CO125" s="83"/>
      <c r="CP125" s="83"/>
    </row>
    <row r="126" spans="1:94" ht="13.9" thickBot="1">
      <c r="B126" s="762"/>
      <c r="C126" s="46" t="s">
        <v>128</v>
      </c>
      <c r="D126" s="46"/>
      <c r="E126" s="100"/>
      <c r="F126" s="146">
        <v>4.0413026838196977</v>
      </c>
      <c r="G126" s="146">
        <v>4.617440758242962</v>
      </c>
      <c r="H126" s="146">
        <f>K19/1000</f>
        <v>4.2808864866491296</v>
      </c>
      <c r="I126" s="764"/>
      <c r="K126" s="83"/>
      <c r="L126" s="270"/>
      <c r="M126" s="477"/>
      <c r="N126" s="477"/>
      <c r="O126" s="506"/>
      <c r="R126" s="144"/>
      <c r="S126" s="762"/>
      <c r="T126" s="46" t="s">
        <v>128</v>
      </c>
      <c r="U126" s="116"/>
      <c r="V126" s="146">
        <f>F126-($X$56+$Y$56)/1000</f>
        <v>4.2164152475285555</v>
      </c>
      <c r="W126" s="146">
        <f>G126-($X$56+$Y$56)/1000</f>
        <v>4.7925533219518197</v>
      </c>
      <c r="X126" s="146">
        <f>H126-($X$56+$Y$56)/1000</f>
        <v>4.4559990503579874</v>
      </c>
      <c r="Y126" s="764"/>
      <c r="AA126" s="83"/>
      <c r="AB126" s="270"/>
      <c r="AC126" s="477"/>
      <c r="AD126" s="477"/>
      <c r="AE126" s="477"/>
      <c r="AF126" s="336"/>
      <c r="BI126" s="83"/>
      <c r="BJ126" s="83"/>
      <c r="BK126" s="83"/>
      <c r="BL126" s="83"/>
      <c r="BM126" s="404"/>
      <c r="BN126" s="408"/>
      <c r="BO126" s="408"/>
      <c r="BP126" s="408"/>
      <c r="BQ126" s="83"/>
      <c r="BR126" s="408"/>
      <c r="BS126" s="83"/>
      <c r="BT126" s="83"/>
      <c r="BU126" s="83"/>
      <c r="BV126" s="83"/>
      <c r="BW126" s="83"/>
      <c r="BX126" s="83"/>
      <c r="BY126" s="83"/>
      <c r="BZ126" s="83"/>
      <c r="CA126" s="83"/>
      <c r="CB126" s="83"/>
      <c r="CC126" s="83"/>
      <c r="CD126" s="83"/>
      <c r="CE126" s="83"/>
      <c r="CF126" s="408"/>
      <c r="CG126" s="408"/>
      <c r="CH126" s="408"/>
      <c r="CI126" s="83"/>
      <c r="CJ126" s="410"/>
      <c r="CK126" s="83"/>
      <c r="CL126" s="424"/>
      <c r="CM126" s="83"/>
      <c r="CN126" s="83"/>
      <c r="CO126" s="83"/>
      <c r="CP126" s="83"/>
    </row>
    <row r="127" spans="1:94" ht="13.9" thickBot="1">
      <c r="B127" s="762"/>
      <c r="C127" s="46" t="s">
        <v>166</v>
      </c>
      <c r="D127" s="46"/>
      <c r="E127" s="100"/>
      <c r="F127" s="147">
        <f>F125-F126</f>
        <v>-0.609815161455459</v>
      </c>
      <c r="G127" s="147">
        <f>G125-G126</f>
        <v>-1.1914852531561873</v>
      </c>
      <c r="H127" s="147">
        <f>H125-H126</f>
        <v>-0.99810334913768894</v>
      </c>
      <c r="I127" s="149">
        <f>H127-G127</f>
        <v>0.19338190401849831</v>
      </c>
      <c r="K127" s="83"/>
      <c r="L127" s="507"/>
      <c r="M127" s="507"/>
      <c r="N127" s="507"/>
      <c r="O127" s="507"/>
      <c r="R127" s="144"/>
      <c r="S127" s="762"/>
      <c r="T127" s="46" t="s">
        <v>166</v>
      </c>
      <c r="U127" s="116"/>
      <c r="V127" s="147">
        <f>V125-V126</f>
        <v>-0.78492772516431675</v>
      </c>
      <c r="W127" s="147">
        <f>W125-W126</f>
        <v>-1.366597816865045</v>
      </c>
      <c r="X127" s="147">
        <f>X125-X126</f>
        <v>-1.1732159128465467</v>
      </c>
      <c r="Y127" s="149">
        <f>X127-W127</f>
        <v>0.19338190401849831</v>
      </c>
      <c r="AA127" s="83"/>
      <c r="AB127" s="507"/>
      <c r="AC127" s="507"/>
      <c r="AD127" s="507"/>
      <c r="AE127" s="507"/>
      <c r="AF127" s="336"/>
      <c r="BI127" s="83"/>
      <c r="BJ127" s="83"/>
      <c r="BK127" s="83"/>
      <c r="BL127" s="83"/>
      <c r="BM127" s="422"/>
      <c r="BN127" s="83"/>
      <c r="BO127" s="83"/>
      <c r="BP127" s="83"/>
      <c r="BQ127" s="83"/>
      <c r="BR127" s="83"/>
      <c r="BS127" s="83"/>
      <c r="BT127" s="83"/>
      <c r="BU127" s="83"/>
      <c r="BV127" s="270"/>
      <c r="BW127" s="83"/>
      <c r="BX127" s="83"/>
      <c r="BY127" s="83"/>
      <c r="BZ127" s="83"/>
      <c r="CA127" s="83"/>
      <c r="CB127" s="83"/>
      <c r="CC127" s="83"/>
      <c r="CD127" s="83"/>
      <c r="CE127" s="422"/>
      <c r="CF127" s="83"/>
      <c r="CG127" s="83"/>
      <c r="CH127" s="83"/>
      <c r="CI127" s="83"/>
      <c r="CJ127" s="83"/>
      <c r="CK127" s="83"/>
      <c r="CL127" s="83"/>
      <c r="CM127" s="83"/>
      <c r="CN127" s="83"/>
      <c r="CO127" s="83"/>
      <c r="CP127" s="83"/>
    </row>
    <row r="128" spans="1:94" ht="12.75" thickBot="1">
      <c r="E128" s="213" t="s">
        <v>167</v>
      </c>
      <c r="F128" s="212">
        <f>F127/F126</f>
        <v>-0.15089569110895773</v>
      </c>
      <c r="G128" s="212">
        <f>G127/G126</f>
        <v>-0.25804018189711947</v>
      </c>
      <c r="H128" s="212">
        <f>H127/H126</f>
        <v>-0.23315342563987393</v>
      </c>
      <c r="I128" s="143"/>
      <c r="K128" s="83"/>
      <c r="L128" s="477"/>
      <c r="M128" s="477"/>
      <c r="N128" s="477"/>
      <c r="O128" s="508"/>
      <c r="R128" s="144"/>
      <c r="S128" s="116"/>
      <c r="T128" s="116"/>
      <c r="U128" s="213" t="s">
        <v>167</v>
      </c>
      <c r="V128" s="212">
        <f>V127/V126</f>
        <v>-0.18615996743309399</v>
      </c>
      <c r="W128" s="212">
        <f>W127/W126</f>
        <v>-0.28515025813181422</v>
      </c>
      <c r="X128" s="212">
        <f>X127/X126</f>
        <v>-0.26328908502623954</v>
      </c>
      <c r="Y128" s="143"/>
      <c r="AA128" s="83"/>
      <c r="AB128" s="477"/>
      <c r="AC128" s="477"/>
      <c r="AD128" s="477"/>
      <c r="AE128" s="508"/>
      <c r="AF128" s="336"/>
      <c r="BI128" s="83"/>
      <c r="BJ128" s="83"/>
      <c r="BK128" s="83"/>
      <c r="BL128" s="83"/>
      <c r="BM128" s="83"/>
      <c r="BN128" s="83"/>
      <c r="BO128" s="83"/>
      <c r="BP128" s="83"/>
      <c r="BQ128" s="83"/>
      <c r="BR128" s="83"/>
      <c r="BS128" s="83"/>
      <c r="BT128" s="83"/>
      <c r="BU128" s="83"/>
      <c r="BV128" s="773"/>
      <c r="BW128" s="773"/>
      <c r="BX128" s="773"/>
      <c r="BY128" s="773"/>
      <c r="BZ128" s="773"/>
      <c r="CA128" s="83"/>
      <c r="CB128" s="83"/>
      <c r="CC128" s="83"/>
      <c r="CD128" s="83"/>
      <c r="CE128" s="83"/>
      <c r="CF128" s="83"/>
      <c r="CG128" s="83"/>
      <c r="CH128" s="83"/>
      <c r="CI128" s="83"/>
      <c r="CJ128" s="270"/>
      <c r="CK128" s="83"/>
      <c r="CL128" s="83"/>
      <c r="CM128" s="83"/>
      <c r="CN128" s="83"/>
      <c r="CO128" s="83"/>
      <c r="CP128" s="83"/>
    </row>
    <row r="129" spans="1:94" s="116" customFormat="1" ht="19.5" customHeight="1">
      <c r="F129" s="148"/>
      <c r="G129" s="148"/>
      <c r="H129" s="148"/>
      <c r="I129" s="143"/>
      <c r="K129" s="83"/>
      <c r="L129" s="477"/>
      <c r="M129" s="477"/>
      <c r="N129" s="477"/>
      <c r="O129" s="508"/>
      <c r="R129" s="144"/>
      <c r="V129" s="148"/>
      <c r="W129" s="148"/>
      <c r="X129" s="148"/>
      <c r="Y129" s="143"/>
      <c r="AA129" s="83"/>
      <c r="AB129" s="477"/>
      <c r="AC129" s="477"/>
      <c r="AD129" s="477"/>
      <c r="AE129" s="508"/>
      <c r="AF129" s="336"/>
      <c r="BI129" s="83"/>
      <c r="BJ129" s="83"/>
      <c r="BK129" s="83"/>
      <c r="BL129" s="83"/>
      <c r="BM129" s="772"/>
      <c r="BN129" s="773"/>
      <c r="BO129" s="773"/>
      <c r="BP129" s="773"/>
      <c r="BQ129" s="773"/>
      <c r="BR129" s="774"/>
      <c r="BS129" s="83"/>
      <c r="BT129" s="83"/>
      <c r="BU129" s="83"/>
      <c r="BV129" s="773"/>
      <c r="BW129" s="773"/>
      <c r="BX129" s="773"/>
      <c r="BY129" s="773"/>
      <c r="BZ129" s="773"/>
      <c r="CA129" s="83"/>
      <c r="CB129" s="83"/>
      <c r="CC129" s="83"/>
      <c r="CD129" s="83"/>
      <c r="CE129" s="425"/>
      <c r="CF129" s="426"/>
      <c r="CG129" s="426"/>
      <c r="CH129" s="426"/>
      <c r="CI129" s="426"/>
      <c r="CJ129" s="427"/>
      <c r="CK129" s="427"/>
      <c r="CL129" s="427"/>
      <c r="CM129" s="427"/>
      <c r="CN129" s="83"/>
      <c r="CO129" s="83"/>
      <c r="CP129" s="83"/>
    </row>
    <row r="130" spans="1:94" ht="19.5" customHeight="1" thickBot="1">
      <c r="B130" s="99"/>
      <c r="C130" s="46" t="str">
        <f>C118</f>
        <v>£ billion, 2019-20 Prices</v>
      </c>
      <c r="D130" s="46"/>
      <c r="E130" s="100"/>
      <c r="F130" s="147" t="s">
        <v>125</v>
      </c>
      <c r="G130" s="147" t="s">
        <v>144</v>
      </c>
      <c r="H130" s="147" t="s">
        <v>475</v>
      </c>
      <c r="I130" s="150" t="s">
        <v>126</v>
      </c>
      <c r="K130" s="83"/>
      <c r="L130" s="477"/>
      <c r="M130" s="477"/>
      <c r="N130" s="477"/>
      <c r="O130" s="508"/>
      <c r="R130" s="144"/>
      <c r="S130" s="99"/>
      <c r="T130" s="46" t="str">
        <f>T118</f>
        <v>£ billion, 2019-20 Prices</v>
      </c>
      <c r="U130" s="116"/>
      <c r="V130" s="147" t="s">
        <v>125</v>
      </c>
      <c r="W130" s="147" t="s">
        <v>144</v>
      </c>
      <c r="X130" s="147" t="s">
        <v>475</v>
      </c>
      <c r="Y130" s="150" t="s">
        <v>126</v>
      </c>
      <c r="AA130" s="83"/>
      <c r="AB130" s="477"/>
      <c r="AC130" s="477"/>
      <c r="AD130" s="477"/>
      <c r="AE130" s="508"/>
      <c r="AF130" s="336"/>
      <c r="BI130" s="83"/>
      <c r="BJ130" s="83"/>
      <c r="BK130" s="83"/>
      <c r="BL130" s="83"/>
      <c r="BM130" s="773"/>
      <c r="BN130" s="773"/>
      <c r="BO130" s="773"/>
      <c r="BP130" s="773"/>
      <c r="BQ130" s="773"/>
      <c r="BR130" s="774"/>
      <c r="BS130" s="83"/>
      <c r="BT130" s="83"/>
      <c r="BU130" s="83"/>
      <c r="BV130" s="773"/>
      <c r="BW130" s="773"/>
      <c r="BX130" s="773"/>
      <c r="BY130" s="773"/>
      <c r="BZ130" s="773"/>
      <c r="CA130" s="83"/>
      <c r="CB130" s="83"/>
      <c r="CC130" s="83"/>
      <c r="CD130" s="83"/>
      <c r="CE130" s="426"/>
      <c r="CF130" s="426"/>
      <c r="CG130" s="426"/>
      <c r="CH130" s="426"/>
      <c r="CI130" s="426"/>
      <c r="CJ130" s="427"/>
      <c r="CK130" s="427"/>
      <c r="CL130" s="427"/>
      <c r="CM130" s="427"/>
      <c r="CN130" s="83"/>
      <c r="CO130" s="83"/>
      <c r="CP130" s="83"/>
    </row>
    <row r="131" spans="1:94" ht="12.75" thickBot="1">
      <c r="B131" s="761" t="s">
        <v>145</v>
      </c>
      <c r="C131" s="46" t="s">
        <v>127</v>
      </c>
      <c r="D131" s="46"/>
      <c r="E131" s="100"/>
      <c r="F131" s="146">
        <v>0.32649601581057469</v>
      </c>
      <c r="G131" s="146">
        <v>0.35750980897741619</v>
      </c>
      <c r="H131" s="146">
        <f>K27/1000</f>
        <v>0.38813759776479712</v>
      </c>
      <c r="I131" s="765"/>
      <c r="K131" s="83"/>
      <c r="L131" s="408"/>
      <c r="M131" s="408"/>
      <c r="N131" s="408"/>
      <c r="O131" s="408"/>
      <c r="R131" s="144"/>
      <c r="S131" s="761" t="s">
        <v>145</v>
      </c>
      <c r="T131" s="46" t="s">
        <v>127</v>
      </c>
      <c r="U131" s="116"/>
      <c r="V131" s="146">
        <f t="shared" ref="V131:X132" si="51">F131</f>
        <v>0.32649601581057469</v>
      </c>
      <c r="W131" s="146">
        <f t="shared" si="51"/>
        <v>0.35750980897741619</v>
      </c>
      <c r="X131" s="146">
        <f t="shared" si="51"/>
        <v>0.38813759776479712</v>
      </c>
      <c r="Y131" s="765"/>
      <c r="AA131" s="83"/>
      <c r="AB131" s="512"/>
      <c r="AC131" s="408"/>
      <c r="AD131" s="408"/>
      <c r="AE131" s="408"/>
      <c r="AF131" s="336"/>
      <c r="BI131" s="83"/>
      <c r="BJ131" s="83"/>
      <c r="BK131" s="83"/>
      <c r="BL131" s="83"/>
      <c r="BM131" s="775"/>
      <c r="BN131" s="773"/>
      <c r="BO131" s="773"/>
      <c r="BP131" s="773"/>
      <c r="BQ131" s="773"/>
      <c r="BR131" s="774"/>
      <c r="BS131" s="83"/>
      <c r="BT131" s="83"/>
      <c r="BU131" s="83"/>
      <c r="BV131" s="83"/>
      <c r="BW131" s="83"/>
      <c r="BX131" s="83"/>
      <c r="BY131" s="83"/>
      <c r="BZ131" s="83"/>
      <c r="CA131" s="83"/>
      <c r="CB131" s="83"/>
      <c r="CC131" s="83"/>
      <c r="CD131" s="83"/>
      <c r="CE131" s="428"/>
      <c r="CF131" s="426"/>
      <c r="CG131" s="426"/>
      <c r="CH131" s="426"/>
      <c r="CI131" s="426"/>
      <c r="CJ131" s="427"/>
      <c r="CK131" s="427"/>
      <c r="CL131" s="427"/>
      <c r="CM131" s="427"/>
      <c r="CN131" s="83"/>
      <c r="CO131" s="83"/>
      <c r="CP131" s="83"/>
    </row>
    <row r="132" spans="1:94" ht="24.75" customHeight="1" thickBot="1">
      <c r="B132" s="762"/>
      <c r="C132" s="46" t="s">
        <v>128</v>
      </c>
      <c r="D132" s="46"/>
      <c r="E132" s="100"/>
      <c r="F132" s="146">
        <v>0.19401182221368832</v>
      </c>
      <c r="G132" s="146">
        <v>0.19401182221368832</v>
      </c>
      <c r="H132" s="146">
        <f>K21/1000</f>
        <v>0.19903421022996454</v>
      </c>
      <c r="I132" s="766"/>
      <c r="K132" s="83"/>
      <c r="L132" s="83"/>
      <c r="M132" s="83"/>
      <c r="N132" s="83"/>
      <c r="O132" s="83"/>
      <c r="R132" s="144"/>
      <c r="S132" s="762"/>
      <c r="T132" s="46" t="s">
        <v>128</v>
      </c>
      <c r="U132" s="116"/>
      <c r="V132" s="146">
        <f t="shared" si="51"/>
        <v>0.19401182221368832</v>
      </c>
      <c r="W132" s="146">
        <f t="shared" si="51"/>
        <v>0.19401182221368832</v>
      </c>
      <c r="X132" s="146">
        <f t="shared" si="51"/>
        <v>0.19903421022996454</v>
      </c>
      <c r="Y132" s="766"/>
      <c r="AA132" s="83"/>
      <c r="AB132" s="83"/>
      <c r="AC132" s="83"/>
      <c r="AD132" s="83"/>
      <c r="AE132" s="83"/>
      <c r="AF132" s="336"/>
      <c r="BI132" s="83"/>
      <c r="BJ132" s="83"/>
      <c r="BK132" s="83"/>
      <c r="BL132" s="83"/>
      <c r="BM132" s="773"/>
      <c r="BN132" s="773"/>
      <c r="BO132" s="773"/>
      <c r="BP132" s="773"/>
      <c r="BQ132" s="773"/>
      <c r="BR132" s="774"/>
      <c r="BS132" s="83"/>
      <c r="BT132" s="83"/>
      <c r="BU132" s="83"/>
      <c r="BV132" s="83"/>
      <c r="BW132" s="83"/>
      <c r="BX132" s="83"/>
      <c r="BY132" s="83"/>
      <c r="BZ132" s="83"/>
      <c r="CA132" s="83"/>
      <c r="CB132" s="83"/>
      <c r="CC132" s="83"/>
      <c r="CD132" s="83"/>
      <c r="CE132" s="426"/>
      <c r="CF132" s="426"/>
      <c r="CG132" s="426"/>
      <c r="CH132" s="426"/>
      <c r="CI132" s="426"/>
      <c r="CJ132" s="429"/>
      <c r="CK132" s="427"/>
      <c r="CL132" s="427"/>
      <c r="CM132" s="427"/>
      <c r="CN132" s="83"/>
      <c r="CO132" s="83"/>
      <c r="CP132" s="83"/>
    </row>
    <row r="133" spans="1:94" ht="12.75" thickBot="1">
      <c r="B133" s="762"/>
      <c r="C133" s="46" t="s">
        <v>166</v>
      </c>
      <c r="D133" s="46"/>
      <c r="E133" s="100"/>
      <c r="F133" s="147">
        <f>F131-F132</f>
        <v>0.13248419359688637</v>
      </c>
      <c r="G133" s="147">
        <f>G131-G132</f>
        <v>0.16349798676372787</v>
      </c>
      <c r="H133" s="147">
        <f>H131-H132</f>
        <v>0.18910338753483258</v>
      </c>
      <c r="I133" s="149">
        <f>H133-G133</f>
        <v>2.5605400771104708E-2</v>
      </c>
      <c r="K133" s="83"/>
      <c r="L133" s="464"/>
      <c r="M133" s="418"/>
      <c r="N133" s="418"/>
      <c r="O133" s="467"/>
      <c r="R133" s="144"/>
      <c r="S133" s="762"/>
      <c r="T133" s="46" t="s">
        <v>166</v>
      </c>
      <c r="U133" s="116"/>
      <c r="V133" s="147">
        <f>V131-V132</f>
        <v>0.13248419359688637</v>
      </c>
      <c r="W133" s="147">
        <f>W131-W132</f>
        <v>0.16349798676372787</v>
      </c>
      <c r="X133" s="147">
        <f>X131-X132</f>
        <v>0.18910338753483258</v>
      </c>
      <c r="Y133" s="149">
        <f>X133-W133</f>
        <v>2.5605400771104708E-2</v>
      </c>
      <c r="AA133" s="83"/>
      <c r="AB133" s="464"/>
      <c r="AC133" s="418"/>
      <c r="AD133" s="418"/>
      <c r="AE133" s="467"/>
      <c r="AF133" s="336"/>
      <c r="BI133" s="83"/>
      <c r="BJ133" s="83"/>
      <c r="BK133" s="83"/>
      <c r="BL133" s="83"/>
      <c r="BM133" s="430"/>
      <c r="BN133" s="83"/>
      <c r="BO133" s="83"/>
      <c r="BP133" s="83"/>
      <c r="BQ133" s="83"/>
      <c r="BR133" s="83"/>
      <c r="BS133" s="83"/>
      <c r="BT133" s="83"/>
      <c r="BU133" s="83"/>
      <c r="BV133" s="778"/>
      <c r="BW133" s="773"/>
      <c r="BX133" s="773"/>
      <c r="BY133" s="773"/>
      <c r="BZ133" s="773"/>
      <c r="CA133" s="83"/>
      <c r="CB133" s="83"/>
      <c r="CC133" s="83"/>
      <c r="CD133" s="83"/>
      <c r="CE133" s="431"/>
      <c r="CF133" s="427"/>
      <c r="CG133" s="427"/>
      <c r="CH133" s="427"/>
      <c r="CI133" s="427"/>
      <c r="CJ133" s="427"/>
      <c r="CK133" s="427"/>
      <c r="CL133" s="427"/>
      <c r="CM133" s="427"/>
      <c r="CN133" s="83"/>
      <c r="CO133" s="83"/>
      <c r="CP133" s="83"/>
    </row>
    <row r="134" spans="1:94" ht="24.75" customHeight="1" thickBot="1">
      <c r="E134" s="213" t="s">
        <v>167</v>
      </c>
      <c r="F134" s="212">
        <f>F133/F132</f>
        <v>0.68286660104127961</v>
      </c>
      <c r="G134" s="212">
        <f>G133/G132</f>
        <v>0.84272177281881344</v>
      </c>
      <c r="H134" s="212">
        <f>H133/H132</f>
        <v>0.95010494586002148</v>
      </c>
      <c r="I134" s="143"/>
      <c r="K134" s="477"/>
      <c r="L134" s="462"/>
      <c r="M134" s="462"/>
      <c r="N134" s="462"/>
      <c r="O134" s="462"/>
      <c r="R134" s="144"/>
      <c r="S134" s="116"/>
      <c r="T134" s="116"/>
      <c r="U134" s="213" t="s">
        <v>167</v>
      </c>
      <c r="V134" s="212">
        <f>V133/V132</f>
        <v>0.68286660104127961</v>
      </c>
      <c r="W134" s="212">
        <f>W133/W132</f>
        <v>0.84272177281881344</v>
      </c>
      <c r="X134" s="212">
        <f>X133/X132</f>
        <v>0.95010494586002148</v>
      </c>
      <c r="Y134" s="143"/>
      <c r="AA134" s="83"/>
      <c r="AB134" s="462"/>
      <c r="AC134" s="462"/>
      <c r="AD134" s="462"/>
      <c r="AE134" s="462"/>
      <c r="AF134" s="336"/>
      <c r="BI134" s="83"/>
      <c r="BJ134" s="83"/>
      <c r="BK134" s="83"/>
      <c r="BL134" s="782"/>
      <c r="BM134" s="776"/>
      <c r="BN134" s="777"/>
      <c r="BO134" s="777"/>
      <c r="BP134" s="777"/>
      <c r="BQ134" s="777"/>
      <c r="BR134" s="83"/>
      <c r="BS134" s="83"/>
      <c r="BT134" s="83"/>
      <c r="BU134" s="83"/>
      <c r="BV134" s="773"/>
      <c r="BW134" s="773"/>
      <c r="BX134" s="773"/>
      <c r="BY134" s="773"/>
      <c r="BZ134" s="773"/>
      <c r="CA134" s="83"/>
      <c r="CB134" s="83"/>
      <c r="CC134" s="83"/>
      <c r="CD134" s="83"/>
      <c r="CE134" s="270"/>
      <c r="CF134" s="432"/>
      <c r="CG134" s="433"/>
      <c r="CH134" s="433"/>
      <c r="CI134" s="433"/>
      <c r="CJ134" s="433"/>
      <c r="CK134" s="427"/>
      <c r="CL134" s="427"/>
      <c r="CM134" s="427"/>
      <c r="CN134" s="83"/>
      <c r="CO134" s="83"/>
      <c r="CP134" s="83"/>
    </row>
    <row r="135" spans="1:94" s="116" customFormat="1">
      <c r="F135" s="148"/>
      <c r="G135" s="148"/>
      <c r="H135" s="148"/>
      <c r="I135" s="143"/>
      <c r="K135" s="477"/>
      <c r="L135" s="463"/>
      <c r="M135" s="463"/>
      <c r="N135" s="463"/>
      <c r="O135" s="465"/>
      <c r="Q135" s="144"/>
      <c r="R135" s="144"/>
      <c r="V135" s="148"/>
      <c r="W135" s="148"/>
      <c r="X135" s="148"/>
      <c r="Y135" s="143"/>
      <c r="AA135" s="83"/>
      <c r="AB135" s="463"/>
      <c r="AC135" s="463"/>
      <c r="AD135" s="463"/>
      <c r="AE135" s="465"/>
      <c r="AF135" s="336"/>
      <c r="BI135" s="83"/>
      <c r="BJ135" s="83"/>
      <c r="BK135" s="83"/>
      <c r="BL135" s="782"/>
      <c r="BM135" s="777"/>
      <c r="BN135" s="777"/>
      <c r="BO135" s="777"/>
      <c r="BP135" s="777"/>
      <c r="BQ135" s="777"/>
      <c r="BR135" s="83"/>
      <c r="BS135" s="83"/>
      <c r="BT135" s="83"/>
      <c r="BU135" s="83"/>
      <c r="BV135" s="83"/>
      <c r="BW135" s="83"/>
      <c r="BX135" s="83"/>
      <c r="BY135" s="83"/>
      <c r="BZ135" s="83"/>
      <c r="CA135" s="83"/>
      <c r="CB135" s="83"/>
      <c r="CC135" s="83"/>
      <c r="CD135" s="83"/>
      <c r="CE135" s="270"/>
      <c r="CF135" s="433"/>
      <c r="CG135" s="433"/>
      <c r="CH135" s="433"/>
      <c r="CI135" s="433"/>
      <c r="CJ135" s="433"/>
      <c r="CK135" s="427"/>
      <c r="CL135" s="427"/>
      <c r="CM135" s="427"/>
      <c r="CN135" s="83"/>
      <c r="CO135" s="83"/>
      <c r="CP135" s="83"/>
    </row>
    <row r="136" spans="1:94" ht="12.75" thickBot="1">
      <c r="B136" s="99"/>
      <c r="C136" s="46" t="str">
        <f>C118</f>
        <v>£ billion, 2019-20 Prices</v>
      </c>
      <c r="D136" s="46"/>
      <c r="E136" s="100"/>
      <c r="F136" s="147" t="s">
        <v>125</v>
      </c>
      <c r="G136" s="147" t="s">
        <v>144</v>
      </c>
      <c r="H136" s="147" t="s">
        <v>475</v>
      </c>
      <c r="I136" s="150" t="s">
        <v>126</v>
      </c>
      <c r="K136" s="477"/>
      <c r="L136" s="463"/>
      <c r="M136" s="463"/>
      <c r="N136" s="463"/>
      <c r="O136" s="465"/>
      <c r="Q136" s="144"/>
      <c r="R136" s="144"/>
      <c r="S136" s="99"/>
      <c r="T136" s="46" t="str">
        <f>T118</f>
        <v>£ billion, 2019-20 Prices</v>
      </c>
      <c r="U136" s="116"/>
      <c r="V136" s="147" t="s">
        <v>125</v>
      </c>
      <c r="W136" s="147" t="s">
        <v>144</v>
      </c>
      <c r="X136" s="147" t="s">
        <v>475</v>
      </c>
      <c r="Y136" s="150" t="s">
        <v>126</v>
      </c>
      <c r="AA136" s="83"/>
      <c r="AB136" s="463"/>
      <c r="AC136" s="463"/>
      <c r="AD136" s="463"/>
      <c r="AE136" s="465"/>
      <c r="AF136" s="336"/>
      <c r="BI136" s="83"/>
      <c r="BJ136" s="83"/>
      <c r="BK136" s="83"/>
      <c r="BL136" s="782"/>
      <c r="BM136" s="777"/>
      <c r="BN136" s="777"/>
      <c r="BO136" s="777"/>
      <c r="BP136" s="777"/>
      <c r="BQ136" s="777"/>
      <c r="BR136" s="83"/>
      <c r="BS136" s="83"/>
      <c r="BT136" s="83"/>
      <c r="BU136" s="83"/>
      <c r="BV136" s="778"/>
      <c r="BW136" s="773"/>
      <c r="BX136" s="773"/>
      <c r="BY136" s="773"/>
      <c r="BZ136" s="773"/>
      <c r="CA136" s="83"/>
      <c r="CB136" s="83"/>
      <c r="CC136" s="83"/>
      <c r="CD136" s="83"/>
      <c r="CE136" s="405"/>
      <c r="CF136" s="433"/>
      <c r="CG136" s="433"/>
      <c r="CH136" s="433"/>
      <c r="CI136" s="433"/>
      <c r="CJ136" s="433"/>
      <c r="CK136" s="427"/>
      <c r="CL136" s="427"/>
      <c r="CM136" s="427"/>
      <c r="CN136" s="83"/>
      <c r="CO136" s="83"/>
      <c r="CP136" s="83"/>
    </row>
    <row r="137" spans="1:94" ht="12.75" thickBot="1">
      <c r="B137" s="761" t="s">
        <v>146</v>
      </c>
      <c r="C137" s="46" t="s">
        <v>127</v>
      </c>
      <c r="D137" s="46"/>
      <c r="E137" s="100"/>
      <c r="F137" s="146">
        <v>2.2764846014532072</v>
      </c>
      <c r="G137" s="146">
        <v>2.3141065510406498</v>
      </c>
      <c r="H137" s="146">
        <f>K28/1000</f>
        <v>2.3633092819726533</v>
      </c>
      <c r="I137" s="765"/>
      <c r="K137" s="477"/>
      <c r="L137" s="463"/>
      <c r="M137" s="463"/>
      <c r="N137" s="463"/>
      <c r="O137" s="463"/>
      <c r="Q137" s="144"/>
      <c r="R137" s="144"/>
      <c r="S137" s="761" t="s">
        <v>146</v>
      </c>
      <c r="T137" s="46" t="s">
        <v>127</v>
      </c>
      <c r="U137" s="116"/>
      <c r="V137" s="146">
        <f t="shared" ref="V137:X138" si="52">F137</f>
        <v>2.2764846014532072</v>
      </c>
      <c r="W137" s="146">
        <f t="shared" si="52"/>
        <v>2.3141065510406498</v>
      </c>
      <c r="X137" s="146">
        <f t="shared" si="52"/>
        <v>2.3633092819726533</v>
      </c>
      <c r="Y137" s="765"/>
      <c r="AA137" s="83"/>
      <c r="AB137" s="463"/>
      <c r="AC137" s="463"/>
      <c r="AD137" s="463"/>
      <c r="AE137" s="463"/>
      <c r="AF137" s="336"/>
      <c r="BI137" s="83"/>
      <c r="BJ137" s="83"/>
      <c r="BK137" s="83"/>
      <c r="BL137" s="782"/>
      <c r="BM137" s="777"/>
      <c r="BN137" s="777"/>
      <c r="BO137" s="777"/>
      <c r="BP137" s="777"/>
      <c r="BQ137" s="777"/>
      <c r="BR137" s="83"/>
      <c r="BS137" s="83"/>
      <c r="BT137" s="83"/>
      <c r="BU137" s="83"/>
      <c r="BV137" s="773"/>
      <c r="BW137" s="773"/>
      <c r="BX137" s="773"/>
      <c r="BY137" s="773"/>
      <c r="BZ137" s="773"/>
      <c r="CA137" s="83"/>
      <c r="CB137" s="83"/>
      <c r="CC137" s="83"/>
      <c r="CD137" s="83"/>
      <c r="CE137" s="405"/>
      <c r="CF137" s="433"/>
      <c r="CG137" s="433"/>
      <c r="CH137" s="433"/>
      <c r="CI137" s="433"/>
      <c r="CJ137" s="433"/>
      <c r="CK137" s="427"/>
      <c r="CL137" s="427"/>
      <c r="CM137" s="427"/>
      <c r="CN137" s="83"/>
      <c r="CO137" s="83"/>
      <c r="CP137" s="83"/>
    </row>
    <row r="138" spans="1:94" ht="12.75" thickBot="1">
      <c r="B138" s="762"/>
      <c r="C138" s="46" t="s">
        <v>128</v>
      </c>
      <c r="D138" s="46"/>
      <c r="E138" s="100"/>
      <c r="F138" s="146">
        <v>2.1494859235007167</v>
      </c>
      <c r="G138" s="146">
        <v>2.1492517754608018</v>
      </c>
      <c r="H138" s="146">
        <f>K22/1000</f>
        <v>2.2048895002028837</v>
      </c>
      <c r="I138" s="766"/>
      <c r="K138" s="477"/>
      <c r="L138" s="466"/>
      <c r="M138" s="466"/>
      <c r="N138" s="466"/>
      <c r="O138" s="466"/>
      <c r="Q138" s="466"/>
      <c r="R138" s="271"/>
      <c r="S138" s="762"/>
      <c r="T138" s="46" t="s">
        <v>128</v>
      </c>
      <c r="U138" s="116"/>
      <c r="V138" s="146">
        <f t="shared" si="52"/>
        <v>2.1494859235007167</v>
      </c>
      <c r="W138" s="146">
        <f t="shared" si="52"/>
        <v>2.1492517754608018</v>
      </c>
      <c r="X138" s="146">
        <f t="shared" si="52"/>
        <v>2.2048895002028837</v>
      </c>
      <c r="Y138" s="766"/>
      <c r="AA138" s="83"/>
      <c r="AB138" s="468"/>
      <c r="AC138" s="466"/>
      <c r="AD138" s="466"/>
      <c r="AE138" s="466"/>
      <c r="AF138" s="336"/>
      <c r="BI138" s="83"/>
      <c r="BJ138" s="83"/>
      <c r="BK138" s="83"/>
      <c r="BL138" s="782"/>
      <c r="BM138" s="776"/>
      <c r="BN138" s="777"/>
      <c r="BO138" s="777"/>
      <c r="BP138" s="777"/>
      <c r="BQ138" s="777"/>
      <c r="BR138" s="83"/>
      <c r="BS138" s="83"/>
      <c r="BT138" s="83"/>
      <c r="BU138" s="83"/>
      <c r="BV138" s="83"/>
      <c r="BW138" s="83"/>
      <c r="BX138" s="83"/>
      <c r="BY138" s="83"/>
      <c r="BZ138" s="83"/>
      <c r="CA138" s="83"/>
      <c r="CB138" s="83"/>
      <c r="CC138" s="83"/>
      <c r="CD138" s="83"/>
      <c r="CE138" s="405"/>
      <c r="CF138" s="432"/>
      <c r="CG138" s="433"/>
      <c r="CH138" s="433"/>
      <c r="CI138" s="433"/>
      <c r="CJ138" s="433"/>
      <c r="CK138" s="427"/>
      <c r="CL138" s="427"/>
      <c r="CM138" s="427"/>
      <c r="CN138" s="83"/>
      <c r="CO138" s="83"/>
      <c r="CP138" s="83"/>
    </row>
    <row r="139" spans="1:94" ht="16.5" customHeight="1" thickBot="1">
      <c r="B139" s="762"/>
      <c r="C139" s="46" t="s">
        <v>166</v>
      </c>
      <c r="D139" s="46"/>
      <c r="E139" s="100"/>
      <c r="F139" s="147">
        <f>F137-F138</f>
        <v>0.12699867795249054</v>
      </c>
      <c r="G139" s="147">
        <f>G137-G138</f>
        <v>0.16485477557984796</v>
      </c>
      <c r="H139" s="147">
        <f>H137-H138</f>
        <v>0.15841978176976967</v>
      </c>
      <c r="I139" s="149">
        <f>H139-G139</f>
        <v>-6.4349938100782822E-3</v>
      </c>
      <c r="K139" s="144"/>
      <c r="L139" s="144"/>
      <c r="M139" s="144"/>
      <c r="R139" s="156"/>
      <c r="S139" s="762"/>
      <c r="T139" s="46" t="s">
        <v>166</v>
      </c>
      <c r="U139" s="116"/>
      <c r="V139" s="147">
        <f>V137-V138</f>
        <v>0.12699867795249054</v>
      </c>
      <c r="W139" s="147">
        <f>W137-W138</f>
        <v>0.16485477557984796</v>
      </c>
      <c r="X139" s="147">
        <f>X137-X138</f>
        <v>0.15841978176976967</v>
      </c>
      <c r="Y139" s="149">
        <f>X139-W139</f>
        <v>-6.4349938100782822E-3</v>
      </c>
      <c r="AA139" s="83"/>
      <c r="AB139" s="83"/>
      <c r="AC139" s="83"/>
      <c r="AD139" s="83"/>
      <c r="AE139" s="83"/>
      <c r="AF139" s="336"/>
      <c r="BI139" s="83"/>
      <c r="BJ139" s="83"/>
      <c r="BK139" s="83"/>
      <c r="BL139" s="782"/>
      <c r="BM139" s="777"/>
      <c r="BN139" s="777"/>
      <c r="BO139" s="777"/>
      <c r="BP139" s="777"/>
      <c r="BQ139" s="777"/>
      <c r="BR139" s="83"/>
      <c r="BS139" s="83"/>
      <c r="BT139" s="83"/>
      <c r="BU139" s="83"/>
      <c r="BV139" s="778"/>
      <c r="BW139" s="773"/>
      <c r="BX139" s="773"/>
      <c r="BY139" s="773"/>
      <c r="BZ139" s="773"/>
      <c r="CA139" s="83"/>
      <c r="CB139" s="83"/>
      <c r="CC139" s="83"/>
      <c r="CD139" s="83"/>
      <c r="CE139" s="405"/>
      <c r="CF139" s="433"/>
      <c r="CG139" s="433"/>
      <c r="CH139" s="433"/>
      <c r="CI139" s="433"/>
      <c r="CJ139" s="433"/>
      <c r="CK139" s="427"/>
      <c r="CL139" s="427"/>
      <c r="CM139" s="427"/>
      <c r="CN139" s="83"/>
      <c r="CO139" s="83"/>
      <c r="CP139" s="83"/>
    </row>
    <row r="140" spans="1:94" ht="12.75" thickBot="1">
      <c r="E140" s="213" t="s">
        <v>167</v>
      </c>
      <c r="F140" s="212">
        <f>F139/F138</f>
        <v>5.9083279664216976E-2</v>
      </c>
      <c r="G140" s="212">
        <f>G139/G138</f>
        <v>7.6703333440077265E-2</v>
      </c>
      <c r="H140" s="212">
        <f>H139/H138</f>
        <v>7.184930662293626E-2</v>
      </c>
      <c r="I140" s="271"/>
      <c r="K140" s="144"/>
      <c r="L140" s="144"/>
      <c r="M140" s="144"/>
      <c r="R140" s="156"/>
      <c r="T140" s="116"/>
      <c r="U140" s="213" t="s">
        <v>167</v>
      </c>
      <c r="V140" s="212">
        <f>V139/V138</f>
        <v>5.9083279664216976E-2</v>
      </c>
      <c r="W140" s="212">
        <f>W139/W138</f>
        <v>7.6703333440077265E-2</v>
      </c>
      <c r="X140" s="212">
        <f>X139/X138</f>
        <v>7.184930662293626E-2</v>
      </c>
      <c r="AA140" s="83"/>
      <c r="AB140" s="83"/>
      <c r="AC140" s="83"/>
      <c r="AD140" s="83"/>
      <c r="AE140" s="83"/>
      <c r="AF140" s="336"/>
      <c r="BI140" s="83"/>
      <c r="BJ140" s="83"/>
      <c r="BK140" s="83"/>
      <c r="BL140" s="782"/>
      <c r="BM140" s="777"/>
      <c r="BN140" s="777"/>
      <c r="BO140" s="777"/>
      <c r="BP140" s="777"/>
      <c r="BQ140" s="777"/>
      <c r="BR140" s="83"/>
      <c r="BS140" s="83"/>
      <c r="BT140" s="83"/>
      <c r="BU140" s="83"/>
      <c r="BV140" s="773"/>
      <c r="BW140" s="773"/>
      <c r="BX140" s="773"/>
      <c r="BY140" s="773"/>
      <c r="BZ140" s="773"/>
      <c r="CA140" s="83"/>
      <c r="CB140" s="83"/>
      <c r="CC140" s="83"/>
      <c r="CD140" s="83"/>
      <c r="CE140" s="405"/>
      <c r="CF140" s="433"/>
      <c r="CG140" s="433"/>
      <c r="CH140" s="433"/>
      <c r="CI140" s="433"/>
      <c r="CJ140" s="433"/>
      <c r="CK140" s="427"/>
      <c r="CL140" s="427"/>
      <c r="CM140" s="427"/>
      <c r="CN140" s="83"/>
      <c r="CO140" s="83"/>
      <c r="CP140" s="83"/>
    </row>
    <row r="141" spans="1:94" s="116" customFormat="1">
      <c r="A141" s="513" t="s">
        <v>315</v>
      </c>
      <c r="B141" s="513"/>
      <c r="K141" s="144"/>
      <c r="L141" s="144"/>
      <c r="M141" s="144"/>
      <c r="R141" s="156"/>
      <c r="X141" s="480"/>
      <c r="AF141" s="336"/>
      <c r="BI141" s="83"/>
      <c r="BJ141" s="83"/>
      <c r="BK141" s="83"/>
      <c r="BL141" s="782"/>
      <c r="BM141" s="777"/>
      <c r="BN141" s="777"/>
      <c r="BO141" s="777"/>
      <c r="BP141" s="777"/>
      <c r="BQ141" s="777"/>
      <c r="BR141" s="83"/>
      <c r="BS141" s="83"/>
      <c r="BT141" s="83"/>
      <c r="BU141" s="83"/>
      <c r="BV141" s="83"/>
      <c r="BW141" s="83"/>
      <c r="BX141" s="83"/>
      <c r="BY141" s="83"/>
      <c r="BZ141" s="83"/>
      <c r="CA141" s="83"/>
      <c r="CB141" s="83"/>
      <c r="CC141" s="83"/>
      <c r="CD141" s="83"/>
      <c r="CE141" s="405"/>
      <c r="CF141" s="433"/>
      <c r="CG141" s="433"/>
      <c r="CH141" s="433"/>
      <c r="CI141" s="433"/>
      <c r="CJ141" s="433"/>
      <c r="CK141" s="427"/>
      <c r="CL141" s="427"/>
      <c r="CM141" s="427"/>
      <c r="CN141" s="83"/>
      <c r="CO141" s="83"/>
      <c r="CP141" s="83"/>
    </row>
    <row r="142" spans="1:94" s="116" customFormat="1">
      <c r="A142" s="514" t="s">
        <v>313</v>
      </c>
      <c r="B142" s="514" t="s">
        <v>314</v>
      </c>
      <c r="E142" s="215" t="s">
        <v>168</v>
      </c>
      <c r="F142" s="217">
        <f>F119+F125+F131+F137</f>
        <v>10.681451899380356</v>
      </c>
      <c r="G142" s="217">
        <f t="shared" ref="F142:G144" si="53">G119+G125+G131+G137</f>
        <v>10.244164195630344</v>
      </c>
      <c r="H142" s="217">
        <f>H119+H125+H131+H137</f>
        <v>10.081599871061382</v>
      </c>
      <c r="I142" s="217">
        <f>SUM(S6:Z7)/1000</f>
        <v>10.08159987106138</v>
      </c>
      <c r="J142" s="218">
        <f>I142-H142</f>
        <v>0</v>
      </c>
      <c r="K142" s="144"/>
      <c r="L142" s="144"/>
      <c r="M142" s="144"/>
      <c r="R142" s="156"/>
      <c r="U142" s="215" t="s">
        <v>168</v>
      </c>
      <c r="V142" s="439">
        <f t="shared" ref="V142:W144" si="54">V119+V125+V131+V137</f>
        <v>10.681451899380356</v>
      </c>
      <c r="W142" s="439">
        <f>W119+W125+W131+W137</f>
        <v>10.244164195630344</v>
      </c>
      <c r="X142" s="439">
        <f>X119+X125+X131+X137</f>
        <v>10.081599871061382</v>
      </c>
      <c r="Y142" s="439">
        <f>SUM(S39:Z40)/1000</f>
        <v>10.08159987106138</v>
      </c>
      <c r="Z142" s="439">
        <f>Y142-X142</f>
        <v>0</v>
      </c>
      <c r="AF142" s="336"/>
      <c r="BI142" s="83"/>
      <c r="BJ142" s="83"/>
      <c r="BK142" s="83"/>
      <c r="BL142" s="782"/>
      <c r="BM142" s="776"/>
      <c r="BN142" s="777"/>
      <c r="BO142" s="777"/>
      <c r="BP142" s="777"/>
      <c r="BQ142" s="777"/>
      <c r="BR142" s="83"/>
      <c r="BS142" s="83"/>
      <c r="BT142" s="83"/>
      <c r="BU142" s="83"/>
      <c r="BV142" s="83"/>
      <c r="BW142" s="83"/>
      <c r="BX142" s="83"/>
      <c r="BY142" s="83"/>
      <c r="BZ142" s="83"/>
      <c r="CA142" s="83"/>
      <c r="CB142" s="83"/>
      <c r="CC142" s="83"/>
      <c r="CD142" s="83"/>
      <c r="CE142" s="405"/>
      <c r="CF142" s="432"/>
      <c r="CG142" s="433"/>
      <c r="CH142" s="433"/>
      <c r="CI142" s="433"/>
      <c r="CJ142" s="433"/>
      <c r="CK142" s="427"/>
      <c r="CL142" s="427"/>
      <c r="CM142" s="427"/>
      <c r="CN142" s="83"/>
      <c r="CO142" s="83"/>
      <c r="CP142" s="83"/>
    </row>
    <row r="143" spans="1:94" s="116" customFormat="1">
      <c r="A143" s="515">
        <v>3.4314875223642387</v>
      </c>
      <c r="B143" s="515">
        <v>4.0413026838196977</v>
      </c>
      <c r="C143" s="47"/>
      <c r="E143" s="215" t="s">
        <v>168</v>
      </c>
      <c r="F143" s="217">
        <f t="shared" si="53"/>
        <v>12.585941901420432</v>
      </c>
      <c r="G143" s="217">
        <f t="shared" si="53"/>
        <v>13.040397429168817</v>
      </c>
      <c r="H143" s="217">
        <f t="shared" ref="H143" si="55">H120+H126+H132+H138</f>
        <v>12.919949380327298</v>
      </c>
      <c r="I143" s="217">
        <f>SUM(S8:Z8)/1000</f>
        <v>12.919949380327298</v>
      </c>
      <c r="J143" s="218">
        <f t="shared" ref="J143:J144" si="56">I143-H143</f>
        <v>0</v>
      </c>
      <c r="K143" s="144"/>
      <c r="L143" s="144"/>
      <c r="M143" s="144"/>
      <c r="R143" s="156"/>
      <c r="U143" s="215" t="s">
        <v>168</v>
      </c>
      <c r="V143" s="439">
        <f t="shared" si="54"/>
        <v>13.232511367422369</v>
      </c>
      <c r="W143" s="439">
        <f>W120+W126+W132+W138</f>
        <v>13.686966895170752</v>
      </c>
      <c r="X143" s="439">
        <f>X120+X126+X132+X138</f>
        <v>13.566518846329233</v>
      </c>
      <c r="Y143" s="439">
        <f>SUM(S41:Z41)/1000</f>
        <v>13.566518846329235</v>
      </c>
      <c r="Z143" s="439">
        <f>Y143-X143</f>
        <v>0</v>
      </c>
      <c r="AF143" s="336"/>
      <c r="BI143" s="83"/>
      <c r="BJ143" s="83"/>
      <c r="BK143" s="83"/>
      <c r="BL143" s="782"/>
      <c r="BM143" s="777"/>
      <c r="BN143" s="777"/>
      <c r="BO143" s="777"/>
      <c r="BP143" s="777"/>
      <c r="BQ143" s="777"/>
      <c r="BR143" s="83"/>
      <c r="BS143" s="83"/>
      <c r="BT143" s="83"/>
      <c r="BU143" s="83"/>
      <c r="BV143" s="773"/>
      <c r="BW143" s="773"/>
      <c r="BX143" s="773"/>
      <c r="BY143" s="773"/>
      <c r="BZ143" s="773"/>
      <c r="CA143" s="83"/>
      <c r="CB143" s="83"/>
      <c r="CC143" s="83"/>
      <c r="CD143" s="83"/>
      <c r="CE143" s="405"/>
      <c r="CF143" s="433"/>
      <c r="CG143" s="433"/>
      <c r="CH143" s="433"/>
      <c r="CI143" s="433"/>
      <c r="CJ143" s="433"/>
      <c r="CK143" s="427"/>
      <c r="CL143" s="427"/>
      <c r="CM143" s="427"/>
      <c r="CN143" s="83"/>
      <c r="CO143" s="83"/>
      <c r="CP143" s="83"/>
    </row>
    <row r="144" spans="1:94" s="116" customFormat="1">
      <c r="A144" s="515">
        <v>4.6469837597523362</v>
      </c>
      <c r="B144" s="515">
        <v>6.2011414718863289</v>
      </c>
      <c r="C144" s="47"/>
      <c r="E144" s="215" t="s">
        <v>168</v>
      </c>
      <c r="F144" s="217">
        <f t="shared" si="53"/>
        <v>-1.9044900020400748</v>
      </c>
      <c r="G144" s="217">
        <f t="shared" si="53"/>
        <v>-2.7962332335384712</v>
      </c>
      <c r="H144" s="217">
        <f t="shared" ref="H144" si="57">H121+H127+H133+H139</f>
        <v>-2.8383495092659148</v>
      </c>
      <c r="I144" s="217">
        <f>I142-I143</f>
        <v>-2.8383495092659174</v>
      </c>
      <c r="J144" s="218">
        <f t="shared" si="56"/>
        <v>0</v>
      </c>
      <c r="K144" s="155"/>
      <c r="L144" s="144"/>
      <c r="M144" s="144"/>
      <c r="R144" s="156"/>
      <c r="U144" s="215" t="s">
        <v>168</v>
      </c>
      <c r="V144" s="439">
        <f t="shared" si="54"/>
        <v>-2.5510594680420109</v>
      </c>
      <c r="W144" s="439">
        <f t="shared" si="54"/>
        <v>-3.4428026995404073</v>
      </c>
      <c r="X144" s="439">
        <f t="shared" ref="X144" si="58">X121+X127+X133+X139</f>
        <v>-3.4849189752678509</v>
      </c>
      <c r="Y144" s="439">
        <f>Y142-Y143</f>
        <v>-3.4849189752678544</v>
      </c>
      <c r="Z144" s="439">
        <f t="shared" ref="Z144" si="59">Y144-X144</f>
        <v>-3.5527136788005009E-15</v>
      </c>
      <c r="AF144" s="336"/>
      <c r="BI144" s="83"/>
      <c r="BJ144" s="83"/>
      <c r="BK144" s="83"/>
      <c r="BL144" s="782"/>
      <c r="BM144" s="777"/>
      <c r="BN144" s="777"/>
      <c r="BO144" s="777"/>
      <c r="BP144" s="777"/>
      <c r="BQ144" s="777"/>
      <c r="BR144" s="83"/>
      <c r="BS144" s="83"/>
      <c r="BT144" s="83"/>
      <c r="BU144" s="83"/>
      <c r="BV144" s="773"/>
      <c r="BW144" s="773"/>
      <c r="BX144" s="773"/>
      <c r="BY144" s="773"/>
      <c r="BZ144" s="773"/>
      <c r="CA144" s="83"/>
      <c r="CB144" s="83"/>
      <c r="CC144" s="83"/>
      <c r="CD144" s="83"/>
      <c r="CE144" s="405"/>
      <c r="CF144" s="433"/>
      <c r="CG144" s="433"/>
      <c r="CH144" s="433"/>
      <c r="CI144" s="433"/>
      <c r="CJ144" s="433"/>
      <c r="CK144" s="427"/>
      <c r="CL144" s="427"/>
      <c r="CM144" s="427"/>
      <c r="CN144" s="83"/>
      <c r="CO144" s="83"/>
      <c r="CP144" s="83"/>
    </row>
    <row r="145" spans="1:94" s="116" customFormat="1">
      <c r="A145" s="515">
        <v>0.32649601581057469</v>
      </c>
      <c r="B145" s="515">
        <v>0.19401182221368832</v>
      </c>
      <c r="C145" s="47"/>
      <c r="F145" s="293">
        <f>F144/F143</f>
        <v>-0.15131882992604126</v>
      </c>
      <c r="G145" s="293">
        <f>G144/G143</f>
        <v>-0.21442852863393908</v>
      </c>
      <c r="H145" s="293">
        <f>H144/H143</f>
        <v>-0.21968735524519614</v>
      </c>
      <c r="K145" s="155"/>
      <c r="L145" s="144"/>
      <c r="M145" s="144"/>
      <c r="N145" s="156"/>
      <c r="O145" s="156"/>
      <c r="P145" s="156"/>
      <c r="U145" s="215"/>
      <c r="AF145" s="336"/>
      <c r="BI145" s="83"/>
      <c r="BJ145" s="83"/>
      <c r="BK145" s="83"/>
      <c r="BL145" s="782"/>
      <c r="BM145" s="777"/>
      <c r="BN145" s="777"/>
      <c r="BO145" s="777"/>
      <c r="BP145" s="777"/>
      <c r="BQ145" s="777"/>
      <c r="BR145" s="83"/>
      <c r="BS145" s="83"/>
      <c r="BT145" s="83"/>
      <c r="BU145" s="83"/>
      <c r="BV145" s="83"/>
      <c r="BW145" s="83"/>
      <c r="BX145" s="83"/>
      <c r="BY145" s="83"/>
      <c r="BZ145" s="83"/>
      <c r="CA145" s="83"/>
      <c r="CB145" s="83"/>
      <c r="CC145" s="83"/>
      <c r="CD145" s="83"/>
      <c r="CE145" s="405"/>
      <c r="CF145" s="433"/>
      <c r="CG145" s="433"/>
      <c r="CH145" s="433"/>
      <c r="CI145" s="433"/>
      <c r="CJ145" s="433"/>
      <c r="CK145" s="427"/>
      <c r="CL145" s="427"/>
      <c r="CM145" s="427"/>
      <c r="CN145" s="83"/>
      <c r="CO145" s="83"/>
      <c r="CP145" s="83"/>
    </row>
    <row r="146" spans="1:94" s="116" customFormat="1">
      <c r="A146" s="515">
        <v>2.2764846014532072</v>
      </c>
      <c r="B146" s="515">
        <v>2.1494859235007167</v>
      </c>
      <c r="C146" s="47"/>
      <c r="F146" s="293"/>
      <c r="G146" s="293"/>
      <c r="K146" s="155"/>
      <c r="L146" s="144"/>
      <c r="M146" s="144"/>
      <c r="N146" s="156"/>
      <c r="O146" s="156"/>
      <c r="P146" s="156"/>
      <c r="U146" s="215"/>
      <c r="V146" s="436"/>
      <c r="W146" s="436"/>
      <c r="X146" s="436"/>
      <c r="AF146" s="336"/>
      <c r="BI146" s="83"/>
      <c r="BJ146" s="83"/>
      <c r="BK146" s="83"/>
      <c r="BL146" s="411"/>
      <c r="BM146" s="433"/>
      <c r="BN146" s="433"/>
      <c r="BO146" s="433"/>
      <c r="BP146" s="433"/>
      <c r="BQ146" s="433"/>
      <c r="BR146" s="83"/>
      <c r="BS146" s="83"/>
      <c r="BT146" s="83"/>
      <c r="BU146" s="83"/>
      <c r="BV146" s="83"/>
      <c r="BW146" s="83"/>
      <c r="BX146" s="83"/>
      <c r="BY146" s="83"/>
      <c r="BZ146" s="83"/>
      <c r="CA146" s="83"/>
      <c r="CB146" s="83"/>
      <c r="CC146" s="83"/>
      <c r="CD146" s="83"/>
      <c r="CE146" s="411"/>
      <c r="CF146" s="433"/>
      <c r="CG146" s="433"/>
      <c r="CH146" s="433"/>
      <c r="CI146" s="433"/>
      <c r="CJ146" s="433"/>
      <c r="CK146" s="427"/>
      <c r="CL146" s="427"/>
      <c r="CM146" s="427"/>
      <c r="CN146" s="83"/>
      <c r="CO146" s="83"/>
      <c r="CP146" s="83"/>
    </row>
    <row r="147" spans="1:94" s="116" customFormat="1">
      <c r="F147" s="293"/>
      <c r="G147" s="293"/>
      <c r="K147" s="155"/>
      <c r="L147" s="144"/>
      <c r="M147" s="144"/>
      <c r="N147" s="156"/>
      <c r="O147" s="156"/>
      <c r="P147" s="156"/>
      <c r="U147" s="215"/>
      <c r="V147" s="436"/>
      <c r="W147" s="436"/>
      <c r="X147" s="436"/>
      <c r="AF147" s="336"/>
      <c r="BI147" s="83"/>
      <c r="BJ147" s="83"/>
      <c r="BK147" s="83"/>
      <c r="BL147" s="411"/>
      <c r="BM147" s="433"/>
      <c r="BN147" s="433"/>
      <c r="BO147" s="433"/>
      <c r="BP147" s="433"/>
      <c r="BQ147" s="433"/>
      <c r="BR147" s="83"/>
      <c r="BS147" s="83"/>
      <c r="BT147" s="83"/>
      <c r="BU147" s="83"/>
      <c r="BV147" s="83"/>
      <c r="BW147" s="83"/>
      <c r="BX147" s="83"/>
      <c r="BY147" s="83"/>
      <c r="BZ147" s="83"/>
      <c r="CA147" s="83"/>
      <c r="CB147" s="83"/>
      <c r="CC147" s="83"/>
      <c r="CD147" s="83"/>
      <c r="CE147" s="411"/>
      <c r="CF147" s="433"/>
      <c r="CG147" s="433"/>
      <c r="CH147" s="433"/>
      <c r="CI147" s="433"/>
      <c r="CJ147" s="433"/>
      <c r="CK147" s="427"/>
      <c r="CL147" s="427"/>
      <c r="CM147" s="427"/>
      <c r="CN147" s="83"/>
      <c r="CO147" s="83"/>
      <c r="CP147" s="83"/>
    </row>
    <row r="148" spans="1:94">
      <c r="A148" s="1" t="s">
        <v>392</v>
      </c>
      <c r="B148" s="28" t="s">
        <v>477</v>
      </c>
      <c r="C148" s="100"/>
      <c r="D148" s="100"/>
      <c r="E148" s="100"/>
      <c r="F148" s="100"/>
      <c r="G148" s="100"/>
      <c r="H148" s="100"/>
      <c r="K148" s="155"/>
      <c r="L148" s="144"/>
      <c r="M148" s="144"/>
      <c r="N148" s="144"/>
      <c r="O148" s="144"/>
      <c r="P148" s="144"/>
      <c r="V148" s="1" t="s">
        <v>393</v>
      </c>
      <c r="X148" s="28" t="s">
        <v>559</v>
      </c>
      <c r="Y148" s="116"/>
      <c r="Z148" s="116"/>
      <c r="AA148" s="116"/>
      <c r="AF148" s="336"/>
      <c r="BI148" s="83"/>
      <c r="BJ148" s="83"/>
      <c r="BK148" s="83"/>
      <c r="BL148" s="83"/>
      <c r="BM148" s="270"/>
      <c r="BN148" s="83"/>
      <c r="BO148" s="83"/>
      <c r="BP148" s="83"/>
      <c r="BQ148" s="83"/>
      <c r="BR148" s="83"/>
      <c r="BS148" s="83"/>
      <c r="BT148" s="83"/>
      <c r="BU148" s="83"/>
      <c r="BV148" s="270"/>
      <c r="BW148" s="83"/>
      <c r="BX148" s="83"/>
      <c r="BY148" s="83"/>
      <c r="BZ148" s="83"/>
      <c r="CA148" s="83"/>
      <c r="CB148" s="83"/>
      <c r="CC148" s="83"/>
      <c r="CD148" s="83"/>
      <c r="CE148" s="270"/>
      <c r="CF148" s="83"/>
      <c r="CG148" s="83"/>
      <c r="CH148" s="83"/>
      <c r="CI148" s="83"/>
      <c r="CJ148" s="83"/>
      <c r="CK148" s="83"/>
      <c r="CL148" s="83"/>
      <c r="CM148" s="83"/>
      <c r="CN148" s="83"/>
      <c r="CO148" s="83"/>
      <c r="CP148" s="83"/>
    </row>
    <row r="149" spans="1:94">
      <c r="B149" s="61"/>
      <c r="C149" s="100"/>
      <c r="D149" s="100"/>
      <c r="E149" s="100"/>
      <c r="F149" s="100"/>
      <c r="G149" s="100"/>
      <c r="H149" s="100"/>
      <c r="K149" s="155"/>
      <c r="L149" s="144"/>
      <c r="M149" s="144"/>
      <c r="N149" s="144"/>
      <c r="O149" s="144"/>
      <c r="P149" s="144"/>
      <c r="R149" s="116"/>
      <c r="X149" s="476"/>
      <c r="Y149" s="116"/>
      <c r="Z149" s="116"/>
      <c r="AA149" s="116"/>
      <c r="AE149" s="116"/>
      <c r="AF149" s="336"/>
      <c r="BI149" s="83"/>
      <c r="BJ149" s="83"/>
      <c r="BK149" s="83"/>
      <c r="BL149" s="83"/>
      <c r="BM149" s="83"/>
      <c r="BN149" s="83"/>
      <c r="BO149" s="83"/>
      <c r="BP149" s="83"/>
      <c r="BQ149" s="83"/>
      <c r="BR149" s="83"/>
      <c r="BS149" s="83"/>
      <c r="BT149" s="83"/>
      <c r="BU149" s="83"/>
      <c r="BV149" s="83"/>
      <c r="BW149" s="83"/>
      <c r="BX149" s="83"/>
      <c r="BY149" s="83"/>
      <c r="BZ149" s="83"/>
      <c r="CA149" s="83"/>
      <c r="CB149" s="83"/>
      <c r="CC149" s="83"/>
      <c r="CD149" s="83"/>
      <c r="CE149" s="83"/>
      <c r="CF149" s="83"/>
      <c r="CG149" s="83"/>
      <c r="CH149" s="83"/>
      <c r="CI149" s="83"/>
      <c r="CJ149" s="83"/>
      <c r="CK149" s="83"/>
      <c r="CL149" s="83"/>
      <c r="CM149" s="83"/>
      <c r="CN149" s="83"/>
      <c r="CO149" s="83"/>
      <c r="CP149" s="83"/>
    </row>
    <row r="150" spans="1:94" ht="13.15" thickBot="1">
      <c r="B150" s="99"/>
      <c r="C150" s="46" t="str">
        <f>C118</f>
        <v>£ billion, 2019-20 Prices</v>
      </c>
      <c r="D150" s="46"/>
      <c r="E150" s="116"/>
      <c r="F150" s="90" t="s">
        <v>125</v>
      </c>
      <c r="G150" s="90" t="s">
        <v>144</v>
      </c>
      <c r="H150" s="90" t="s">
        <v>475</v>
      </c>
      <c r="I150" s="91" t="s">
        <v>126</v>
      </c>
      <c r="J150" s="334" t="s">
        <v>222</v>
      </c>
      <c r="K150" s="155"/>
      <c r="L150" s="144"/>
      <c r="M150" s="144"/>
      <c r="N150" s="144"/>
      <c r="O150" s="144"/>
      <c r="P150" s="144"/>
      <c r="Q150" s="333" t="s">
        <v>394</v>
      </c>
      <c r="R150" s="116"/>
      <c r="S150" s="116"/>
      <c r="T150" s="116"/>
      <c r="U150" s="116"/>
      <c r="X150" s="99"/>
      <c r="Y150" s="46" t="str">
        <f>C150</f>
        <v>£ billion, 2019-20 Prices</v>
      </c>
      <c r="Z150" s="46"/>
      <c r="AA150" s="116"/>
      <c r="AB150" s="90" t="s">
        <v>125</v>
      </c>
      <c r="AC150" s="90" t="s">
        <v>144</v>
      </c>
      <c r="AD150" s="90" t="s">
        <v>475</v>
      </c>
      <c r="AE150" s="91" t="s">
        <v>126</v>
      </c>
      <c r="AF150" s="336"/>
      <c r="BI150" s="83"/>
      <c r="BJ150" s="83"/>
      <c r="BK150" s="83"/>
      <c r="BL150" s="83"/>
      <c r="BM150" s="83"/>
      <c r="BN150" s="83"/>
      <c r="BO150" s="83"/>
      <c r="BP150" s="83"/>
      <c r="BQ150" s="83"/>
      <c r="BR150" s="83"/>
      <c r="BS150" s="83"/>
      <c r="BT150" s="83"/>
      <c r="BU150" s="83"/>
      <c r="BV150" s="83"/>
      <c r="BW150" s="83"/>
      <c r="BX150" s="83"/>
      <c r="BY150" s="83"/>
      <c r="BZ150" s="83"/>
      <c r="CA150" s="83"/>
      <c r="CB150" s="83"/>
      <c r="CC150" s="83"/>
      <c r="CD150" s="83"/>
      <c r="CE150" s="83"/>
      <c r="CF150" s="83"/>
      <c r="CG150" s="83"/>
      <c r="CH150" s="83"/>
      <c r="CI150" s="83"/>
      <c r="CJ150" s="83"/>
      <c r="CK150" s="83"/>
      <c r="CL150" s="83"/>
      <c r="CM150" s="83"/>
      <c r="CN150" s="83"/>
      <c r="CO150" s="83"/>
      <c r="CP150" s="83"/>
    </row>
    <row r="151" spans="1:94" ht="23.25" customHeight="1" thickTop="1" thickBot="1">
      <c r="B151" s="761" t="s">
        <v>79</v>
      </c>
      <c r="C151" s="46" t="s">
        <v>127</v>
      </c>
      <c r="D151" s="46"/>
      <c r="E151" s="116"/>
      <c r="F151" s="152">
        <f>A176</f>
        <v>0.76811525333553188</v>
      </c>
      <c r="G151" s="152">
        <v>0.76066352404467541</v>
      </c>
      <c r="H151" s="152">
        <f>K43/1000</f>
        <v>0.78858112986590689</v>
      </c>
      <c r="I151" s="763"/>
      <c r="J151" s="297" t="str">
        <f>B70</f>
        <v>£m, 2019-20 prices </v>
      </c>
      <c r="K151" s="786" t="s">
        <v>219</v>
      </c>
      <c r="L151" s="787"/>
      <c r="M151" s="787"/>
      <c r="N151" s="787"/>
      <c r="O151" s="144"/>
      <c r="P151" s="144"/>
      <c r="Q151" s="315" t="str">
        <f>J151</f>
        <v>£m, 2019-20 prices </v>
      </c>
      <c r="R151" s="794" t="s">
        <v>219</v>
      </c>
      <c r="S151" s="795"/>
      <c r="T151" s="795"/>
      <c r="U151" s="795"/>
      <c r="V151" s="116"/>
      <c r="X151" s="761" t="s">
        <v>79</v>
      </c>
      <c r="Y151" s="46" t="s">
        <v>127</v>
      </c>
      <c r="Z151" s="46"/>
      <c r="AA151" s="116"/>
      <c r="AB151" s="152">
        <f>F151+(AO51/1000)</f>
        <v>0.7886788923733089</v>
      </c>
      <c r="AC151" s="152">
        <f>G151+(AO51/1000)</f>
        <v>0.78122716308245244</v>
      </c>
      <c r="AD151" s="152">
        <f>H151+(AO51/1000)</f>
        <v>0.80914476890368392</v>
      </c>
      <c r="AE151" s="763"/>
      <c r="AF151" s="336"/>
    </row>
    <row r="152" spans="1:94" ht="12.75" thickBot="1">
      <c r="B152" s="762"/>
      <c r="C152" s="46" t="s">
        <v>128</v>
      </c>
      <c r="D152" s="46"/>
      <c r="E152" s="116"/>
      <c r="F152" s="152">
        <f>B176</f>
        <v>0.86108029102724626</v>
      </c>
      <c r="G152" s="152">
        <v>0.86106556036979709</v>
      </c>
      <c r="H152" s="152">
        <f>K37/1000</f>
        <v>0.86703547343492471</v>
      </c>
      <c r="I152" s="764"/>
      <c r="J152" s="298"/>
      <c r="K152" s="299" t="s">
        <v>2</v>
      </c>
      <c r="L152" s="300" t="s">
        <v>4</v>
      </c>
      <c r="M152" s="796" t="s">
        <v>47</v>
      </c>
      <c r="N152" s="797"/>
      <c r="O152" s="144"/>
      <c r="P152" s="144"/>
      <c r="Q152" s="316"/>
      <c r="R152" s="317" t="s">
        <v>2</v>
      </c>
      <c r="S152" s="318" t="s">
        <v>4</v>
      </c>
      <c r="T152" s="792" t="s">
        <v>47</v>
      </c>
      <c r="U152" s="793"/>
      <c r="V152" s="116"/>
      <c r="X152" s="762"/>
      <c r="Y152" s="46" t="s">
        <v>128</v>
      </c>
      <c r="Z152" s="46"/>
      <c r="AA152" s="116"/>
      <c r="AB152" s="152">
        <f>F152</f>
        <v>0.86108029102724626</v>
      </c>
      <c r="AC152" s="152">
        <f>G152</f>
        <v>0.86106556036979709</v>
      </c>
      <c r="AD152" s="152">
        <f>H152</f>
        <v>0.86703547343492471</v>
      </c>
      <c r="AE152" s="764"/>
      <c r="AF152" s="336"/>
    </row>
    <row r="153" spans="1:94" ht="13.5" thickBot="1">
      <c r="B153" s="762"/>
      <c r="C153" s="46" t="s">
        <v>166</v>
      </c>
      <c r="D153" s="46"/>
      <c r="E153" s="116"/>
      <c r="F153" s="461">
        <f>F151-F152</f>
        <v>-9.2965037691714381E-2</v>
      </c>
      <c r="G153" s="461">
        <f>G151-G152</f>
        <v>-0.10040203632512168</v>
      </c>
      <c r="H153" s="461">
        <f>H151-H152</f>
        <v>-7.8454343569017815E-2</v>
      </c>
      <c r="I153" s="145">
        <f>H153-G153</f>
        <v>2.1947692756103865E-2</v>
      </c>
      <c r="J153" s="298"/>
      <c r="K153" s="301"/>
      <c r="L153" s="302"/>
      <c r="M153" s="303" t="s">
        <v>48</v>
      </c>
      <c r="N153" s="304" t="s">
        <v>49</v>
      </c>
      <c r="O153" s="144"/>
      <c r="P153" s="144"/>
      <c r="Q153" s="316"/>
      <c r="R153" s="319"/>
      <c r="S153" s="320"/>
      <c r="T153" s="321" t="s">
        <v>48</v>
      </c>
      <c r="U153" s="322" t="s">
        <v>49</v>
      </c>
      <c r="V153" s="116"/>
      <c r="X153" s="762"/>
      <c r="Y153" s="46" t="s">
        <v>166</v>
      </c>
      <c r="Z153" s="46"/>
      <c r="AA153" s="116"/>
      <c r="AB153" s="461">
        <f>AB151-AB152</f>
        <v>-7.2401398653937354E-2</v>
      </c>
      <c r="AC153" s="461">
        <f>AC151-AC152</f>
        <v>-7.9838397287344653E-2</v>
      </c>
      <c r="AD153" s="461">
        <f>AD151-AD152</f>
        <v>-5.7890704531240789E-2</v>
      </c>
      <c r="AE153" s="145">
        <f>AD153-AC153</f>
        <v>2.1947692756103865E-2</v>
      </c>
      <c r="AF153" s="336"/>
      <c r="CC153" s="116"/>
    </row>
    <row r="154" spans="1:94" ht="12.75" thickBot="1">
      <c r="B154" s="116"/>
      <c r="C154" s="116"/>
      <c r="D154" s="116"/>
      <c r="E154" s="213" t="s">
        <v>167</v>
      </c>
      <c r="F154" s="212">
        <f>F153/F152</f>
        <v>-0.10796326272990121</v>
      </c>
      <c r="G154" s="212">
        <f>G153/G152</f>
        <v>-0.11660208112609052</v>
      </c>
      <c r="H154" s="212">
        <f>H153/H152</f>
        <v>-9.0485736711793482E-2</v>
      </c>
      <c r="I154" s="100"/>
      <c r="J154" s="298" t="s">
        <v>76</v>
      </c>
      <c r="K154" s="305">
        <f>H126</f>
        <v>4.2808864866491296</v>
      </c>
      <c r="L154" s="306">
        <f>H125</f>
        <v>3.2827831375114407</v>
      </c>
      <c r="M154" s="307">
        <f>L154-K154</f>
        <v>-0.99810334913768894</v>
      </c>
      <c r="N154" s="308">
        <f>M154/K154</f>
        <v>-0.23315342563987393</v>
      </c>
      <c r="O154" s="144"/>
      <c r="P154" s="144"/>
      <c r="Q154" s="316" t="s">
        <v>76</v>
      </c>
      <c r="R154" s="323">
        <f>X126</f>
        <v>4.4559990503579874</v>
      </c>
      <c r="S154" s="324">
        <f>X125</f>
        <v>3.2827831375114407</v>
      </c>
      <c r="T154" s="335">
        <f>S154-R154</f>
        <v>-1.1732159128465467</v>
      </c>
      <c r="U154" s="326">
        <f>T154/R154</f>
        <v>-0.26328908502623954</v>
      </c>
      <c r="V154" s="116"/>
      <c r="X154" s="116"/>
      <c r="Y154" s="116"/>
      <c r="Z154" s="116"/>
      <c r="AA154" s="213" t="s">
        <v>167</v>
      </c>
      <c r="AB154" s="212">
        <f>AB153/AB152</f>
        <v>-8.4082052984355712E-2</v>
      </c>
      <c r="AC154" s="212">
        <f>AC153/AC152</f>
        <v>-9.272046283334906E-2</v>
      </c>
      <c r="AD154" s="212">
        <f>AD153/AD152</f>
        <v>-6.6768553657782684E-2</v>
      </c>
      <c r="AE154" s="116"/>
      <c r="AF154" s="336"/>
      <c r="CC154" s="116"/>
    </row>
    <row r="155" spans="1:94" s="116" customFormat="1">
      <c r="F155" s="144"/>
      <c r="G155" s="144"/>
      <c r="H155" s="144"/>
      <c r="J155" s="298" t="s">
        <v>1</v>
      </c>
      <c r="K155" s="305">
        <f>H158</f>
        <v>1.3819915792500106</v>
      </c>
      <c r="L155" s="306">
        <f>H157</f>
        <v>1.2233453572903377</v>
      </c>
      <c r="M155" s="307">
        <f>L155-K155</f>
        <v>-0.15864622195967293</v>
      </c>
      <c r="N155" s="308">
        <f>M155/K155</f>
        <v>-0.11479536079790605</v>
      </c>
      <c r="O155" s="144"/>
      <c r="P155" s="144"/>
      <c r="Q155" s="316" t="s">
        <v>1</v>
      </c>
      <c r="R155" s="323">
        <f>AD158</f>
        <v>1.3819915792500106</v>
      </c>
      <c r="S155" s="324">
        <f>AD157</f>
        <v>1.2233453572903377</v>
      </c>
      <c r="T155" s="325">
        <f>S155-R155</f>
        <v>-0.15864622195967293</v>
      </c>
      <c r="U155" s="326">
        <f>T155/R155</f>
        <v>-0.11479536079790605</v>
      </c>
      <c r="AB155" s="144"/>
      <c r="AC155" s="144"/>
      <c r="AD155" s="144"/>
      <c r="AF155" s="336"/>
    </row>
    <row r="156" spans="1:94" ht="12.75" thickBot="1">
      <c r="B156" s="99"/>
      <c r="C156" s="46" t="str">
        <f>C150</f>
        <v>£ billion, 2019-20 Prices</v>
      </c>
      <c r="D156" s="46"/>
      <c r="E156" s="116"/>
      <c r="F156" s="153" t="s">
        <v>125</v>
      </c>
      <c r="G156" s="153" t="s">
        <v>144</v>
      </c>
      <c r="H156" s="153" t="s">
        <v>475</v>
      </c>
      <c r="I156" s="91" t="s">
        <v>126</v>
      </c>
      <c r="J156" s="298" t="s">
        <v>71</v>
      </c>
      <c r="K156" s="305">
        <f>H190</f>
        <v>3.1280571188798247</v>
      </c>
      <c r="L156" s="306">
        <f>H189</f>
        <v>2.6546273290170417</v>
      </c>
      <c r="M156" s="307">
        <f>L156-K156</f>
        <v>-0.47342978986278306</v>
      </c>
      <c r="N156" s="308">
        <f>M156/K156</f>
        <v>-0.15134947089211753</v>
      </c>
      <c r="O156" s="144"/>
      <c r="P156" s="144"/>
      <c r="Q156" s="316" t="s">
        <v>71</v>
      </c>
      <c r="R156" s="323">
        <f>X190</f>
        <v>3.0641006225344665</v>
      </c>
      <c r="S156" s="324">
        <f>X189</f>
        <v>2.6546273290170417</v>
      </c>
      <c r="T156" s="325">
        <f>S156-R156</f>
        <v>-0.40947329351742479</v>
      </c>
      <c r="U156" s="326">
        <f>T156/R156</f>
        <v>-0.13363572021950426</v>
      </c>
      <c r="V156" s="116"/>
      <c r="X156" s="99"/>
      <c r="Y156" s="46" t="str">
        <f>Y150</f>
        <v>£ billion, 2019-20 Prices</v>
      </c>
      <c r="Z156" s="46"/>
      <c r="AA156" s="116"/>
      <c r="AB156" s="153" t="s">
        <v>125</v>
      </c>
      <c r="AC156" s="153" t="s">
        <v>144</v>
      </c>
      <c r="AD156" s="153" t="s">
        <v>475</v>
      </c>
      <c r="AE156" s="91" t="s">
        <v>126</v>
      </c>
      <c r="AF156" s="336"/>
      <c r="CC156" s="116"/>
    </row>
    <row r="157" spans="1:94" ht="12.75" thickBot="1">
      <c r="B157" s="761" t="s">
        <v>143</v>
      </c>
      <c r="C157" s="46" t="s">
        <v>127</v>
      </c>
      <c r="D157" s="46"/>
      <c r="E157" s="116"/>
      <c r="F157" s="152">
        <f>A175</f>
        <v>1.1942043850738444</v>
      </c>
      <c r="G157" s="152">
        <v>1.2266371864642356</v>
      </c>
      <c r="H157" s="152">
        <f>K42/1000</f>
        <v>1.2233453572903377</v>
      </c>
      <c r="I157" s="763"/>
      <c r="J157" s="309" t="s">
        <v>3</v>
      </c>
      <c r="K157" s="310">
        <f>SUM(K154:K156)</f>
        <v>8.7909351847789647</v>
      </c>
      <c r="L157" s="310">
        <f>SUM(L154:L156)</f>
        <v>7.1607558238188203</v>
      </c>
      <c r="M157" s="311">
        <f>L157-K157</f>
        <v>-1.6301793609601445</v>
      </c>
      <c r="N157" s="312">
        <f>M157/K157</f>
        <v>-0.18543867366724681</v>
      </c>
      <c r="O157" s="144"/>
      <c r="P157" s="144"/>
      <c r="Q157" s="327" t="s">
        <v>3</v>
      </c>
      <c r="R157" s="328">
        <f>SUM(R154:R156)</f>
        <v>8.9020912521424655</v>
      </c>
      <c r="S157" s="328">
        <f>SUM(S154:S156)</f>
        <v>7.1607558238188203</v>
      </c>
      <c r="T157" s="329">
        <f>S157-R157</f>
        <v>-1.7413354283236453</v>
      </c>
      <c r="U157" s="330">
        <f>T157/R157</f>
        <v>-0.19560970327107782</v>
      </c>
      <c r="X157" s="761" t="s">
        <v>143</v>
      </c>
      <c r="Y157" s="46" t="s">
        <v>127</v>
      </c>
      <c r="Z157" s="46"/>
      <c r="AA157" s="116"/>
      <c r="AB157" s="152">
        <f t="shared" ref="AB157:AD158" si="60">F157</f>
        <v>1.1942043850738444</v>
      </c>
      <c r="AC157" s="152">
        <f t="shared" si="60"/>
        <v>1.2266371864642356</v>
      </c>
      <c r="AD157" s="152">
        <f t="shared" si="60"/>
        <v>1.2233453572903377</v>
      </c>
      <c r="AE157" s="763"/>
      <c r="AF157" s="336"/>
      <c r="CC157" s="116"/>
    </row>
    <row r="158" spans="1:94" ht="23.25" customHeight="1" thickTop="1" thickBot="1">
      <c r="B158" s="762"/>
      <c r="C158" s="46" t="s">
        <v>128</v>
      </c>
      <c r="D158" s="46"/>
      <c r="E158" s="116"/>
      <c r="F158" s="152">
        <f>B175</f>
        <v>1.2504231477499352</v>
      </c>
      <c r="G158" s="152">
        <v>1.2850347726299742</v>
      </c>
      <c r="H158" s="152">
        <f>K36/1000</f>
        <v>1.3819915792500106</v>
      </c>
      <c r="I158" s="764"/>
      <c r="J158" s="297" t="str">
        <f>J151</f>
        <v>£m, 2019-20 prices </v>
      </c>
      <c r="K158" s="786" t="s">
        <v>220</v>
      </c>
      <c r="L158" s="787"/>
      <c r="M158" s="787"/>
      <c r="N158" s="787"/>
      <c r="O158" s="144"/>
      <c r="P158" s="144"/>
      <c r="Q158" s="315" t="str">
        <f>J151</f>
        <v>£m, 2019-20 prices </v>
      </c>
      <c r="R158" s="794" t="s">
        <v>220</v>
      </c>
      <c r="S158" s="795"/>
      <c r="T158" s="795"/>
      <c r="U158" s="795"/>
      <c r="X158" s="762"/>
      <c r="Y158" s="46" t="s">
        <v>128</v>
      </c>
      <c r="Z158" s="46"/>
      <c r="AA158" s="116"/>
      <c r="AB158" s="152">
        <f t="shared" si="60"/>
        <v>1.2504231477499352</v>
      </c>
      <c r="AC158" s="152">
        <f t="shared" si="60"/>
        <v>1.2850347726299742</v>
      </c>
      <c r="AD158" s="152">
        <f t="shared" si="60"/>
        <v>1.3819915792500106</v>
      </c>
      <c r="AE158" s="764"/>
      <c r="AF158" s="336"/>
      <c r="BV158" s="30"/>
      <c r="CC158" s="116"/>
    </row>
    <row r="159" spans="1:94" ht="12.75" thickBot="1">
      <c r="B159" s="762"/>
      <c r="C159" s="46" t="s">
        <v>166</v>
      </c>
      <c r="D159" s="46"/>
      <c r="E159" s="116"/>
      <c r="F159" s="153">
        <f>F157-F158</f>
        <v>-5.6218762676090828E-2</v>
      </c>
      <c r="G159" s="153">
        <f>G157-G158</f>
        <v>-5.8397586165738646E-2</v>
      </c>
      <c r="H159" s="153">
        <f>H157-H158</f>
        <v>-0.15864622195967293</v>
      </c>
      <c r="I159" s="149">
        <f>H159-G159</f>
        <v>-0.10024863579393428</v>
      </c>
      <c r="J159" s="298"/>
      <c r="K159" s="299" t="s">
        <v>2</v>
      </c>
      <c r="L159" s="300" t="s">
        <v>4</v>
      </c>
      <c r="M159" s="796" t="s">
        <v>47</v>
      </c>
      <c r="N159" s="797"/>
      <c r="O159" s="144"/>
      <c r="P159" s="144"/>
      <c r="Q159" s="316"/>
      <c r="R159" s="317" t="s">
        <v>2</v>
      </c>
      <c r="S159" s="318" t="s">
        <v>4</v>
      </c>
      <c r="T159" s="792" t="s">
        <v>47</v>
      </c>
      <c r="U159" s="793"/>
      <c r="X159" s="762"/>
      <c r="Y159" s="46" t="s">
        <v>166</v>
      </c>
      <c r="Z159" s="46"/>
      <c r="AA159" s="116"/>
      <c r="AB159" s="153">
        <f>AB157-AB158</f>
        <v>-5.6218762676090828E-2</v>
      </c>
      <c r="AC159" s="153">
        <f>AC157-AC158</f>
        <v>-5.8397586165738646E-2</v>
      </c>
      <c r="AD159" s="153">
        <f>AD157-AD158</f>
        <v>-0.15864622195967293</v>
      </c>
      <c r="AE159" s="149">
        <f>AD159-AC159</f>
        <v>-0.10024863579393428</v>
      </c>
      <c r="AF159" s="336"/>
      <c r="BV159" s="116"/>
      <c r="BW159" s="401"/>
      <c r="BX159" s="380"/>
      <c r="BY159" s="380"/>
      <c r="BZ159" s="380"/>
      <c r="CA159" s="380"/>
      <c r="CB159" s="380"/>
      <c r="CC159" s="116"/>
    </row>
    <row r="160" spans="1:94" ht="13.5" thickBot="1">
      <c r="B160" s="116"/>
      <c r="C160" s="116"/>
      <c r="D160" s="116"/>
      <c r="E160" s="213" t="s">
        <v>167</v>
      </c>
      <c r="F160" s="212">
        <f>F159/F158</f>
        <v>-4.4959790433545054E-2</v>
      </c>
      <c r="G160" s="212">
        <f>G159/G158</f>
        <v>-4.5444362603683591E-2</v>
      </c>
      <c r="H160" s="212">
        <f>H159/H158</f>
        <v>-0.11479536079790605</v>
      </c>
      <c r="I160" s="143"/>
      <c r="J160" s="298"/>
      <c r="K160" s="301"/>
      <c r="L160" s="302"/>
      <c r="M160" s="303" t="s">
        <v>48</v>
      </c>
      <c r="N160" s="304" t="s">
        <v>49</v>
      </c>
      <c r="O160" s="144"/>
      <c r="P160" s="144"/>
      <c r="Q160" s="316"/>
      <c r="R160" s="319"/>
      <c r="S160" s="320"/>
      <c r="T160" s="321" t="s">
        <v>48</v>
      </c>
      <c r="U160" s="322" t="s">
        <v>49</v>
      </c>
      <c r="X160" s="116"/>
      <c r="Y160" s="116"/>
      <c r="Z160" s="116"/>
      <c r="AA160" s="213" t="s">
        <v>167</v>
      </c>
      <c r="AB160" s="212">
        <f>AB159/AB158</f>
        <v>-4.4959790433545054E-2</v>
      </c>
      <c r="AC160" s="212">
        <f>AC159/AC158</f>
        <v>-4.5444362603683591E-2</v>
      </c>
      <c r="AD160" s="212">
        <f>AD159/AD158</f>
        <v>-0.11479536079790605</v>
      </c>
      <c r="AE160" s="143"/>
      <c r="AF160" s="336"/>
      <c r="BV160" s="116"/>
      <c r="BW160" s="399"/>
      <c r="BX160" s="380"/>
      <c r="BY160" s="380"/>
      <c r="BZ160" s="380"/>
      <c r="CA160" s="380"/>
      <c r="CB160" s="380"/>
      <c r="CC160" s="116"/>
    </row>
    <row r="161" spans="1:81" s="116" customFormat="1">
      <c r="F161" s="144"/>
      <c r="G161" s="144"/>
      <c r="H161" s="144"/>
      <c r="I161" s="143"/>
      <c r="J161" s="298" t="s">
        <v>76</v>
      </c>
      <c r="K161" s="305">
        <f>H120</f>
        <v>6.2351391832453196</v>
      </c>
      <c r="L161" s="306">
        <f>H126</f>
        <v>4.2808864866491296</v>
      </c>
      <c r="M161" s="307">
        <f>L161-K161</f>
        <v>-1.9542526965961899</v>
      </c>
      <c r="N161" s="308">
        <f>M161/K161</f>
        <v>-0.31342567329491811</v>
      </c>
      <c r="O161" s="144"/>
      <c r="P161" s="144"/>
      <c r="Q161" s="316" t="s">
        <v>76</v>
      </c>
      <c r="R161" s="323">
        <f>X120</f>
        <v>6.7065960855383979</v>
      </c>
      <c r="S161" s="324">
        <f>X126</f>
        <v>4.4559990503579874</v>
      </c>
      <c r="T161" s="335">
        <f>S161-R161</f>
        <v>-2.2505970351804105</v>
      </c>
      <c r="U161" s="326">
        <f>T161/R161</f>
        <v>-0.3355796303334011</v>
      </c>
      <c r="AB161" s="144"/>
      <c r="AC161" s="144"/>
      <c r="AD161" s="144"/>
      <c r="AE161" s="143"/>
      <c r="AF161" s="336"/>
      <c r="BW161" s="380"/>
      <c r="BX161" s="380"/>
      <c r="BY161" s="380"/>
      <c r="BZ161" s="380"/>
      <c r="CA161" s="380"/>
      <c r="CB161" s="380"/>
    </row>
    <row r="162" spans="1:81" ht="12.75" thickBot="1">
      <c r="B162" s="99"/>
      <c r="C162" s="46" t="str">
        <f>C150</f>
        <v>£ billion, 2019-20 Prices</v>
      </c>
      <c r="D162" s="46"/>
      <c r="E162" s="116"/>
      <c r="F162" s="153" t="s">
        <v>125</v>
      </c>
      <c r="G162" s="153" t="s">
        <v>144</v>
      </c>
      <c r="H162" s="153" t="s">
        <v>475</v>
      </c>
      <c r="I162" s="150" t="s">
        <v>126</v>
      </c>
      <c r="J162" s="298" t="s">
        <v>1</v>
      </c>
      <c r="K162" s="305">
        <f>H152</f>
        <v>0.86703547343492471</v>
      </c>
      <c r="L162" s="306">
        <f>H151</f>
        <v>0.78858112986590689</v>
      </c>
      <c r="M162" s="307">
        <f>L162-K162</f>
        <v>-7.8454343569017815E-2</v>
      </c>
      <c r="N162" s="308">
        <f>M162/K162</f>
        <v>-9.0485736711793482E-2</v>
      </c>
      <c r="O162" s="144"/>
      <c r="P162" s="144"/>
      <c r="Q162" s="316" t="s">
        <v>1</v>
      </c>
      <c r="R162" s="323">
        <f>AD152</f>
        <v>0.86703547343492471</v>
      </c>
      <c r="S162" s="324">
        <f>AD151</f>
        <v>0.80914476890368392</v>
      </c>
      <c r="T162" s="325">
        <f>S162-R162</f>
        <v>-5.7890704531240789E-2</v>
      </c>
      <c r="U162" s="326">
        <f>T162/R162</f>
        <v>-6.6768553657782684E-2</v>
      </c>
      <c r="X162" s="99"/>
      <c r="Y162" s="46" t="str">
        <f>Y150</f>
        <v>£ billion, 2019-20 Prices</v>
      </c>
      <c r="Z162" s="46"/>
      <c r="AA162" s="116"/>
      <c r="AB162" s="153" t="s">
        <v>125</v>
      </c>
      <c r="AC162" s="153" t="s">
        <v>144</v>
      </c>
      <c r="AD162" s="153" t="s">
        <v>475</v>
      </c>
      <c r="AE162" s="150" t="s">
        <v>126</v>
      </c>
      <c r="AF162" s="336"/>
      <c r="BV162" s="116"/>
      <c r="BW162" s="229"/>
      <c r="BX162" s="380"/>
      <c r="BY162" s="380"/>
      <c r="BZ162" s="380"/>
      <c r="CA162" s="380"/>
      <c r="CB162" s="380"/>
      <c r="CC162" s="116"/>
    </row>
    <row r="163" spans="1:81" ht="12.75" thickBot="1">
      <c r="B163" s="761" t="s">
        <v>145</v>
      </c>
      <c r="C163" s="46" t="s">
        <v>127</v>
      </c>
      <c r="D163" s="46"/>
      <c r="E163" s="116"/>
      <c r="F163" s="151">
        <f>A177</f>
        <v>1.8348961959765025E-2</v>
      </c>
      <c r="G163" s="151">
        <v>1.8752139210161081E-2</v>
      </c>
      <c r="H163" s="151">
        <f>K44/1000</f>
        <v>1.6409306026439974E-2</v>
      </c>
      <c r="I163" s="765"/>
      <c r="J163" s="298" t="s">
        <v>71</v>
      </c>
      <c r="K163" s="305">
        <f>H184</f>
        <v>0.30149345118192966</v>
      </c>
      <c r="L163" s="306">
        <f>H183</f>
        <v>0.41761912171183346</v>
      </c>
      <c r="M163" s="307">
        <f>L163-K163</f>
        <v>0.1161256705299038</v>
      </c>
      <c r="N163" s="308">
        <f>M163/K163</f>
        <v>0.3851681357411319</v>
      </c>
      <c r="O163" s="144"/>
      <c r="P163" s="144"/>
      <c r="Q163" s="316" t="s">
        <v>71</v>
      </c>
      <c r="R163" s="323">
        <f>X184</f>
        <v>0.30149345118192966</v>
      </c>
      <c r="S163" s="324">
        <f>X183</f>
        <v>0.41761912171183346</v>
      </c>
      <c r="T163" s="325">
        <f>S163-R163</f>
        <v>0.1161256705299038</v>
      </c>
      <c r="U163" s="326">
        <f>T163/R163</f>
        <v>0.3851681357411319</v>
      </c>
      <c r="X163" s="761" t="s">
        <v>145</v>
      </c>
      <c r="Y163" s="46" t="s">
        <v>127</v>
      </c>
      <c r="Z163" s="46"/>
      <c r="AA163" s="116"/>
      <c r="AB163" s="151">
        <f t="shared" ref="AB163:AD164" si="61">F163</f>
        <v>1.8348961959765025E-2</v>
      </c>
      <c r="AC163" s="151">
        <f t="shared" si="61"/>
        <v>1.8752139210161081E-2</v>
      </c>
      <c r="AD163" s="151">
        <f t="shared" si="61"/>
        <v>1.6409306026439974E-2</v>
      </c>
      <c r="AE163" s="765"/>
      <c r="AF163" s="336"/>
      <c r="BV163" s="116"/>
      <c r="BW163" s="380"/>
      <c r="BX163" s="380"/>
      <c r="BY163" s="380"/>
      <c r="BZ163" s="380"/>
      <c r="CA163" s="380"/>
      <c r="CB163" s="380"/>
      <c r="CC163" s="116"/>
    </row>
    <row r="164" spans="1:81" ht="12.75" thickBot="1">
      <c r="B164" s="762"/>
      <c r="C164" s="46" t="s">
        <v>128</v>
      </c>
      <c r="D164" s="46"/>
      <c r="E164" s="116"/>
      <c r="F164" s="151">
        <f>B177</f>
        <v>9.4538109912233916E-3</v>
      </c>
      <c r="G164" s="151">
        <v>9.4538109912233916E-3</v>
      </c>
      <c r="H164" s="151">
        <f>K38/1000</f>
        <v>9.6985419900290446E-3</v>
      </c>
      <c r="I164" s="766"/>
      <c r="J164" s="309" t="s">
        <v>3</v>
      </c>
      <c r="K164" s="310">
        <f>SUM(K161:K163)</f>
        <v>7.403668107862174</v>
      </c>
      <c r="L164" s="310">
        <f>SUM(L161:L163)</f>
        <v>5.4870867382268704</v>
      </c>
      <c r="M164" s="311">
        <f>L164-K164</f>
        <v>-1.9165813696353036</v>
      </c>
      <c r="N164" s="312">
        <f>M164/K164</f>
        <v>-0.25886916346236932</v>
      </c>
      <c r="O164" s="144"/>
      <c r="P164" s="144"/>
      <c r="Q164" s="327" t="s">
        <v>3</v>
      </c>
      <c r="R164" s="328">
        <f>SUM(R161:R163)</f>
        <v>7.8751250101552523</v>
      </c>
      <c r="S164" s="328">
        <f>SUM(S161:S163)</f>
        <v>5.6827629409735048</v>
      </c>
      <c r="T164" s="329">
        <f>S164-R164</f>
        <v>-2.1923620691817476</v>
      </c>
      <c r="U164" s="330">
        <f>T164/R164</f>
        <v>-0.27839076412814007</v>
      </c>
      <c r="X164" s="762"/>
      <c r="Y164" s="46" t="s">
        <v>128</v>
      </c>
      <c r="Z164" s="46"/>
      <c r="AA164" s="116"/>
      <c r="AB164" s="151">
        <f t="shared" si="61"/>
        <v>9.4538109912233916E-3</v>
      </c>
      <c r="AC164" s="151">
        <f t="shared" si="61"/>
        <v>9.4538109912233916E-3</v>
      </c>
      <c r="AD164" s="151">
        <f t="shared" si="61"/>
        <v>9.6985419900290446E-3</v>
      </c>
      <c r="AE164" s="766"/>
      <c r="AF164" s="336"/>
      <c r="BV164" s="116"/>
      <c r="BW164" s="380"/>
      <c r="BX164" s="380"/>
      <c r="BY164" s="380"/>
      <c r="BZ164" s="380"/>
      <c r="CA164" s="380"/>
      <c r="CB164" s="380"/>
      <c r="CC164" s="116"/>
    </row>
    <row r="165" spans="1:81" ht="23.25" customHeight="1" thickTop="1" thickBot="1">
      <c r="B165" s="762"/>
      <c r="C165" s="46" t="s">
        <v>166</v>
      </c>
      <c r="D165" s="46"/>
      <c r="E165" s="116"/>
      <c r="F165" s="149">
        <f>F163-F164</f>
        <v>8.8951509685416333E-3</v>
      </c>
      <c r="G165" s="149">
        <f>G163-G164</f>
        <v>9.298328218937689E-3</v>
      </c>
      <c r="H165" s="149">
        <f>H163-H164</f>
        <v>6.7107640364109291E-3</v>
      </c>
      <c r="I165" s="149">
        <f>H165-G165</f>
        <v>-2.5875641825267599E-3</v>
      </c>
      <c r="J165" s="297" t="str">
        <f>J151</f>
        <v>£m, 2019-20 prices </v>
      </c>
      <c r="K165" s="786" t="s">
        <v>221</v>
      </c>
      <c r="L165" s="787"/>
      <c r="M165" s="787"/>
      <c r="N165" s="787"/>
      <c r="O165" s="144"/>
      <c r="P165" s="144"/>
      <c r="Q165" s="315" t="str">
        <f>J151</f>
        <v>£m, 2019-20 prices </v>
      </c>
      <c r="R165" s="794" t="s">
        <v>221</v>
      </c>
      <c r="S165" s="795"/>
      <c r="T165" s="795"/>
      <c r="U165" s="795"/>
      <c r="X165" s="762"/>
      <c r="Y165" s="46" t="s">
        <v>166</v>
      </c>
      <c r="Z165" s="46"/>
      <c r="AA165" s="116"/>
      <c r="AB165" s="149">
        <f>AB163-AB164</f>
        <v>8.8951509685416333E-3</v>
      </c>
      <c r="AC165" s="149">
        <f>AC163-AC164</f>
        <v>9.298328218937689E-3</v>
      </c>
      <c r="AD165" s="149">
        <f>AD163-AD164</f>
        <v>6.7107640364109291E-3</v>
      </c>
      <c r="AE165" s="149">
        <f>AD165-AC165</f>
        <v>-2.5875641825267599E-3</v>
      </c>
      <c r="AF165" s="336"/>
      <c r="BV165" s="116"/>
      <c r="BW165" s="61"/>
      <c r="BX165" s="402"/>
      <c r="BY165" s="397"/>
      <c r="BZ165" s="397"/>
      <c r="CA165" s="397"/>
      <c r="CB165" s="397"/>
      <c r="CC165" s="116"/>
    </row>
    <row r="166" spans="1:81" ht="12.75" thickBot="1">
      <c r="B166" s="116"/>
      <c r="C166" s="116"/>
      <c r="D166" s="116"/>
      <c r="E166" s="213" t="s">
        <v>167</v>
      </c>
      <c r="F166" s="212">
        <f>F165/F164</f>
        <v>0.94090636853218246</v>
      </c>
      <c r="G166" s="212">
        <f>G165/G164</f>
        <v>0.98355342914830346</v>
      </c>
      <c r="H166" s="212">
        <f>H165/H164</f>
        <v>0.69193534897412268</v>
      </c>
      <c r="I166" s="143"/>
      <c r="J166" s="298"/>
      <c r="K166" s="299" t="s">
        <v>2</v>
      </c>
      <c r="L166" s="300" t="s">
        <v>4</v>
      </c>
      <c r="M166" s="796" t="s">
        <v>47</v>
      </c>
      <c r="N166" s="797"/>
      <c r="O166" s="144"/>
      <c r="P166" s="144"/>
      <c r="Q166" s="316"/>
      <c r="R166" s="317" t="s">
        <v>2</v>
      </c>
      <c r="S166" s="318" t="s">
        <v>4</v>
      </c>
      <c r="T166" s="792" t="s">
        <v>47</v>
      </c>
      <c r="U166" s="793"/>
      <c r="X166" s="116"/>
      <c r="Y166" s="116"/>
      <c r="Z166" s="116"/>
      <c r="AA166" s="213" t="s">
        <v>167</v>
      </c>
      <c r="AB166" s="212">
        <f>AB165/AB164</f>
        <v>0.94090636853218246</v>
      </c>
      <c r="AC166" s="212">
        <f>AC165/AC164</f>
        <v>0.98355342914830346</v>
      </c>
      <c r="AD166" s="212">
        <f>AD165/AD164</f>
        <v>0.69193534897412268</v>
      </c>
      <c r="AE166" s="143"/>
      <c r="AF166" s="336"/>
      <c r="BV166" s="116"/>
      <c r="BW166" s="61"/>
      <c r="BX166" s="397"/>
      <c r="BY166" s="397"/>
      <c r="BZ166" s="397"/>
      <c r="CA166" s="397"/>
      <c r="CB166" s="397"/>
      <c r="CC166" s="116"/>
    </row>
    <row r="167" spans="1:81" s="116" customFormat="1" ht="13.15">
      <c r="F167" s="144"/>
      <c r="G167" s="144"/>
      <c r="H167" s="144"/>
      <c r="I167" s="143"/>
      <c r="J167" s="298"/>
      <c r="K167" s="301"/>
      <c r="L167" s="302"/>
      <c r="M167" s="303" t="s">
        <v>48</v>
      </c>
      <c r="N167" s="304" t="s">
        <v>49</v>
      </c>
      <c r="O167" s="144"/>
      <c r="P167" s="144"/>
      <c r="Q167" s="316"/>
      <c r="R167" s="319"/>
      <c r="S167" s="320"/>
      <c r="T167" s="321" t="s">
        <v>48</v>
      </c>
      <c r="U167" s="322" t="s">
        <v>49</v>
      </c>
      <c r="AB167" s="144"/>
      <c r="AC167" s="144"/>
      <c r="AD167" s="144"/>
      <c r="AE167" s="143"/>
      <c r="AF167" s="336"/>
      <c r="BW167" s="61"/>
      <c r="BX167" s="397"/>
      <c r="BY167" s="397"/>
      <c r="BZ167" s="397"/>
      <c r="CA167" s="397"/>
      <c r="CB167" s="397"/>
    </row>
    <row r="168" spans="1:81" ht="12.75" thickBot="1">
      <c r="B168" s="99"/>
      <c r="C168" s="46" t="str">
        <f>C150</f>
        <v>£ billion, 2019-20 Prices</v>
      </c>
      <c r="D168" s="46"/>
      <c r="E168" s="116"/>
      <c r="F168" s="153" t="s">
        <v>125</v>
      </c>
      <c r="G168" s="153" t="s">
        <v>144</v>
      </c>
      <c r="H168" s="153" t="s">
        <v>475</v>
      </c>
      <c r="I168" s="150" t="s">
        <v>126</v>
      </c>
      <c r="J168" s="298" t="s">
        <v>76</v>
      </c>
      <c r="K168" s="305">
        <f>H132</f>
        <v>0.19903421022996454</v>
      </c>
      <c r="L168" s="306">
        <f>H131</f>
        <v>0.38813759776479712</v>
      </c>
      <c r="M168" s="307">
        <f>L168-K168</f>
        <v>0.18910338753483258</v>
      </c>
      <c r="N168" s="308">
        <f>M168/K168</f>
        <v>0.95010494586002148</v>
      </c>
      <c r="O168" s="144"/>
      <c r="P168" s="144"/>
      <c r="Q168" s="316" t="s">
        <v>76</v>
      </c>
      <c r="R168" s="323">
        <f>X132</f>
        <v>0.19903421022996454</v>
      </c>
      <c r="S168" s="324">
        <f>X131</f>
        <v>0.38813759776479712</v>
      </c>
      <c r="T168" s="325">
        <f>S168-R168</f>
        <v>0.18910338753483258</v>
      </c>
      <c r="U168" s="326">
        <f>T168/R168</f>
        <v>0.95010494586002148</v>
      </c>
      <c r="X168" s="99"/>
      <c r="Y168" s="46" t="str">
        <f>Y150</f>
        <v>£ billion, 2019-20 Prices</v>
      </c>
      <c r="Z168" s="46"/>
      <c r="AA168" s="116"/>
      <c r="AB168" s="153" t="s">
        <v>125</v>
      </c>
      <c r="AC168" s="153" t="s">
        <v>144</v>
      </c>
      <c r="AD168" s="153" t="s">
        <v>475</v>
      </c>
      <c r="AE168" s="150" t="s">
        <v>126</v>
      </c>
      <c r="AF168" s="336"/>
      <c r="BV168" s="116"/>
      <c r="BW168" s="61"/>
      <c r="BX168" s="397"/>
      <c r="BY168" s="397"/>
      <c r="BZ168" s="397"/>
      <c r="CA168" s="397"/>
      <c r="CB168" s="397"/>
    </row>
    <row r="169" spans="1:81" ht="12.75" thickBot="1">
      <c r="B169" s="761" t="s">
        <v>146</v>
      </c>
      <c r="C169" s="46" t="s">
        <v>127</v>
      </c>
      <c r="D169" s="46"/>
      <c r="E169" s="116"/>
      <c r="F169" s="152">
        <f>A178</f>
        <v>0.27864407349152404</v>
      </c>
      <c r="G169" s="152">
        <v>0.2801872469364417</v>
      </c>
      <c r="H169" s="152">
        <f>K45/1000</f>
        <v>0.29481723257927916</v>
      </c>
      <c r="I169" s="765"/>
      <c r="J169" s="298" t="s">
        <v>1</v>
      </c>
      <c r="K169" s="313">
        <f>H164</f>
        <v>9.6985419900290446E-3</v>
      </c>
      <c r="L169" s="314">
        <f>H163</f>
        <v>1.6409306026439974E-2</v>
      </c>
      <c r="M169" s="307">
        <f>L169-K169</f>
        <v>6.7107640364109291E-3</v>
      </c>
      <c r="N169" s="308">
        <f>M169/K169</f>
        <v>0.69193534897412268</v>
      </c>
      <c r="O169" s="144"/>
      <c r="P169" s="144"/>
      <c r="Q169" s="316" t="s">
        <v>1</v>
      </c>
      <c r="R169" s="331">
        <f>AD164</f>
        <v>9.6985419900290446E-3</v>
      </c>
      <c r="S169" s="332">
        <f>AD163</f>
        <v>1.6409306026439974E-2</v>
      </c>
      <c r="T169" s="325">
        <f>S169-R169</f>
        <v>6.7107640364109291E-3</v>
      </c>
      <c r="U169" s="326">
        <f>T169/R169</f>
        <v>0.69193534897412268</v>
      </c>
      <c r="X169" s="761" t="s">
        <v>146</v>
      </c>
      <c r="Y169" s="46" t="s">
        <v>127</v>
      </c>
      <c r="Z169" s="46"/>
      <c r="AA169" s="116"/>
      <c r="AB169" s="152">
        <f t="shared" ref="AB169:AD170" si="62">F169</f>
        <v>0.27864407349152404</v>
      </c>
      <c r="AC169" s="152">
        <f t="shared" si="62"/>
        <v>0.2801872469364417</v>
      </c>
      <c r="AD169" s="152">
        <f t="shared" si="62"/>
        <v>0.29481723257927916</v>
      </c>
      <c r="AE169" s="765"/>
      <c r="AF169" s="336"/>
      <c r="BV169" s="116"/>
      <c r="BW169" s="61"/>
      <c r="BX169" s="402"/>
      <c r="BY169" s="397"/>
      <c r="BZ169" s="397"/>
      <c r="CA169" s="397"/>
      <c r="CB169" s="397"/>
    </row>
    <row r="170" spans="1:81" ht="12.75" thickBot="1">
      <c r="B170" s="762"/>
      <c r="C170" s="46" t="s">
        <v>128</v>
      </c>
      <c r="D170" s="46"/>
      <c r="E170" s="116"/>
      <c r="F170" s="152">
        <f>B178</f>
        <v>0.2063706188873751</v>
      </c>
      <c r="G170" s="152">
        <v>0.20671679030531567</v>
      </c>
      <c r="H170" s="152">
        <f>K39/1000</f>
        <v>0.20788161808383954</v>
      </c>
      <c r="I170" s="766"/>
      <c r="J170" s="298" t="s">
        <v>71</v>
      </c>
      <c r="K170" s="313">
        <f>H196</f>
        <v>9.9728617759134615E-3</v>
      </c>
      <c r="L170" s="314">
        <f>H195</f>
        <v>3.2553336462083672E-2</v>
      </c>
      <c r="M170" s="307">
        <f>L170-K170</f>
        <v>2.2580474686170211E-2</v>
      </c>
      <c r="N170" s="308">
        <f>M170/K170</f>
        <v>2.2641920838316199</v>
      </c>
      <c r="O170" s="144"/>
      <c r="P170" s="144"/>
      <c r="Q170" s="316" t="s">
        <v>71</v>
      </c>
      <c r="R170" s="331">
        <f>X196</f>
        <v>9.9728617759134615E-3</v>
      </c>
      <c r="S170" s="332">
        <f>X195</f>
        <v>3.2553336462083672E-2</v>
      </c>
      <c r="T170" s="325">
        <f>S170-R170</f>
        <v>2.2580474686170211E-2</v>
      </c>
      <c r="U170" s="326">
        <f>T170/R170</f>
        <v>2.2641920838316199</v>
      </c>
      <c r="X170" s="762"/>
      <c r="Y170" s="46" t="s">
        <v>128</v>
      </c>
      <c r="Z170" s="46"/>
      <c r="AA170" s="116"/>
      <c r="AB170" s="152">
        <f t="shared" si="62"/>
        <v>0.2063706188873751</v>
      </c>
      <c r="AC170" s="152">
        <f t="shared" si="62"/>
        <v>0.20671679030531567</v>
      </c>
      <c r="AD170" s="152">
        <f t="shared" si="62"/>
        <v>0.20788161808383954</v>
      </c>
      <c r="AE170" s="766"/>
      <c r="AF170" s="336"/>
      <c r="BV170" s="116"/>
      <c r="BW170" s="61"/>
      <c r="BX170" s="397"/>
      <c r="BY170" s="397"/>
      <c r="BZ170" s="397"/>
      <c r="CA170" s="397"/>
      <c r="CB170" s="397"/>
    </row>
    <row r="171" spans="1:81" ht="12.75" thickBot="1">
      <c r="B171" s="762"/>
      <c r="C171" s="46" t="s">
        <v>166</v>
      </c>
      <c r="D171" s="46"/>
      <c r="E171" s="116"/>
      <c r="F171" s="153">
        <f>F169-F170</f>
        <v>7.227345460414894E-2</v>
      </c>
      <c r="G171" s="153">
        <f>G169-G170</f>
        <v>7.347045663112603E-2</v>
      </c>
      <c r="H171" s="153">
        <f>H169-H170</f>
        <v>8.6935614495439628E-2</v>
      </c>
      <c r="I171" s="149">
        <f>H171-G171</f>
        <v>1.3465157864313598E-2</v>
      </c>
      <c r="J171" s="309" t="s">
        <v>3</v>
      </c>
      <c r="K171" s="310">
        <f>SUM(K168:K170)</f>
        <v>0.21870561399590704</v>
      </c>
      <c r="L171" s="310">
        <f>SUM(L168:L170)</f>
        <v>0.43710024025332078</v>
      </c>
      <c r="M171" s="311">
        <f>L171-K171</f>
        <v>0.21839462625741374</v>
      </c>
      <c r="N171" s="312">
        <f>M171/K171</f>
        <v>0.99857805324330118</v>
      </c>
      <c r="O171" s="144"/>
      <c r="P171" s="144"/>
      <c r="Q171" s="327" t="s">
        <v>3</v>
      </c>
      <c r="R171" s="328">
        <f>SUM(R168:R170)</f>
        <v>0.21870561399590704</v>
      </c>
      <c r="S171" s="328">
        <f>SUM(S168:S170)</f>
        <v>0.43710024025332078</v>
      </c>
      <c r="T171" s="329">
        <f>S171-R171</f>
        <v>0.21839462625741374</v>
      </c>
      <c r="U171" s="330">
        <f>T171/R171</f>
        <v>0.99857805324330118</v>
      </c>
      <c r="X171" s="762"/>
      <c r="Y171" s="46" t="s">
        <v>166</v>
      </c>
      <c r="Z171" s="46"/>
      <c r="AA171" s="116"/>
      <c r="AB171" s="153">
        <f>AB169-AB170</f>
        <v>7.227345460414894E-2</v>
      </c>
      <c r="AC171" s="153">
        <f>AC169-AC170</f>
        <v>7.347045663112603E-2</v>
      </c>
      <c r="AD171" s="153">
        <f>AD169-AD170</f>
        <v>8.6935614495439628E-2</v>
      </c>
      <c r="AE171" s="149">
        <f>AD171-AC171</f>
        <v>1.3465157864313598E-2</v>
      </c>
      <c r="AF171" s="336"/>
      <c r="BV171" s="116"/>
      <c r="BW171" s="61"/>
      <c r="BX171" s="397"/>
      <c r="BY171" s="397"/>
      <c r="BZ171" s="397"/>
      <c r="CA171" s="397"/>
      <c r="CB171" s="397"/>
    </row>
    <row r="172" spans="1:81" ht="12.75" thickBot="1">
      <c r="C172" s="116"/>
      <c r="D172" s="116"/>
      <c r="E172" s="213" t="s">
        <v>167</v>
      </c>
      <c r="F172" s="212">
        <f>F171/F170</f>
        <v>0.350211939053163</v>
      </c>
      <c r="G172" s="212">
        <f>G171/G170</f>
        <v>0.35541600913313309</v>
      </c>
      <c r="H172" s="212">
        <f>H171/H170</f>
        <v>0.41819769971377713</v>
      </c>
      <c r="K172" s="155"/>
      <c r="L172" s="144"/>
      <c r="M172" s="144"/>
      <c r="N172" s="156"/>
      <c r="O172" s="144"/>
      <c r="P172" s="144"/>
      <c r="X172" s="116"/>
      <c r="Y172" s="116"/>
      <c r="Z172" s="116"/>
      <c r="AA172" s="213" t="s">
        <v>167</v>
      </c>
      <c r="AB172" s="212">
        <f>AB171/AB170</f>
        <v>0.350211939053163</v>
      </c>
      <c r="AC172" s="212">
        <f>AC171/AC170</f>
        <v>0.35541600913313309</v>
      </c>
      <c r="AD172" s="212">
        <f>AD171/AD170</f>
        <v>0.41819769971377713</v>
      </c>
      <c r="AF172" s="336"/>
      <c r="BV172" s="116"/>
      <c r="BW172" s="61"/>
      <c r="BX172" s="397"/>
      <c r="BY172" s="397"/>
      <c r="BZ172" s="397"/>
      <c r="CA172" s="397"/>
      <c r="CB172" s="397"/>
    </row>
    <row r="173" spans="1:81" s="116" customFormat="1">
      <c r="A173" s="513" t="s">
        <v>315</v>
      </c>
      <c r="B173" s="513"/>
      <c r="E173" s="222"/>
      <c r="F173" s="212"/>
      <c r="G173" s="212"/>
      <c r="K173" s="155"/>
      <c r="L173" s="144"/>
      <c r="M173" s="144"/>
      <c r="N173" s="156"/>
      <c r="O173" s="144"/>
      <c r="P173" s="144"/>
      <c r="AF173" s="336"/>
      <c r="BW173" s="61"/>
      <c r="BX173" s="402"/>
      <c r="BY173" s="397"/>
      <c r="BZ173" s="397"/>
      <c r="CA173" s="397"/>
      <c r="CB173" s="397"/>
    </row>
    <row r="174" spans="1:81" s="116" customFormat="1">
      <c r="A174" s="514" t="s">
        <v>313</v>
      </c>
      <c r="B174" s="514" t="s">
        <v>314</v>
      </c>
      <c r="E174" s="215" t="s">
        <v>168</v>
      </c>
      <c r="F174" s="217">
        <f>F151+F157+F163+F169</f>
        <v>2.2593126738606655</v>
      </c>
      <c r="G174" s="217">
        <f t="shared" ref="F174:G176" si="63">G151+G157+G163+G169</f>
        <v>2.2862400966555141</v>
      </c>
      <c r="H174" s="217">
        <f t="shared" ref="H174" si="64">H151+H157+H163+H169</f>
        <v>2.3231530257619637</v>
      </c>
      <c r="I174" s="217">
        <f>SUM(AF6:AM7)/1000</f>
        <v>2.3231530257619637</v>
      </c>
      <c r="J174" s="217">
        <f>I174-H174</f>
        <v>0</v>
      </c>
      <c r="K174" s="155"/>
      <c r="L174" s="144"/>
      <c r="M174" s="144"/>
      <c r="N174" s="156"/>
      <c r="O174" s="144"/>
      <c r="P174" s="144"/>
      <c r="AB174" s="217">
        <f t="shared" ref="AB174:AC176" si="65">AB151+AB157+AB163+AB169</f>
        <v>2.2798763128984425</v>
      </c>
      <c r="AC174" s="217">
        <f t="shared" si="65"/>
        <v>2.3068037356932911</v>
      </c>
      <c r="AD174" s="217">
        <f t="shared" ref="AD174" si="66">AD151+AD157+AD163+AD169</f>
        <v>2.3437166647997407</v>
      </c>
      <c r="AF174" s="336"/>
      <c r="BW174" s="61"/>
      <c r="BX174" s="397"/>
      <c r="BY174" s="397"/>
      <c r="BZ174" s="397"/>
      <c r="CA174" s="397"/>
      <c r="CB174" s="397"/>
    </row>
    <row r="175" spans="1:81" s="116" customFormat="1">
      <c r="A175" s="515">
        <v>1.1942043850738444</v>
      </c>
      <c r="B175" s="515">
        <v>1.2504231477499352</v>
      </c>
      <c r="C175" s="47"/>
      <c r="E175" s="215" t="s">
        <v>168</v>
      </c>
      <c r="F175" s="217">
        <f t="shared" si="63"/>
        <v>2.3273278686557801</v>
      </c>
      <c r="G175" s="217">
        <f t="shared" si="63"/>
        <v>2.3622709342963102</v>
      </c>
      <c r="H175" s="217">
        <f t="shared" ref="H175" si="67">H152+H158+H164+H170</f>
        <v>2.4666072127588041</v>
      </c>
      <c r="I175" s="217">
        <f>SUM(AF8:AM8)/1000</f>
        <v>2.4666072127588037</v>
      </c>
      <c r="J175" s="217">
        <f t="shared" ref="J175:J176" si="68">I175-H175</f>
        <v>0</v>
      </c>
      <c r="K175" s="155"/>
      <c r="L175" s="144"/>
      <c r="M175" s="144"/>
      <c r="N175" s="156"/>
      <c r="O175" s="144"/>
      <c r="P175" s="144"/>
      <c r="AB175" s="217">
        <f t="shared" si="65"/>
        <v>2.3273278686557801</v>
      </c>
      <c r="AC175" s="217">
        <f t="shared" si="65"/>
        <v>2.3622709342963102</v>
      </c>
      <c r="AD175" s="217">
        <f t="shared" ref="AD175" si="69">AD152+AD158+AD164+AD170</f>
        <v>2.4666072127588041</v>
      </c>
      <c r="AF175" s="336"/>
      <c r="BW175" s="61"/>
      <c r="BX175" s="397"/>
      <c r="BY175" s="397"/>
      <c r="BZ175" s="397"/>
      <c r="CA175" s="397"/>
      <c r="CB175" s="397"/>
    </row>
    <row r="176" spans="1:81" s="116" customFormat="1">
      <c r="A176" s="515">
        <v>0.76811525333553188</v>
      </c>
      <c r="B176" s="515">
        <v>0.86108029102724626</v>
      </c>
      <c r="C176" s="47"/>
      <c r="E176" s="215" t="s">
        <v>168</v>
      </c>
      <c r="F176" s="217">
        <f>F153+F159+F165+F171</f>
        <v>-6.8015194795114642E-2</v>
      </c>
      <c r="G176" s="217">
        <f t="shared" si="63"/>
        <v>-7.60308376407966E-2</v>
      </c>
      <c r="H176" s="217">
        <f t="shared" ref="H176" si="70">H153+H159+H165+H171</f>
        <v>-0.14345418699684018</v>
      </c>
      <c r="I176" s="217">
        <f>I174-I175</f>
        <v>-0.14345418699683998</v>
      </c>
      <c r="J176" s="217">
        <f t="shared" si="68"/>
        <v>0</v>
      </c>
      <c r="K176" s="155"/>
      <c r="L176" s="144"/>
      <c r="M176" s="144"/>
      <c r="N176" s="156"/>
      <c r="O176" s="144"/>
      <c r="P176" s="144"/>
      <c r="AB176" s="217">
        <f t="shared" si="65"/>
        <v>-4.7451555757337616E-2</v>
      </c>
      <c r="AC176" s="217">
        <f t="shared" si="65"/>
        <v>-5.5467198603019574E-2</v>
      </c>
      <c r="AD176" s="217">
        <f t="shared" ref="AD176" si="71">AD153+AD159+AD165+AD171</f>
        <v>-0.12289054795906315</v>
      </c>
      <c r="AF176" s="336"/>
      <c r="BW176" s="61"/>
      <c r="BX176" s="397"/>
      <c r="BY176" s="397"/>
      <c r="BZ176" s="397"/>
      <c r="CA176" s="397"/>
      <c r="CB176" s="397"/>
    </row>
    <row r="177" spans="1:33" s="116" customFormat="1">
      <c r="A177" s="515">
        <v>1.8348961959765025E-2</v>
      </c>
      <c r="B177" s="515">
        <v>9.4538109912233916E-3</v>
      </c>
      <c r="C177" s="47"/>
      <c r="F177" s="294">
        <f>F176/F175</f>
        <v>-2.9224586578941673E-2</v>
      </c>
      <c r="G177" s="294">
        <f>G176/G175</f>
        <v>-3.2185485812382141E-2</v>
      </c>
      <c r="H177" s="294">
        <f>H176/H175</f>
        <v>-5.8158504627249613E-2</v>
      </c>
      <c r="I177" s="294"/>
      <c r="J177" s="294"/>
      <c r="K177" s="294"/>
      <c r="L177" s="294"/>
      <c r="M177" s="294"/>
      <c r="N177" s="294"/>
      <c r="O177" s="294"/>
      <c r="P177" s="294"/>
      <c r="Q177" s="294"/>
      <c r="R177" s="294"/>
      <c r="S177" s="294"/>
      <c r="T177" s="294"/>
      <c r="U177" s="294"/>
      <c r="V177" s="294"/>
      <c r="W177" s="294"/>
      <c r="X177" s="294"/>
      <c r="Y177" s="294"/>
      <c r="Z177" s="294"/>
      <c r="AA177" s="294"/>
      <c r="AB177" s="294">
        <f t="shared" ref="AB177:AC177" si="72">AB176/AB175</f>
        <v>-2.0388857279805928E-2</v>
      </c>
      <c r="AC177" s="294">
        <f t="shared" si="72"/>
        <v>-2.3480455945051253E-2</v>
      </c>
      <c r="AD177" s="294">
        <f t="shared" ref="AD177" si="73">AD176/AD175</f>
        <v>-4.9821693264901656E-2</v>
      </c>
      <c r="AF177" s="336"/>
    </row>
    <row r="178" spans="1:33" s="116" customFormat="1">
      <c r="A178" s="515">
        <v>0.27864407349152404</v>
      </c>
      <c r="B178" s="515">
        <v>0.2063706188873751</v>
      </c>
      <c r="C178" s="47"/>
      <c r="K178" s="155"/>
      <c r="L178" s="144"/>
      <c r="M178" s="144"/>
      <c r="N178" s="156"/>
      <c r="O178" s="144"/>
      <c r="P178" s="144"/>
      <c r="AF178" s="336"/>
    </row>
    <row r="179" spans="1:33" s="116" customFormat="1">
      <c r="K179" s="155"/>
      <c r="L179" s="144"/>
      <c r="M179" s="144"/>
      <c r="N179" s="156"/>
      <c r="O179" s="144"/>
      <c r="P179" s="144"/>
      <c r="AF179" s="336"/>
    </row>
    <row r="180" spans="1:33">
      <c r="A180" s="1" t="s">
        <v>159</v>
      </c>
      <c r="B180" s="28" t="s">
        <v>557</v>
      </c>
      <c r="C180" s="100"/>
      <c r="D180" s="100"/>
      <c r="E180" s="100"/>
      <c r="F180" s="100"/>
      <c r="G180" s="100"/>
      <c r="H180" s="100"/>
      <c r="K180" s="155"/>
      <c r="L180" s="144"/>
      <c r="M180" s="144"/>
      <c r="O180" s="144"/>
      <c r="P180" s="144"/>
      <c r="R180" s="1" t="s">
        <v>160</v>
      </c>
      <c r="S180" s="220" t="s">
        <v>560</v>
      </c>
      <c r="AB180"/>
      <c r="AF180" s="336"/>
    </row>
    <row r="181" spans="1:33">
      <c r="B181" s="61"/>
      <c r="C181" s="100"/>
      <c r="D181" s="100"/>
      <c r="E181" s="100"/>
      <c r="F181" s="100"/>
      <c r="G181" s="100"/>
      <c r="H181" s="100"/>
      <c r="K181" s="155"/>
      <c r="L181" s="144"/>
      <c r="M181" s="144"/>
      <c r="O181" s="144"/>
      <c r="P181" s="144"/>
      <c r="R181" s="144"/>
      <c r="AB181"/>
      <c r="AF181" s="336"/>
    </row>
    <row r="182" spans="1:33" ht="12.75" thickBot="1">
      <c r="B182" s="99"/>
      <c r="C182" s="46" t="str">
        <f>C118</f>
        <v>£ billion, 2019-20 Prices</v>
      </c>
      <c r="D182" s="46"/>
      <c r="E182" s="116"/>
      <c r="F182" s="90" t="s">
        <v>125</v>
      </c>
      <c r="G182" s="90" t="s">
        <v>144</v>
      </c>
      <c r="H182" s="90" t="s">
        <v>475</v>
      </c>
      <c r="I182" s="91" t="s">
        <v>126</v>
      </c>
      <c r="K182" s="155"/>
      <c r="L182" s="144"/>
      <c r="M182" s="144"/>
      <c r="O182" s="144"/>
      <c r="P182" s="144"/>
      <c r="R182" s="144"/>
      <c r="S182" s="99"/>
      <c r="T182" s="46" t="str">
        <f>C182</f>
        <v>£ billion, 2019-20 Prices</v>
      </c>
      <c r="U182" s="116"/>
      <c r="V182" s="90" t="s">
        <v>125</v>
      </c>
      <c r="W182" s="90" t="s">
        <v>144</v>
      </c>
      <c r="X182" s="90" t="s">
        <v>475</v>
      </c>
      <c r="Y182" s="91" t="s">
        <v>126</v>
      </c>
      <c r="AB182"/>
      <c r="AE182" s="116"/>
      <c r="AF182" s="336"/>
      <c r="AG182" s="83"/>
    </row>
    <row r="183" spans="1:33" ht="12.75" thickBot="1">
      <c r="B183" s="761" t="s">
        <v>79</v>
      </c>
      <c r="C183" s="46" t="s">
        <v>127</v>
      </c>
      <c r="D183" s="46"/>
      <c r="E183" s="116"/>
      <c r="F183" s="146">
        <f>A209</f>
        <v>0.43857999287082722</v>
      </c>
      <c r="G183" s="146">
        <f>('[9]2.4_Totex'!$M$10+'[9]2.4_Totex'!$M$11)/1000</f>
        <v>0.42950591729153664</v>
      </c>
      <c r="H183" s="146">
        <f>K60/1000</f>
        <v>0.41761912171183346</v>
      </c>
      <c r="I183" s="763"/>
      <c r="J183" s="176"/>
      <c r="K183" s="482"/>
      <c r="L183" s="144"/>
      <c r="M183" s="477"/>
      <c r="N183" s="83"/>
      <c r="O183" s="477"/>
      <c r="R183" s="144"/>
      <c r="S183" s="761" t="s">
        <v>79</v>
      </c>
      <c r="T183" s="46" t="s">
        <v>127</v>
      </c>
      <c r="U183" s="116"/>
      <c r="V183" s="146">
        <f>F183</f>
        <v>0.43857999287082722</v>
      </c>
      <c r="W183" s="146">
        <v>0.42950591729153664</v>
      </c>
      <c r="X183" s="146">
        <f>H183</f>
        <v>0.41761912171183346</v>
      </c>
      <c r="Y183" s="763"/>
      <c r="AB183" s="83"/>
      <c r="AC183" s="83"/>
      <c r="AD183" s="83"/>
      <c r="AE183" s="83"/>
      <c r="AF183" s="336"/>
      <c r="AG183" s="83"/>
    </row>
    <row r="184" spans="1:33" ht="12.75" thickBot="1">
      <c r="B184" s="762"/>
      <c r="C184" s="46" t="s">
        <v>128</v>
      </c>
      <c r="D184" s="46"/>
      <c r="E184" s="116"/>
      <c r="F184" s="146">
        <f>B209</f>
        <v>0.33622637692204421</v>
      </c>
      <c r="G184" s="146">
        <f>('[9]2.4_Totex'!$M$37+'[9]2.4_Totex'!$M$38)/1000</f>
        <v>0.33921883670603936</v>
      </c>
      <c r="H184" s="146">
        <f>K54/1000</f>
        <v>0.30149345118192966</v>
      </c>
      <c r="I184" s="764"/>
      <c r="J184" s="176"/>
      <c r="K184" s="482"/>
      <c r="L184" s="144"/>
      <c r="M184" s="477"/>
      <c r="N184" s="83"/>
      <c r="O184" s="477"/>
      <c r="Q184" s="83"/>
      <c r="R184" s="144"/>
      <c r="S184" s="762"/>
      <c r="T184" s="46" t="s">
        <v>128</v>
      </c>
      <c r="U184" s="116"/>
      <c r="V184" s="146">
        <f>F184</f>
        <v>0.33622637692204421</v>
      </c>
      <c r="W184" s="146">
        <v>0.33921883670603936</v>
      </c>
      <c r="X184" s="146">
        <f>H184</f>
        <v>0.30149345118192966</v>
      </c>
      <c r="Y184" s="764"/>
      <c r="Z184" s="510"/>
      <c r="AA184" s="83"/>
      <c r="AB184" s="83"/>
      <c r="AC184" s="83"/>
      <c r="AD184" s="83"/>
      <c r="AE184" s="83"/>
      <c r="AF184" s="336"/>
      <c r="AG184" s="83"/>
    </row>
    <row r="185" spans="1:33" ht="12.75" thickBot="1">
      <c r="B185" s="762"/>
      <c r="C185" s="46" t="s">
        <v>166</v>
      </c>
      <c r="D185" s="46"/>
      <c r="E185" s="116"/>
      <c r="F185" s="147">
        <f>F183-F184</f>
        <v>0.10235361594878301</v>
      </c>
      <c r="G185" s="147">
        <f>G183-G184</f>
        <v>9.0287080585497281E-2</v>
      </c>
      <c r="H185" s="147">
        <f>H183-H184</f>
        <v>0.1161256705299038</v>
      </c>
      <c r="I185" s="145">
        <f>H185-G185</f>
        <v>2.583858994440652E-2</v>
      </c>
      <c r="J185" s="176"/>
      <c r="K185" s="482"/>
      <c r="L185" s="144"/>
      <c r="M185" s="477"/>
      <c r="N185" s="83"/>
      <c r="O185" s="477"/>
      <c r="Q185" s="83"/>
      <c r="R185" s="144"/>
      <c r="S185" s="762"/>
      <c r="T185" s="46" t="s">
        <v>166</v>
      </c>
      <c r="U185" s="116"/>
      <c r="V185" s="147">
        <f>V183-V184</f>
        <v>0.10235361594878301</v>
      </c>
      <c r="W185" s="147">
        <f>W183-W184</f>
        <v>9.0287080585497281E-2</v>
      </c>
      <c r="X185" s="147">
        <f>X183-X184</f>
        <v>0.1161256705299038</v>
      </c>
      <c r="Y185" s="145">
        <f>W185-V185</f>
        <v>-1.2066535363285724E-2</v>
      </c>
      <c r="Z185" s="510"/>
      <c r="AA185" s="83"/>
      <c r="AB185" s="83"/>
      <c r="AC185" s="83"/>
      <c r="AD185" s="83"/>
      <c r="AE185" s="83"/>
      <c r="AF185" s="336"/>
      <c r="AG185" s="83"/>
    </row>
    <row r="186" spans="1:33" ht="13.5" customHeight="1" thickBot="1">
      <c r="B186" s="116"/>
      <c r="C186" s="116"/>
      <c r="D186" s="116"/>
      <c r="E186" s="213" t="s">
        <v>167</v>
      </c>
      <c r="F186" s="212">
        <f>F185/F184</f>
        <v>0.30441875764111809</v>
      </c>
      <c r="G186" s="212">
        <f>G185/G184</f>
        <v>0.26616175405299902</v>
      </c>
      <c r="H186" s="212">
        <f>H185/H184</f>
        <v>0.3851681357411319</v>
      </c>
      <c r="I186" s="47"/>
      <c r="J186" s="805"/>
      <c r="K186" s="805"/>
      <c r="L186" s="144"/>
      <c r="M186" s="770"/>
      <c r="N186" s="770"/>
      <c r="O186" s="770"/>
      <c r="Q186" s="770"/>
      <c r="R186" s="144"/>
      <c r="S186" s="116"/>
      <c r="T186" s="116"/>
      <c r="U186" s="213" t="s">
        <v>167</v>
      </c>
      <c r="V186" s="212">
        <f>V185/V184</f>
        <v>0.30441875764111809</v>
      </c>
      <c r="W186" s="212">
        <f>W185/W184</f>
        <v>0.26616175405299902</v>
      </c>
      <c r="X186" s="212">
        <f>X185/X184</f>
        <v>0.3851681357411319</v>
      </c>
      <c r="Y186" s="47"/>
      <c r="Z186" s="770"/>
      <c r="AA186" s="770"/>
      <c r="AB186" s="83"/>
      <c r="AC186" s="770"/>
      <c r="AD186" s="770"/>
      <c r="AE186" s="770"/>
      <c r="AF186" s="336"/>
      <c r="AG186" s="770"/>
    </row>
    <row r="187" spans="1:33" s="116" customFormat="1">
      <c r="F187" s="148"/>
      <c r="G187" s="148"/>
      <c r="H187" s="148"/>
      <c r="I187" s="47"/>
      <c r="J187" s="806"/>
      <c r="K187" s="806"/>
      <c r="L187" s="144"/>
      <c r="M187" s="771"/>
      <c r="N187" s="771"/>
      <c r="O187" s="771"/>
      <c r="Q187" s="771"/>
      <c r="R187" s="144"/>
      <c r="V187" s="148"/>
      <c r="W187" s="148"/>
      <c r="X187" s="148"/>
      <c r="Y187" s="47"/>
      <c r="Z187" s="771"/>
      <c r="AA187" s="771"/>
      <c r="AB187" s="83"/>
      <c r="AC187" s="771"/>
      <c r="AD187" s="771"/>
      <c r="AE187" s="771"/>
      <c r="AF187" s="336"/>
      <c r="AG187" s="771"/>
    </row>
    <row r="188" spans="1:33" ht="19.5" customHeight="1" thickBot="1">
      <c r="B188" s="99"/>
      <c r="C188" s="46" t="str">
        <f>C182</f>
        <v>£ billion, 2019-20 Prices</v>
      </c>
      <c r="D188" s="46"/>
      <c r="E188" s="116"/>
      <c r="F188" s="147" t="s">
        <v>125</v>
      </c>
      <c r="G188" s="147" t="s">
        <v>144</v>
      </c>
      <c r="H188" s="147" t="s">
        <v>475</v>
      </c>
      <c r="I188" s="154" t="s">
        <v>126</v>
      </c>
      <c r="J188" s="806"/>
      <c r="K188" s="806"/>
      <c r="L188" s="144"/>
      <c r="M188" s="771"/>
      <c r="N188" s="771"/>
      <c r="O188" s="771"/>
      <c r="Q188" s="771"/>
      <c r="R188" s="144"/>
      <c r="S188" s="99"/>
      <c r="T188" s="46" t="str">
        <f>T182</f>
        <v>£ billion, 2019-20 Prices</v>
      </c>
      <c r="U188" s="116"/>
      <c r="V188" s="147" t="s">
        <v>125</v>
      </c>
      <c r="W188" s="147" t="s">
        <v>144</v>
      </c>
      <c r="X188" s="147" t="s">
        <v>475</v>
      </c>
      <c r="Y188" s="154" t="s">
        <v>126</v>
      </c>
      <c r="Z188" s="771"/>
      <c r="AA188" s="771"/>
      <c r="AB188" s="477"/>
      <c r="AC188" s="771"/>
      <c r="AD188" s="771"/>
      <c r="AE188" s="771"/>
      <c r="AF188" s="336"/>
      <c r="AG188" s="771"/>
    </row>
    <row r="189" spans="1:33" ht="12.75" thickBot="1">
      <c r="A189" s="521">
        <v>4.6600000000000003E-2</v>
      </c>
      <c r="B189" s="761" t="s">
        <v>143</v>
      </c>
      <c r="C189" s="46" t="s">
        <v>127</v>
      </c>
      <c r="D189" s="46"/>
      <c r="E189" s="116"/>
      <c r="F189" s="146">
        <f>A208</f>
        <v>2.7777890797817903</v>
      </c>
      <c r="G189" s="146">
        <f>('[9]2.4_Totex'!$M$9)/1000-A189</f>
        <v>3.0353874748730729</v>
      </c>
      <c r="H189" s="146">
        <f>K59/1000</f>
        <v>2.6546273290170417</v>
      </c>
      <c r="I189" s="768"/>
      <c r="J189" s="482"/>
      <c r="K189" s="482"/>
      <c r="L189" s="155"/>
      <c r="M189" s="481"/>
      <c r="N189" s="481"/>
      <c r="O189" s="481"/>
      <c r="Q189" s="481"/>
      <c r="R189" s="144"/>
      <c r="S189" s="761" t="s">
        <v>143</v>
      </c>
      <c r="T189" s="46" t="s">
        <v>127</v>
      </c>
      <c r="U189" s="116"/>
      <c r="V189" s="146">
        <f>F189</f>
        <v>2.7777890797817903</v>
      </c>
      <c r="W189" s="493">
        <f>G189</f>
        <v>3.0353874748730729</v>
      </c>
      <c r="X189" s="493">
        <f>H189</f>
        <v>2.6546273290170417</v>
      </c>
      <c r="Y189" s="768"/>
      <c r="Z189" s="508"/>
      <c r="AA189" s="508"/>
      <c r="AB189" s="481"/>
      <c r="AC189" s="481"/>
      <c r="AD189" s="481"/>
      <c r="AE189" s="481"/>
      <c r="AF189" s="336"/>
      <c r="AG189" s="481"/>
    </row>
    <row r="190" spans="1:33" ht="12.75" thickBot="1">
      <c r="A190" s="521">
        <v>8.1413898467851062E-2</v>
      </c>
      <c r="B190" s="762"/>
      <c r="C190" s="46" t="s">
        <v>128</v>
      </c>
      <c r="D190" s="46"/>
      <c r="E190" s="116"/>
      <c r="F190" s="146">
        <f>B208</f>
        <v>3.2507814597696743</v>
      </c>
      <c r="G190" s="146">
        <f>'[9]2.4_Totex'!$M$36/1000</f>
        <v>3.5065580484662564</v>
      </c>
      <c r="H190" s="146">
        <f>K53/1000</f>
        <v>3.1280571188798247</v>
      </c>
      <c r="I190" s="769"/>
      <c r="J190" s="482"/>
      <c r="K190" s="482"/>
      <c r="L190" s="155"/>
      <c r="M190" s="481"/>
      <c r="N190" s="481"/>
      <c r="O190" s="481"/>
      <c r="Q190" s="481"/>
      <c r="R190" s="144"/>
      <c r="S190" s="762"/>
      <c r="T190" s="46" t="s">
        <v>128</v>
      </c>
      <c r="U190" s="116"/>
      <c r="V190" s="146">
        <f>F190+(($BA$52+$BB$52)/1000)</f>
        <v>3.186824963424316</v>
      </c>
      <c r="W190" s="493">
        <f>G190+(($BA$52+$BB$52)/1000)</f>
        <v>3.4426015521208981</v>
      </c>
      <c r="X190" s="493">
        <f>H190+(($BA$52+$BB$52)/1000)</f>
        <v>3.0641006225344665</v>
      </c>
      <c r="Y190" s="769"/>
      <c r="Z190" s="508"/>
      <c r="AA190" s="508"/>
      <c r="AB190" s="481"/>
      <c r="AC190" s="481"/>
      <c r="AD190" s="481"/>
      <c r="AE190" s="481"/>
      <c r="AF190" s="336"/>
      <c r="AG190" s="481"/>
    </row>
    <row r="191" spans="1:33" ht="12.75" thickBot="1">
      <c r="B191" s="762"/>
      <c r="C191" s="46" t="s">
        <v>166</v>
      </c>
      <c r="D191" s="46"/>
      <c r="E191" s="116"/>
      <c r="F191" s="441">
        <f>F189-F190</f>
        <v>-0.4729923799878839</v>
      </c>
      <c r="G191" s="441">
        <f>G189-G190</f>
        <v>-0.47117057359318348</v>
      </c>
      <c r="H191" s="441">
        <f>H189-H190</f>
        <v>-0.47342978986278306</v>
      </c>
      <c r="I191" s="441">
        <f>H191-G191</f>
        <v>-2.2592162695995732E-3</v>
      </c>
      <c r="J191" s="483"/>
      <c r="K191" s="483"/>
      <c r="L191" s="155"/>
      <c r="M191" s="481"/>
      <c r="N191" s="501"/>
      <c r="O191" s="501"/>
      <c r="P191" s="155"/>
      <c r="Q191" s="481"/>
      <c r="R191" s="144"/>
      <c r="S191" s="762"/>
      <c r="T191" s="46" t="s">
        <v>166</v>
      </c>
      <c r="U191" s="116"/>
      <c r="V191" s="441">
        <f>V189-V190</f>
        <v>-0.40903588364252563</v>
      </c>
      <c r="W191" s="441">
        <f>W189-W190</f>
        <v>-0.40721407724782521</v>
      </c>
      <c r="X191" s="441">
        <f>X189-X190</f>
        <v>-0.40947329351742479</v>
      </c>
      <c r="Y191" s="441">
        <f>W191-V191</f>
        <v>1.8218063947004204E-3</v>
      </c>
      <c r="Z191" s="501"/>
      <c r="AA191" s="501"/>
      <c r="AB191" s="481"/>
      <c r="AC191" s="481"/>
      <c r="AD191" s="501"/>
      <c r="AE191" s="501"/>
      <c r="AF191" s="336"/>
      <c r="AG191" s="481"/>
    </row>
    <row r="192" spans="1:33" ht="12.75" thickBot="1">
      <c r="B192" s="116"/>
      <c r="C192" s="116"/>
      <c r="D192" s="116"/>
      <c r="E192" s="213" t="s">
        <v>167</v>
      </c>
      <c r="F192" s="212">
        <f>F191/F190</f>
        <v>-0.14550113129456466</v>
      </c>
      <c r="G192" s="212">
        <f>G191/G190</f>
        <v>-0.1343683940436321</v>
      </c>
      <c r="H192" s="212">
        <f>H191/H190</f>
        <v>-0.15134947089211753</v>
      </c>
      <c r="I192" s="47"/>
      <c r="J192" s="500"/>
      <c r="K192" s="500"/>
      <c r="L192" s="144"/>
      <c r="M192" s="408"/>
      <c r="N192" s="408"/>
      <c r="O192" s="408"/>
      <c r="Q192" s="408"/>
      <c r="R192" s="144"/>
      <c r="S192" s="116"/>
      <c r="T192" s="116"/>
      <c r="U192" s="213" t="s">
        <v>167</v>
      </c>
      <c r="V192" s="212">
        <f>V191/V190</f>
        <v>-0.12835216503482114</v>
      </c>
      <c r="W192" s="212">
        <f>W191/W190</f>
        <v>-0.11828672911535495</v>
      </c>
      <c r="X192" s="212">
        <f>X191/X190</f>
        <v>-0.13363572021950426</v>
      </c>
      <c r="Y192" s="47"/>
      <c r="Z192" s="408"/>
      <c r="AA192" s="408"/>
      <c r="AB192" s="477"/>
      <c r="AC192" s="408"/>
      <c r="AD192" s="408"/>
      <c r="AE192" s="408"/>
      <c r="AF192" s="336"/>
      <c r="AG192" s="408"/>
    </row>
    <row r="193" spans="1:33" s="116" customFormat="1">
      <c r="F193" s="148"/>
      <c r="G193" s="148"/>
      <c r="H193" s="148"/>
      <c r="I193" s="47"/>
      <c r="J193" s="176"/>
      <c r="K193" s="482"/>
      <c r="L193" s="144"/>
      <c r="M193" s="477"/>
      <c r="N193" s="83"/>
      <c r="O193" s="83"/>
      <c r="Q193" s="83"/>
      <c r="R193" s="144"/>
      <c r="V193" s="148"/>
      <c r="W193" s="148"/>
      <c r="X193" s="148"/>
      <c r="Y193" s="47"/>
      <c r="Z193" s="510"/>
      <c r="AA193" s="481"/>
      <c r="AB193" s="477"/>
      <c r="AC193" s="83"/>
      <c r="AD193" s="83"/>
      <c r="AE193" s="83"/>
      <c r="AF193" s="336"/>
      <c r="AG193" s="83"/>
    </row>
    <row r="194" spans="1:33" ht="12.75" thickBot="1">
      <c r="B194" s="99"/>
      <c r="C194" s="46" t="str">
        <f>C182</f>
        <v>£ billion, 2019-20 Prices</v>
      </c>
      <c r="D194" s="46"/>
      <c r="E194" s="116"/>
      <c r="F194" s="147" t="s">
        <v>125</v>
      </c>
      <c r="G194" s="147" t="s">
        <v>144</v>
      </c>
      <c r="H194" s="147" t="s">
        <v>475</v>
      </c>
      <c r="I194" s="154" t="s">
        <v>126</v>
      </c>
      <c r="J194" s="176"/>
      <c r="K194" s="482"/>
      <c r="L194" s="144"/>
      <c r="M194" s="477"/>
      <c r="N194" s="481"/>
      <c r="O194" s="83"/>
      <c r="Q194" s="83"/>
      <c r="R194" s="144"/>
      <c r="S194" s="99"/>
      <c r="T194" s="46" t="str">
        <f>T182</f>
        <v>£ billion, 2019-20 Prices</v>
      </c>
      <c r="U194" s="116"/>
      <c r="V194" s="147" t="s">
        <v>125</v>
      </c>
      <c r="W194" s="147" t="s">
        <v>144</v>
      </c>
      <c r="X194" s="147" t="s">
        <v>475</v>
      </c>
      <c r="Y194" s="154" t="s">
        <v>126</v>
      </c>
      <c r="Z194" s="510"/>
      <c r="AA194" s="481"/>
      <c r="AB194" s="477"/>
      <c r="AC194" s="83"/>
      <c r="AD194" s="83"/>
      <c r="AE194" s="83"/>
      <c r="AF194" s="336"/>
      <c r="AG194" s="83"/>
    </row>
    <row r="195" spans="1:33" ht="12.75" thickBot="1">
      <c r="B195" s="761" t="s">
        <v>145</v>
      </c>
      <c r="C195" s="46" t="s">
        <v>127</v>
      </c>
      <c r="D195" s="46"/>
      <c r="E195" s="116"/>
      <c r="F195" s="142">
        <f>A210</f>
        <v>2.9284165701411086E-2</v>
      </c>
      <c r="G195" s="142">
        <f>'[9]2.4_Totex'!$M$12/1000</f>
        <v>2.44142E-2</v>
      </c>
      <c r="H195" s="142">
        <f>K61/1000</f>
        <v>3.2553336462083672E-2</v>
      </c>
      <c r="I195" s="768"/>
      <c r="J195" s="176"/>
      <c r="K195" s="482"/>
      <c r="L195" s="144"/>
      <c r="M195" s="477"/>
      <c r="N195" s="83"/>
      <c r="O195" s="83"/>
      <c r="Q195" s="83"/>
      <c r="R195" s="144"/>
      <c r="S195" s="761" t="s">
        <v>145</v>
      </c>
      <c r="T195" s="46" t="s">
        <v>127</v>
      </c>
      <c r="U195" s="116"/>
      <c r="V195" s="142">
        <f>F195</f>
        <v>2.9284165701411086E-2</v>
      </c>
      <c r="W195" s="142">
        <v>2.4414199999999997E-2</v>
      </c>
      <c r="X195" s="142">
        <f>H195</f>
        <v>3.2553336462083672E-2</v>
      </c>
      <c r="Y195" s="768"/>
      <c r="Z195" s="510"/>
      <c r="AA195" s="481"/>
      <c r="AB195" s="477"/>
      <c r="AC195" s="83"/>
      <c r="AD195" s="83"/>
      <c r="AE195" s="83"/>
      <c r="AF195" s="336"/>
      <c r="AG195" s="83"/>
    </row>
    <row r="196" spans="1:33" ht="12.75" thickBot="1">
      <c r="B196" s="762"/>
      <c r="C196" s="46" t="s">
        <v>128</v>
      </c>
      <c r="D196" s="46"/>
      <c r="E196" s="116"/>
      <c r="F196" s="142">
        <f>B210</f>
        <v>9.7212086484764447E-3</v>
      </c>
      <c r="G196" s="142">
        <f>'[9]2.4_Totex'!$M$39/1000</f>
        <v>9.7212086484764464E-3</v>
      </c>
      <c r="H196" s="142">
        <f>K55/1000</f>
        <v>9.9728617759134615E-3</v>
      </c>
      <c r="I196" s="769"/>
      <c r="J196" s="176"/>
      <c r="K196" s="482"/>
      <c r="L196" s="144"/>
      <c r="M196" s="502"/>
      <c r="N196" s="492"/>
      <c r="O196" s="492"/>
      <c r="Q196" s="83"/>
      <c r="R196" s="144"/>
      <c r="S196" s="762"/>
      <c r="T196" s="46" t="s">
        <v>128</v>
      </c>
      <c r="U196" s="116"/>
      <c r="V196" s="142">
        <f>F196</f>
        <v>9.7212086484764447E-3</v>
      </c>
      <c r="W196" s="142">
        <v>9.7212086484764447E-3</v>
      </c>
      <c r="X196" s="142">
        <f>H196</f>
        <v>9.9728617759134615E-3</v>
      </c>
      <c r="Y196" s="769"/>
      <c r="Z196" s="510"/>
      <c r="AA196" s="481"/>
      <c r="AB196" s="477"/>
      <c r="AC196" s="83"/>
      <c r="AD196" s="83"/>
      <c r="AE196" s="83"/>
      <c r="AF196" s="336"/>
      <c r="AG196" s="83"/>
    </row>
    <row r="197" spans="1:33" ht="12.75" thickBot="1">
      <c r="B197" s="762"/>
      <c r="C197" s="46" t="s">
        <v>166</v>
      </c>
      <c r="D197" s="46"/>
      <c r="E197" s="116"/>
      <c r="F197" s="145">
        <f>F195-F196</f>
        <v>1.9562957052934642E-2</v>
      </c>
      <c r="G197" s="145">
        <f>G195-G196</f>
        <v>1.4692991351523554E-2</v>
      </c>
      <c r="H197" s="145">
        <f>H195-H196</f>
        <v>2.2580474686170211E-2</v>
      </c>
      <c r="I197" s="145">
        <f>H197-G197</f>
        <v>7.8874833346466566E-3</v>
      </c>
      <c r="J197" s="176"/>
      <c r="K197" s="482"/>
      <c r="L197" s="144"/>
      <c r="M197" s="492"/>
      <c r="N197" s="492"/>
      <c r="O197" s="492"/>
      <c r="Q197" s="83"/>
      <c r="R197" s="144"/>
      <c r="S197" s="762"/>
      <c r="T197" s="46" t="s">
        <v>166</v>
      </c>
      <c r="U197" s="116"/>
      <c r="V197" s="145">
        <f>V195-V196</f>
        <v>1.9562957052934642E-2</v>
      </c>
      <c r="W197" s="145">
        <f>W195-W196</f>
        <v>1.4692991351523552E-2</v>
      </c>
      <c r="X197" s="145">
        <f>X195-X196</f>
        <v>2.2580474686170211E-2</v>
      </c>
      <c r="Y197" s="145">
        <f>W197-V197</f>
        <v>-4.8699657014110893E-3</v>
      </c>
      <c r="Z197" s="510"/>
      <c r="AA197" s="481"/>
      <c r="AB197" s="477"/>
      <c r="AC197" s="83"/>
      <c r="AD197" s="83"/>
      <c r="AE197" s="83"/>
      <c r="AF197" s="336"/>
    </row>
    <row r="198" spans="1:33" ht="12.75" thickBot="1">
      <c r="B198" s="116"/>
      <c r="C198" s="116"/>
      <c r="D198" s="116"/>
      <c r="E198" s="213" t="s">
        <v>167</v>
      </c>
      <c r="F198" s="212">
        <f>F197/F196</f>
        <v>2.0123996676072418</v>
      </c>
      <c r="G198" s="212">
        <f>G197/G196</f>
        <v>1.5114366827036789</v>
      </c>
      <c r="H198" s="212">
        <f>H197/H196</f>
        <v>2.2641920838316199</v>
      </c>
      <c r="I198" s="47"/>
      <c r="J198" s="176"/>
      <c r="K198" s="482"/>
      <c r="L198" s="144"/>
      <c r="M198" s="492"/>
      <c r="N198" s="492"/>
      <c r="O198" s="492"/>
      <c r="R198" s="144"/>
      <c r="S198" s="116"/>
      <c r="T198" s="116"/>
      <c r="U198" s="213" t="s">
        <v>167</v>
      </c>
      <c r="V198" s="212">
        <f>V197/V196</f>
        <v>2.0123996676072418</v>
      </c>
      <c r="W198" s="212">
        <f>W197/W196</f>
        <v>1.5114366827036789</v>
      </c>
      <c r="X198" s="212">
        <f>X197/X196</f>
        <v>2.2641920838316199</v>
      </c>
      <c r="Y198" s="47"/>
      <c r="Z198" s="510"/>
      <c r="AA198" s="481"/>
      <c r="AB198" s="477"/>
      <c r="AC198" s="83"/>
      <c r="AD198" s="83"/>
      <c r="AE198" s="83"/>
      <c r="AF198" s="336"/>
    </row>
    <row r="199" spans="1:33" s="116" customFormat="1">
      <c r="F199" s="148"/>
      <c r="G199" s="148"/>
      <c r="H199" s="148"/>
      <c r="I199" s="47"/>
      <c r="J199" s="176"/>
      <c r="K199" s="482"/>
      <c r="L199" s="144"/>
      <c r="M199" s="492"/>
      <c r="N199" s="492"/>
      <c r="O199" s="492"/>
      <c r="R199" s="144"/>
      <c r="V199" s="148"/>
      <c r="W199" s="148"/>
      <c r="X199" s="148"/>
      <c r="Y199" s="47"/>
      <c r="Z199" s="510"/>
      <c r="AA199" s="481"/>
      <c r="AB199" s="477"/>
      <c r="AC199" s="83"/>
      <c r="AD199" s="83"/>
      <c r="AE199" s="83"/>
      <c r="AF199" s="336"/>
    </row>
    <row r="200" spans="1:33" ht="12.75" thickBot="1">
      <c r="B200" s="99"/>
      <c r="C200" s="46" t="str">
        <f>C182</f>
        <v>£ billion, 2019-20 Prices</v>
      </c>
      <c r="D200" s="46"/>
      <c r="E200" s="116"/>
      <c r="F200" s="147" t="s">
        <v>125</v>
      </c>
      <c r="G200" s="147" t="s">
        <v>144</v>
      </c>
      <c r="H200" s="147" t="s">
        <v>475</v>
      </c>
      <c r="I200" s="154" t="s">
        <v>126</v>
      </c>
      <c r="J200" s="176"/>
      <c r="K200" s="482"/>
      <c r="L200" s="144"/>
      <c r="M200" s="492"/>
      <c r="N200" s="492"/>
      <c r="O200" s="492"/>
      <c r="R200" s="144"/>
      <c r="S200" s="99"/>
      <c r="T200" s="46" t="str">
        <f>T182</f>
        <v>£ billion, 2019-20 Prices</v>
      </c>
      <c r="U200" s="116"/>
      <c r="V200" s="147" t="s">
        <v>125</v>
      </c>
      <c r="W200" s="147" t="s">
        <v>144</v>
      </c>
      <c r="X200" s="147" t="s">
        <v>475</v>
      </c>
      <c r="Y200" s="154" t="s">
        <v>126</v>
      </c>
      <c r="Z200" s="510"/>
      <c r="AA200" s="481"/>
      <c r="AB200" s="477"/>
      <c r="AC200" s="83"/>
      <c r="AD200" s="83"/>
      <c r="AE200" s="83"/>
      <c r="AF200" s="336"/>
    </row>
    <row r="201" spans="1:33" ht="12.75" thickBot="1">
      <c r="B201" s="761" t="s">
        <v>146</v>
      </c>
      <c r="C201" s="46" t="s">
        <v>127</v>
      </c>
      <c r="D201" s="46"/>
      <c r="E201" s="116"/>
      <c r="F201" s="146">
        <f>A211</f>
        <v>0.25324125837847378</v>
      </c>
      <c r="G201" s="146">
        <f>'[9]2.4_Totex'!$M$22/1000</f>
        <v>0.25702112263732235</v>
      </c>
      <c r="H201" s="146">
        <f>K62/1000</f>
        <v>0.25541054643709593</v>
      </c>
      <c r="I201" s="768"/>
      <c r="J201" s="176"/>
      <c r="K201" s="482"/>
      <c r="L201" s="144"/>
      <c r="M201" s="492"/>
      <c r="N201" s="492"/>
      <c r="O201" s="492"/>
      <c r="R201" s="144"/>
      <c r="S201" s="761" t="s">
        <v>146</v>
      </c>
      <c r="T201" s="46" t="s">
        <v>127</v>
      </c>
      <c r="U201" s="116"/>
      <c r="V201" s="146">
        <f>F201</f>
        <v>0.25324125837847378</v>
      </c>
      <c r="W201" s="146">
        <v>0.25702112263732224</v>
      </c>
      <c r="X201" s="146">
        <f>H201</f>
        <v>0.25541054643709593</v>
      </c>
      <c r="Y201" s="768"/>
      <c r="Z201" s="510"/>
      <c r="AA201" s="481"/>
      <c r="AB201" s="477"/>
      <c r="AC201" s="83"/>
      <c r="AD201" s="83"/>
      <c r="AE201" s="83"/>
      <c r="AF201" s="336"/>
    </row>
    <row r="202" spans="1:33" ht="13.5" customHeight="1" thickBot="1">
      <c r="B202" s="762"/>
      <c r="C202" s="46" t="s">
        <v>128</v>
      </c>
      <c r="D202" s="46"/>
      <c r="E202" s="116"/>
      <c r="F202" s="146">
        <f>B211</f>
        <v>0.25448982091592942</v>
      </c>
      <c r="G202" s="146">
        <f>'[9]2.4_Totex'!$M$48/1000</f>
        <v>0.25435112077614691</v>
      </c>
      <c r="H202" s="146">
        <f>K56/1000</f>
        <v>0.25769873999258758</v>
      </c>
      <c r="I202" s="769"/>
      <c r="J202" s="176"/>
      <c r="K202" s="482"/>
      <c r="L202" s="144"/>
      <c r="M202" s="492"/>
      <c r="N202" s="492"/>
      <c r="O202" s="492"/>
      <c r="R202" s="144"/>
      <c r="S202" s="762"/>
      <c r="T202" s="46" t="s">
        <v>128</v>
      </c>
      <c r="U202" s="116"/>
      <c r="V202" s="146">
        <f>F202</f>
        <v>0.25448982091592942</v>
      </c>
      <c r="W202" s="146">
        <v>0.25435112077614691</v>
      </c>
      <c r="X202" s="146">
        <f>H202</f>
        <v>0.25769873999258758</v>
      </c>
      <c r="Y202" s="769"/>
      <c r="Z202" s="510"/>
      <c r="AA202" s="481"/>
      <c r="AB202" s="477"/>
      <c r="AC202" s="83"/>
      <c r="AD202" s="83"/>
      <c r="AE202" s="83"/>
      <c r="AF202" s="336"/>
    </row>
    <row r="203" spans="1:33" ht="13.5" customHeight="1" thickBot="1">
      <c r="B203" s="762"/>
      <c r="C203" s="46" t="s">
        <v>166</v>
      </c>
      <c r="D203" s="46"/>
      <c r="E203" s="116"/>
      <c r="F203" s="441">
        <f>F201-F202</f>
        <v>-1.2485625374556442E-3</v>
      </c>
      <c r="G203" s="147">
        <f>G201-G202</f>
        <v>2.6700018611754417E-3</v>
      </c>
      <c r="H203" s="147">
        <f>H201-H202</f>
        <v>-2.2881935554916466E-3</v>
      </c>
      <c r="I203" s="145">
        <f>H203-G203</f>
        <v>-4.9581954166670883E-3</v>
      </c>
      <c r="J203" s="805"/>
      <c r="K203" s="805"/>
      <c r="L203" s="144"/>
      <c r="M203" s="477"/>
      <c r="N203" s="770"/>
      <c r="O203" s="770"/>
      <c r="R203" s="144"/>
      <c r="S203" s="762"/>
      <c r="T203" s="46" t="s">
        <v>166</v>
      </c>
      <c r="U203" s="116"/>
      <c r="V203" s="441">
        <f>V201-V202</f>
        <v>-1.2485625374556442E-3</v>
      </c>
      <c r="W203" s="147">
        <f>W201-W202</f>
        <v>2.6700018611753307E-3</v>
      </c>
      <c r="X203" s="147">
        <f>X201-X202</f>
        <v>-2.2881935554916466E-3</v>
      </c>
      <c r="Y203" s="145">
        <f>W203-V203</f>
        <v>3.9185643986309748E-3</v>
      </c>
      <c r="Z203" s="770"/>
      <c r="AA203" s="770"/>
      <c r="AB203" s="477"/>
      <c r="AC203" s="770"/>
      <c r="AD203" s="770"/>
      <c r="AE203" s="83"/>
      <c r="AF203" s="336"/>
    </row>
    <row r="204" spans="1:33" ht="12.75" thickBot="1">
      <c r="C204" s="116"/>
      <c r="D204" s="116"/>
      <c r="E204" s="213" t="s">
        <v>167</v>
      </c>
      <c r="F204" s="442">
        <f>F203/F202</f>
        <v>-4.9061394006328692E-3</v>
      </c>
      <c r="G204" s="212">
        <f>G203/G202</f>
        <v>1.0497307238230322E-2</v>
      </c>
      <c r="H204" s="212">
        <f>H203/H202</f>
        <v>-8.8793354424529358E-3</v>
      </c>
      <c r="J204" s="806"/>
      <c r="K204" s="806"/>
      <c r="M204" s="83"/>
      <c r="N204" s="771"/>
      <c r="O204" s="771"/>
      <c r="T204" s="116"/>
      <c r="U204" s="213" t="s">
        <v>167</v>
      </c>
      <c r="V204" s="212">
        <f>V203/V202</f>
        <v>-4.9061394006328692E-3</v>
      </c>
      <c r="W204" s="212">
        <f>W203/W202</f>
        <v>1.0497307238229885E-2</v>
      </c>
      <c r="X204" s="212">
        <f>X203/X202</f>
        <v>-8.8793354424529358E-3</v>
      </c>
      <c r="Z204" s="771"/>
      <c r="AA204" s="771"/>
      <c r="AB204" s="83"/>
      <c r="AC204" s="771"/>
      <c r="AD204" s="771"/>
      <c r="AE204" s="83"/>
      <c r="AF204" s="336"/>
    </row>
    <row r="205" spans="1:33" ht="18" customHeight="1">
      <c r="E205" s="100"/>
      <c r="F205" s="155"/>
      <c r="G205" s="155"/>
      <c r="J205" s="806"/>
      <c r="K205" s="806"/>
      <c r="M205" s="83"/>
      <c r="N205" s="771"/>
      <c r="O205" s="771"/>
      <c r="X205" s="480"/>
      <c r="Z205" s="771"/>
      <c r="AA205" s="771"/>
      <c r="AB205" s="83"/>
      <c r="AC205" s="771"/>
      <c r="AD205" s="771"/>
      <c r="AE205" s="83"/>
      <c r="AF205" s="336"/>
    </row>
    <row r="206" spans="1:33">
      <c r="A206" s="479" t="s">
        <v>315</v>
      </c>
      <c r="B206" s="479"/>
      <c r="E206" s="215" t="s">
        <v>168</v>
      </c>
      <c r="F206" s="217">
        <f t="shared" ref="F206:G208" si="74">F183+F189+F195+F201</f>
        <v>3.4988944967325022</v>
      </c>
      <c r="G206" s="217">
        <f t="shared" si="74"/>
        <v>3.746328714801932</v>
      </c>
      <c r="H206" s="217">
        <f t="shared" ref="H206" si="75">H183+H189+H195+H201</f>
        <v>3.3602103336280549</v>
      </c>
      <c r="I206" s="217">
        <f>SUM(AU6:BB7)/1000</f>
        <v>3.3602103336280544</v>
      </c>
      <c r="J206" s="238">
        <f>I206-H206</f>
        <v>0</v>
      </c>
      <c r="K206" s="238"/>
      <c r="M206" s="83"/>
      <c r="N206" s="477"/>
      <c r="O206" s="477"/>
      <c r="U206" s="215" t="s">
        <v>168</v>
      </c>
      <c r="V206" s="217">
        <f t="shared" ref="V206:W208" si="76">V183+V189+V195+V201</f>
        <v>3.4988944967325022</v>
      </c>
      <c r="W206" s="217">
        <f>W183+W189+W195+W201</f>
        <v>3.7463287148019315</v>
      </c>
      <c r="X206" s="217">
        <f>X183+X189+X195+X201</f>
        <v>3.3602103336280549</v>
      </c>
      <c r="Y206" s="217">
        <f>SUM(AU32:BB33)/1000</f>
        <v>3.3602103336280544</v>
      </c>
      <c r="Z206" s="477"/>
      <c r="AA206" s="477"/>
      <c r="AB206" s="83"/>
      <c r="AC206" s="477"/>
      <c r="AD206" s="477"/>
      <c r="AE206" s="83"/>
      <c r="AF206" s="336"/>
    </row>
    <row r="207" spans="1:33">
      <c r="A207" s="516" t="s">
        <v>313</v>
      </c>
      <c r="B207" s="516" t="s">
        <v>314</v>
      </c>
      <c r="E207" s="215" t="s">
        <v>168</v>
      </c>
      <c r="F207" s="217">
        <f t="shared" si="74"/>
        <v>3.8512188662561244</v>
      </c>
      <c r="G207" s="217">
        <f t="shared" si="74"/>
        <v>4.1098492145969194</v>
      </c>
      <c r="H207" s="217">
        <f t="shared" ref="H207" si="77">H184+H190+H196+H202</f>
        <v>3.6972221718302558</v>
      </c>
      <c r="I207" s="217">
        <f>SUM(AU8:BB8)/1000</f>
        <v>3.6972221718302563</v>
      </c>
      <c r="J207" s="238">
        <f t="shared" ref="J207:J208" si="78">I207-H207</f>
        <v>0</v>
      </c>
      <c r="K207" s="238"/>
      <c r="M207" s="83"/>
      <c r="N207" s="477"/>
      <c r="O207" s="477"/>
      <c r="U207" s="215" t="s">
        <v>168</v>
      </c>
      <c r="V207" s="217">
        <f t="shared" si="76"/>
        <v>3.7872623699107661</v>
      </c>
      <c r="W207" s="217">
        <f>W184+W190+W196+W202</f>
        <v>4.0458927182515607</v>
      </c>
      <c r="X207" s="217">
        <f>X184+X190+X196+X202</f>
        <v>3.6332656754848975</v>
      </c>
      <c r="Y207" s="217">
        <f>SUM(AU34:BB34)/1000</f>
        <v>3.633265675484898</v>
      </c>
      <c r="Z207" s="477"/>
      <c r="AA207" s="477"/>
      <c r="AB207" s="83"/>
      <c r="AC207" s="477"/>
      <c r="AD207" s="477"/>
      <c r="AE207" s="83"/>
      <c r="AF207" s="336"/>
    </row>
    <row r="208" spans="1:33">
      <c r="A208" s="517">
        <v>2.7777890797817903</v>
      </c>
      <c r="B208" s="517">
        <v>3.2507814597696743</v>
      </c>
      <c r="C208" s="116"/>
      <c r="D208" s="439"/>
      <c r="E208" s="215" t="s">
        <v>168</v>
      </c>
      <c r="F208" s="217">
        <f t="shared" si="74"/>
        <v>-0.35232436952362189</v>
      </c>
      <c r="G208" s="217">
        <f t="shared" si="74"/>
        <v>-0.36352049979498718</v>
      </c>
      <c r="H208" s="217">
        <f t="shared" ref="H208" si="79">H185+H191+H197+H203</f>
        <v>-0.33701183820220071</v>
      </c>
      <c r="I208" s="217">
        <f>I206-I207</f>
        <v>-0.33701183820220182</v>
      </c>
      <c r="J208" s="238">
        <f t="shared" si="78"/>
        <v>-1.1102230246251565E-15</v>
      </c>
      <c r="K208" s="484"/>
      <c r="M208" s="83"/>
      <c r="N208" s="503"/>
      <c r="O208" s="503"/>
      <c r="U208" s="215" t="s">
        <v>168</v>
      </c>
      <c r="V208" s="217">
        <f t="shared" si="76"/>
        <v>-0.28836787317826362</v>
      </c>
      <c r="W208" s="217">
        <f t="shared" si="76"/>
        <v>-0.29956400344962902</v>
      </c>
      <c r="X208" s="217">
        <f t="shared" ref="X208" si="80">X185+X191+X197+X203</f>
        <v>-0.27305534185684244</v>
      </c>
      <c r="Y208" s="217">
        <f>Y206-Y207</f>
        <v>-0.27305534185684355</v>
      </c>
      <c r="Z208" s="511"/>
      <c r="AA208" s="511"/>
      <c r="AB208" s="511"/>
      <c r="AC208" s="503"/>
      <c r="AD208" s="503"/>
      <c r="AE208" s="83"/>
      <c r="AF208" s="336"/>
    </row>
    <row r="209" spans="1:32">
      <c r="A209" s="517">
        <v>0.43857999287082722</v>
      </c>
      <c r="B209" s="517">
        <v>0.33622637692204421</v>
      </c>
      <c r="C209" s="116"/>
      <c r="D209" s="47"/>
      <c r="F209" s="294">
        <f>F208/F207</f>
        <v>-9.1483860502097641E-2</v>
      </c>
      <c r="G209" s="294">
        <f>G208/G207</f>
        <v>-8.8451055212408827E-2</v>
      </c>
      <c r="H209" s="294">
        <f>H208/H207</f>
        <v>-9.1152714805712617E-2</v>
      </c>
      <c r="J209" s="500"/>
      <c r="K209" s="500"/>
      <c r="M209" s="83"/>
      <c r="N209" s="408"/>
      <c r="O209" s="408"/>
      <c r="V209" s="370">
        <f>V208/V207</f>
        <v>-7.6141509357604401E-2</v>
      </c>
      <c r="W209" s="370">
        <f>W208/W207</f>
        <v>-7.404150933074817E-2</v>
      </c>
      <c r="X209" s="370">
        <f>X208/X207</f>
        <v>-7.5154245861858232E-2</v>
      </c>
      <c r="Y209" s="370">
        <f>Y208/Y207</f>
        <v>-7.5154245861858537E-2</v>
      </c>
      <c r="Z209" s="408"/>
      <c r="AA209" s="408"/>
      <c r="AB209" s="83"/>
      <c r="AC209" s="408"/>
      <c r="AD209" s="408"/>
      <c r="AE209" s="83"/>
      <c r="AF209" s="336"/>
    </row>
    <row r="210" spans="1:32">
      <c r="A210" s="517">
        <v>2.9284165701411086E-2</v>
      </c>
      <c r="B210" s="517">
        <v>9.7212086484764447E-3</v>
      </c>
      <c r="C210" s="116"/>
      <c r="D210" s="47"/>
      <c r="J210" s="176"/>
      <c r="K210" s="176"/>
      <c r="M210" s="83"/>
      <c r="N210" s="83"/>
      <c r="O210" s="83"/>
      <c r="U210" s="480"/>
      <c r="V210" s="480"/>
      <c r="W210" s="480"/>
      <c r="X210" s="480"/>
      <c r="Y210" s="480"/>
      <c r="Z210" s="83"/>
      <c r="AA210" s="83"/>
      <c r="AB210" s="83"/>
      <c r="AC210" s="83"/>
      <c r="AD210" s="83"/>
      <c r="AE210" s="83"/>
      <c r="AF210" s="336"/>
    </row>
    <row r="211" spans="1:32">
      <c r="A211" s="517">
        <v>0.25324125837847378</v>
      </c>
      <c r="B211" s="517">
        <v>0.25448982091592942</v>
      </c>
      <c r="C211" s="116"/>
      <c r="D211" s="47"/>
      <c r="J211" s="176"/>
      <c r="K211" s="176"/>
      <c r="M211" s="418"/>
      <c r="N211" s="504"/>
      <c r="O211" s="466"/>
      <c r="U211" s="480"/>
      <c r="V211" s="480"/>
      <c r="W211" s="480"/>
      <c r="X211" s="480"/>
      <c r="Y211" s="480"/>
      <c r="Z211" s="83"/>
      <c r="AA211" s="83"/>
      <c r="AB211" s="83"/>
      <c r="AC211" s="83"/>
      <c r="AD211" s="83"/>
      <c r="AE211" s="83"/>
      <c r="AF211" s="336"/>
    </row>
    <row r="212" spans="1:32">
      <c r="A212" s="440"/>
      <c r="B212" s="440"/>
      <c r="C212" s="155"/>
      <c r="D212" s="438"/>
      <c r="F212" s="47"/>
      <c r="G212" s="47"/>
      <c r="I212" s="47"/>
      <c r="M212" s="418"/>
      <c r="N212" s="418"/>
      <c r="O212" s="505"/>
      <c r="U212" s="480"/>
      <c r="V212" s="480"/>
      <c r="W212" s="480"/>
      <c r="X212" s="480"/>
      <c r="Y212" s="480"/>
      <c r="Z212" s="83"/>
      <c r="AA212" s="83"/>
      <c r="AF212" s="336"/>
    </row>
    <row r="213" spans="1:32" s="116" customFormat="1">
      <c r="A213" s="440"/>
      <c r="B213" s="440"/>
      <c r="C213" s="155"/>
      <c r="D213" s="438"/>
      <c r="F213" s="47"/>
      <c r="G213" s="47"/>
      <c r="I213" s="47"/>
      <c r="M213" s="382"/>
      <c r="N213" s="382"/>
      <c r="O213" s="445"/>
      <c r="U213" s="480"/>
      <c r="V213" s="480"/>
      <c r="W213" s="480"/>
      <c r="X213" s="480"/>
      <c r="Y213" s="480"/>
      <c r="Z213" s="83"/>
      <c r="AA213" s="83"/>
      <c r="AF213" s="336"/>
    </row>
    <row r="214" spans="1:32" s="116" customFormat="1">
      <c r="A214" s="440"/>
      <c r="B214" s="440"/>
      <c r="C214" s="155"/>
      <c r="D214" s="438"/>
      <c r="F214" s="47"/>
      <c r="G214" s="47"/>
      <c r="I214" s="47"/>
      <c r="M214" s="382"/>
      <c r="N214" s="382"/>
      <c r="O214" s="445"/>
      <c r="U214" s="480"/>
      <c r="V214" s="480"/>
      <c r="W214" s="480"/>
      <c r="X214" s="480"/>
      <c r="Y214" s="480"/>
      <c r="Z214" s="480"/>
      <c r="AF214" s="336"/>
    </row>
    <row r="215" spans="1:32" s="116" customFormat="1" ht="12.75" thickBot="1">
      <c r="A215" s="1" t="s">
        <v>340</v>
      </c>
      <c r="B215" s="27" t="s">
        <v>479</v>
      </c>
      <c r="G215" s="47"/>
      <c r="I215" s="47"/>
      <c r="M215" s="382"/>
      <c r="N215" s="382"/>
      <c r="O215" s="445"/>
      <c r="U215" s="480"/>
      <c r="V215" s="480"/>
      <c r="W215" s="480"/>
      <c r="X215" s="480"/>
      <c r="Y215" s="480"/>
      <c r="Z215" s="480"/>
      <c r="AF215" s="336"/>
    </row>
    <row r="216" spans="1:32" s="116" customFormat="1" ht="28.5" customHeight="1" thickTop="1" thickBot="1">
      <c r="A216" s="440"/>
      <c r="B216" s="41" t="str">
        <f>B70</f>
        <v>£m, 2019-20 prices </v>
      </c>
      <c r="C216" s="788" t="s">
        <v>481</v>
      </c>
      <c r="D216" s="789"/>
      <c r="E216" s="789"/>
      <c r="F216" s="789"/>
      <c r="G216" s="47"/>
      <c r="I216" s="47"/>
      <c r="M216" s="382"/>
      <c r="N216" s="382"/>
      <c r="O216" s="445"/>
      <c r="U216" s="480"/>
      <c r="V216" s="480"/>
      <c r="W216" s="480"/>
      <c r="X216" s="480"/>
      <c r="Y216" s="480"/>
      <c r="Z216" s="480"/>
      <c r="AF216" s="336"/>
    </row>
    <row r="217" spans="1:32" s="116" customFormat="1">
      <c r="A217" s="440"/>
      <c r="B217" s="121"/>
      <c r="C217" s="123" t="s">
        <v>2</v>
      </c>
      <c r="D217" s="444" t="s">
        <v>4</v>
      </c>
      <c r="E217" s="790" t="s">
        <v>47</v>
      </c>
      <c r="F217" s="791"/>
      <c r="G217" s="47"/>
      <c r="H217" s="382"/>
      <c r="I217" s="455"/>
      <c r="M217" s="382"/>
      <c r="N217" s="382"/>
      <c r="O217" s="445"/>
      <c r="U217" s="219"/>
      <c r="AF217" s="336"/>
    </row>
    <row r="218" spans="1:32" s="116" customFormat="1" ht="13.15">
      <c r="A218" s="440"/>
      <c r="B218" s="121"/>
      <c r="C218" s="125"/>
      <c r="D218" s="126"/>
      <c r="E218" s="127" t="s">
        <v>48</v>
      </c>
      <c r="F218" s="128" t="s">
        <v>49</v>
      </c>
      <c r="G218" s="47"/>
      <c r="H218" s="382"/>
      <c r="I218" s="455"/>
      <c r="M218" s="382"/>
      <c r="N218" s="382"/>
      <c r="O218" s="445"/>
      <c r="U218" s="219"/>
      <c r="AF218" s="336"/>
    </row>
    <row r="219" spans="1:32" s="116" customFormat="1">
      <c r="A219" s="440"/>
      <c r="B219" s="518" t="s">
        <v>390</v>
      </c>
      <c r="C219" s="130">
        <f>C7-X57-Y57+'Forecast "True up" 1'!I26</f>
        <v>13290.703279133984</v>
      </c>
      <c r="D219" s="25">
        <f>D7</f>
        <v>10081.59987106138</v>
      </c>
      <c r="E219" s="130">
        <f>D219-C219</f>
        <v>-3209.103408072604</v>
      </c>
      <c r="F219" s="131">
        <f>E219/C219</f>
        <v>-0.24145474777928438</v>
      </c>
      <c r="G219" s="47"/>
      <c r="H219" s="456"/>
      <c r="I219" s="456"/>
      <c r="J219" s="458"/>
      <c r="M219" s="382"/>
      <c r="N219" s="382"/>
      <c r="O219" s="445"/>
      <c r="U219" s="219"/>
      <c r="AF219" s="336"/>
    </row>
    <row r="220" spans="1:32" s="116" customFormat="1">
      <c r="A220" s="440"/>
      <c r="B220" s="518" t="s">
        <v>391</v>
      </c>
      <c r="C220" s="130">
        <f>C8+'Forecast "True up" 1'!I17</f>
        <v>2451.4940433883421</v>
      </c>
      <c r="D220" s="25">
        <f>D8</f>
        <v>2323.1530257619638</v>
      </c>
      <c r="E220" s="130">
        <f>D220-C220</f>
        <v>-128.34101762637829</v>
      </c>
      <c r="F220" s="131">
        <f>E220/C220</f>
        <v>-5.2352163764180004E-2</v>
      </c>
      <c r="G220" s="47"/>
      <c r="H220" s="456"/>
      <c r="I220" s="456"/>
      <c r="J220" s="459"/>
      <c r="M220" s="382"/>
      <c r="N220" s="382"/>
      <c r="O220" s="445"/>
      <c r="U220" s="219"/>
      <c r="AF220" s="336"/>
    </row>
    <row r="221" spans="1:32" s="116" customFormat="1">
      <c r="A221" s="440"/>
      <c r="B221" s="518" t="s">
        <v>478</v>
      </c>
      <c r="C221" s="130">
        <f>C9+'Forecast "True up" 1'!I9</f>
        <v>3490.6093547258429</v>
      </c>
      <c r="D221" s="25">
        <f>D9</f>
        <v>3360.2103336280543</v>
      </c>
      <c r="E221" s="130">
        <f>D221-C221</f>
        <v>-130.39902109778859</v>
      </c>
      <c r="F221" s="131">
        <f>E221/C221</f>
        <v>-3.7357093804050237E-2</v>
      </c>
      <c r="G221" s="47"/>
      <c r="H221" s="456"/>
      <c r="I221" s="456"/>
      <c r="J221" s="459"/>
      <c r="M221" s="382"/>
      <c r="N221" s="382"/>
      <c r="O221" s="445"/>
      <c r="U221" s="219"/>
      <c r="AF221" s="336"/>
    </row>
    <row r="222" spans="1:32" s="116" customFormat="1" ht="12.75" thickBot="1">
      <c r="A222" s="440"/>
      <c r="B222" s="122" t="s">
        <v>3</v>
      </c>
      <c r="C222" s="132">
        <f>SUM(C219:C221)</f>
        <v>19232.806677248169</v>
      </c>
      <c r="D222" s="132">
        <f>SUM(D219:D221)</f>
        <v>15764.963230451398</v>
      </c>
      <c r="E222" s="133">
        <f>D222-C222</f>
        <v>-3467.8434467967709</v>
      </c>
      <c r="F222" s="446">
        <f>E222/C222</f>
        <v>-0.18030875602254792</v>
      </c>
      <c r="G222" s="47"/>
      <c r="I222" s="47"/>
      <c r="M222" s="382"/>
      <c r="N222" s="382"/>
      <c r="O222" s="445"/>
      <c r="U222" s="219"/>
      <c r="AF222" s="336"/>
    </row>
    <row r="223" spans="1:32" s="116" customFormat="1" ht="12.75" thickTop="1">
      <c r="A223" s="440"/>
      <c r="B223" s="89" t="s">
        <v>122</v>
      </c>
      <c r="G223" s="47"/>
      <c r="I223" s="47"/>
      <c r="M223" s="382"/>
      <c r="N223" s="382"/>
      <c r="O223" s="445"/>
      <c r="U223" s="219"/>
      <c r="AF223" s="336"/>
    </row>
    <row r="224" spans="1:32" s="116" customFormat="1">
      <c r="A224" s="440"/>
      <c r="B224" s="440"/>
      <c r="C224" s="155"/>
      <c r="D224" s="438"/>
      <c r="F224" s="47"/>
      <c r="G224" s="47"/>
      <c r="I224" s="47"/>
      <c r="M224" s="382"/>
      <c r="N224" s="382"/>
      <c r="O224" s="445"/>
      <c r="U224" s="219"/>
      <c r="AF224" s="336"/>
    </row>
    <row r="225" spans="1:32" s="116" customFormat="1">
      <c r="A225" s="440"/>
      <c r="B225" s="447" t="s">
        <v>342</v>
      </c>
      <c r="C225" s="451">
        <f>F143*1000</f>
        <v>12585.941901420432</v>
      </c>
      <c r="D225" s="452">
        <f>F142*1000</f>
        <v>10681.451899380356</v>
      </c>
      <c r="E225" s="453">
        <f>D225-C225</f>
        <v>-1904.4900020400764</v>
      </c>
      <c r="F225" s="454">
        <f>E225/C225</f>
        <v>-0.1513188299260414</v>
      </c>
      <c r="G225" s="47"/>
      <c r="I225" s="47"/>
      <c r="M225" s="382"/>
      <c r="N225" s="382"/>
      <c r="O225" s="445"/>
      <c r="U225" s="219"/>
      <c r="AF225" s="336"/>
    </row>
    <row r="226" spans="1:32" s="116" customFormat="1">
      <c r="A226" s="440"/>
      <c r="B226" s="447" t="s">
        <v>343</v>
      </c>
      <c r="C226" s="451">
        <f>F175*1000</f>
        <v>2327.3278686557801</v>
      </c>
      <c r="D226" s="451">
        <f>F174*1000</f>
        <v>2259.3126738606657</v>
      </c>
      <c r="E226" s="453">
        <f>D226-C226</f>
        <v>-68.015194795114439</v>
      </c>
      <c r="F226" s="454">
        <f>E226/C226</f>
        <v>-2.9224586578941586E-2</v>
      </c>
      <c r="G226" s="47"/>
      <c r="I226" s="47"/>
      <c r="M226" s="382"/>
      <c r="N226" s="382"/>
      <c r="O226" s="445"/>
      <c r="U226" s="219"/>
      <c r="AF226" s="336"/>
    </row>
    <row r="227" spans="1:32" s="116" customFormat="1">
      <c r="A227" s="440"/>
      <c r="B227" s="447" t="s">
        <v>344</v>
      </c>
      <c r="C227" s="451">
        <f>F207*1000</f>
        <v>3851.2188662561243</v>
      </c>
      <c r="D227" s="451">
        <f>F206*1000</f>
        <v>3498.8944967325024</v>
      </c>
      <c r="E227" s="453">
        <f>D227-C227</f>
        <v>-352.32436952362195</v>
      </c>
      <c r="F227" s="454">
        <f>E227/C227</f>
        <v>-9.1483860502097655E-2</v>
      </c>
      <c r="G227" s="47"/>
      <c r="I227" s="47"/>
      <c r="M227" s="382"/>
      <c r="N227" s="382"/>
      <c r="O227" s="445"/>
      <c r="U227" s="219"/>
      <c r="AF227" s="336"/>
    </row>
    <row r="228" spans="1:32" s="116" customFormat="1">
      <c r="A228" s="440"/>
      <c r="B228" s="447"/>
      <c r="C228" s="155"/>
      <c r="D228" s="438"/>
      <c r="F228" s="47"/>
      <c r="G228" s="47"/>
      <c r="I228" s="47"/>
      <c r="M228" s="382"/>
      <c r="N228" s="382"/>
      <c r="O228" s="445"/>
      <c r="U228" s="219"/>
      <c r="AF228" s="336"/>
    </row>
    <row r="229" spans="1:32" s="116" customFormat="1">
      <c r="A229" s="440"/>
      <c r="B229" s="447"/>
      <c r="C229" s="155"/>
      <c r="D229" s="438"/>
      <c r="F229" s="47"/>
      <c r="G229" s="47"/>
      <c r="I229" s="47"/>
      <c r="M229" s="382"/>
      <c r="N229" s="382"/>
      <c r="O229" s="445"/>
      <c r="U229" s="219"/>
      <c r="AF229" s="336"/>
    </row>
    <row r="230" spans="1:32" s="116" customFormat="1" ht="12.75" thickBot="1">
      <c r="A230" s="450" t="s">
        <v>341</v>
      </c>
      <c r="B230" s="27" t="s">
        <v>479</v>
      </c>
      <c r="G230" s="47"/>
      <c r="I230" s="47"/>
      <c r="M230" s="382"/>
      <c r="N230" s="382"/>
      <c r="O230" s="445"/>
      <c r="U230" s="219"/>
      <c r="AF230" s="336"/>
    </row>
    <row r="231" spans="1:32" s="116" customFormat="1" ht="30" customHeight="1" thickTop="1" thickBot="1">
      <c r="A231" s="440"/>
      <c r="B231" s="41" t="str">
        <f>B216</f>
        <v>£m, 2019-20 prices </v>
      </c>
      <c r="C231" s="788" t="s">
        <v>481</v>
      </c>
      <c r="D231" s="789"/>
      <c r="E231" s="789"/>
      <c r="F231" s="789"/>
      <c r="G231" s="47"/>
      <c r="I231" s="47"/>
      <c r="M231" s="382"/>
      <c r="N231" s="382"/>
      <c r="O231" s="445"/>
      <c r="U231" s="219"/>
      <c r="AF231" s="336"/>
    </row>
    <row r="232" spans="1:32" s="116" customFormat="1">
      <c r="A232" s="440"/>
      <c r="B232" s="121"/>
      <c r="C232" s="123" t="s">
        <v>2</v>
      </c>
      <c r="D232" s="444" t="s">
        <v>4</v>
      </c>
      <c r="E232" s="790" t="s">
        <v>47</v>
      </c>
      <c r="F232" s="791"/>
      <c r="G232" s="47"/>
      <c r="H232" s="382"/>
      <c r="I232" s="455"/>
      <c r="M232" s="382"/>
      <c r="N232" s="382"/>
      <c r="O232" s="445"/>
      <c r="U232" s="219"/>
      <c r="AF232" s="336"/>
    </row>
    <row r="233" spans="1:32" s="116" customFormat="1" ht="13.15">
      <c r="A233" s="440"/>
      <c r="B233" s="121"/>
      <c r="C233" s="125"/>
      <c r="D233" s="126"/>
      <c r="E233" s="127" t="s">
        <v>48</v>
      </c>
      <c r="F233" s="128" t="s">
        <v>49</v>
      </c>
      <c r="G233" s="47"/>
      <c r="H233" s="382"/>
      <c r="I233" s="455"/>
      <c r="M233" s="382"/>
      <c r="N233" s="382"/>
      <c r="O233" s="445"/>
      <c r="U233" s="219"/>
      <c r="AF233" s="336"/>
    </row>
    <row r="234" spans="1:32" s="116" customFormat="1">
      <c r="A234" s="440"/>
      <c r="B234" s="449" t="s">
        <v>338</v>
      </c>
      <c r="C234" s="457">
        <f>C7+'Forecast "True up" 1'!I26</f>
        <v>12644.133813132048</v>
      </c>
      <c r="D234" s="457">
        <f>D7</f>
        <v>10081.59987106138</v>
      </c>
      <c r="E234" s="130">
        <f>D234-C234</f>
        <v>-2562.5339420706678</v>
      </c>
      <c r="F234" s="131">
        <f>E234/C234</f>
        <v>-0.20266583539390023</v>
      </c>
      <c r="G234" s="47"/>
      <c r="H234" s="456"/>
      <c r="I234" s="456"/>
      <c r="M234" s="382"/>
      <c r="N234" s="382"/>
      <c r="O234" s="445"/>
      <c r="U234" s="219"/>
      <c r="AF234" s="336"/>
    </row>
    <row r="235" spans="1:32" s="116" customFormat="1">
      <c r="A235" s="440"/>
      <c r="B235" s="448" t="s">
        <v>339</v>
      </c>
      <c r="C235" s="457">
        <f>C220</f>
        <v>2451.4940433883421</v>
      </c>
      <c r="D235" s="457">
        <f>D8</f>
        <v>2323.1530257619638</v>
      </c>
      <c r="E235" s="130">
        <f>D235-C235</f>
        <v>-128.34101762637829</v>
      </c>
      <c r="F235" s="131">
        <f>E235/C235</f>
        <v>-5.2352163764180004E-2</v>
      </c>
      <c r="G235" s="47"/>
      <c r="H235" s="456"/>
      <c r="I235" s="456"/>
      <c r="M235" s="382"/>
      <c r="N235" s="382"/>
      <c r="O235" s="445"/>
      <c r="U235" s="219"/>
      <c r="AF235" s="336"/>
    </row>
    <row r="236" spans="1:32" s="116" customFormat="1" ht="34.5" customHeight="1">
      <c r="A236" s="440"/>
      <c r="B236" s="518" t="s">
        <v>480</v>
      </c>
      <c r="C236" s="457">
        <f>C9+'Forecast "True up" 1'!I9</f>
        <v>3490.6093547258429</v>
      </c>
      <c r="D236" s="457">
        <f>D9</f>
        <v>3360.2103336280543</v>
      </c>
      <c r="E236" s="130">
        <f>D236-C236</f>
        <v>-130.39902109778859</v>
      </c>
      <c r="F236" s="131">
        <f>E236/C236</f>
        <v>-3.7357093804050237E-2</v>
      </c>
      <c r="G236" s="47"/>
      <c r="H236" s="456"/>
      <c r="I236" s="456"/>
      <c r="M236" s="382"/>
      <c r="N236" s="382"/>
      <c r="O236" s="445"/>
      <c r="U236" s="219"/>
      <c r="AF236" s="336"/>
    </row>
    <row r="237" spans="1:32" s="116" customFormat="1" ht="12.75" thickBot="1">
      <c r="A237" s="440"/>
      <c r="B237" s="122" t="s">
        <v>3</v>
      </c>
      <c r="C237" s="132">
        <f>SUM(C234:C236)</f>
        <v>18586.237211246233</v>
      </c>
      <c r="D237" s="132">
        <f>SUM(D234:D236)</f>
        <v>15764.963230451398</v>
      </c>
      <c r="E237" s="133">
        <f>D237-C237</f>
        <v>-2821.2739807948346</v>
      </c>
      <c r="F237" s="446">
        <f>E237/C237</f>
        <v>-0.1517937142805714</v>
      </c>
      <c r="G237" s="47"/>
      <c r="I237" s="47"/>
      <c r="M237" s="382"/>
      <c r="N237" s="382"/>
      <c r="O237" s="445"/>
      <c r="U237" s="219"/>
      <c r="AF237" s="336"/>
    </row>
    <row r="238" spans="1:32" s="116" customFormat="1" ht="12.75" thickTop="1">
      <c r="A238" s="440"/>
      <c r="B238" s="89" t="s">
        <v>122</v>
      </c>
      <c r="G238" s="47"/>
      <c r="I238" s="47"/>
      <c r="M238" s="382"/>
      <c r="N238" s="382"/>
      <c r="O238" s="445"/>
      <c r="U238" s="219"/>
      <c r="AF238" s="336"/>
    </row>
    <row r="239" spans="1:32" s="116" customFormat="1">
      <c r="A239" s="440"/>
      <c r="B239" s="440"/>
      <c r="C239" s="155"/>
      <c r="D239" s="438"/>
      <c r="F239" s="47"/>
      <c r="G239" s="47"/>
      <c r="I239" s="47"/>
      <c r="M239" s="382"/>
      <c r="N239" s="382"/>
      <c r="O239" s="445"/>
      <c r="U239" s="219"/>
      <c r="AF239" s="336"/>
    </row>
    <row r="240" spans="1:32" s="116" customFormat="1">
      <c r="A240" s="440"/>
      <c r="B240" s="440"/>
      <c r="C240" s="155"/>
      <c r="D240" s="438"/>
      <c r="F240" s="47"/>
      <c r="G240" s="47"/>
      <c r="I240" s="47"/>
      <c r="M240" s="382"/>
      <c r="N240" s="382"/>
      <c r="O240" s="445"/>
      <c r="U240" s="219"/>
      <c r="AF240" s="336"/>
    </row>
    <row r="241" spans="1:32">
      <c r="A241" s="336"/>
      <c r="B241" s="336"/>
      <c r="C241" s="336"/>
      <c r="D241" s="336"/>
      <c r="E241" s="336"/>
      <c r="F241" s="336"/>
      <c r="G241" s="336"/>
      <c r="H241" s="336"/>
      <c r="I241" s="336"/>
      <c r="J241" s="336"/>
      <c r="K241" s="336"/>
      <c r="L241" s="336"/>
      <c r="M241" s="336"/>
      <c r="N241" s="336"/>
      <c r="O241" s="336"/>
      <c r="P241" s="336"/>
      <c r="Q241" s="336"/>
      <c r="R241" s="336"/>
      <c r="S241" s="336"/>
      <c r="T241" s="336"/>
      <c r="U241" s="336"/>
      <c r="V241" s="336"/>
      <c r="W241" s="336"/>
      <c r="X241" s="336"/>
      <c r="Y241" s="336"/>
      <c r="Z241" s="336"/>
      <c r="AA241" s="336"/>
      <c r="AB241" s="336"/>
      <c r="AC241" s="336"/>
      <c r="AD241" s="336"/>
      <c r="AE241" s="336"/>
      <c r="AF241" s="336"/>
    </row>
    <row r="242" spans="1:32">
      <c r="A242" s="116"/>
      <c r="B242" s="116"/>
      <c r="C242" s="116"/>
      <c r="D242" s="116"/>
      <c r="E242" s="116"/>
      <c r="F242" s="116"/>
      <c r="G242" s="116"/>
      <c r="H242" s="382" t="s">
        <v>498</v>
      </c>
      <c r="I242" s="382">
        <v>1.2740983664300378</v>
      </c>
      <c r="J242" s="116"/>
      <c r="K242" s="116"/>
      <c r="N242" s="116"/>
      <c r="Q242" s="116"/>
      <c r="R242" s="116"/>
      <c r="S242" s="116"/>
      <c r="T242" s="116"/>
      <c r="U242" s="116"/>
      <c r="V242" s="116"/>
      <c r="W242" s="116"/>
      <c r="X242" s="116"/>
      <c r="Y242" s="116"/>
      <c r="Z242" s="116"/>
      <c r="AA242" s="116"/>
      <c r="AE242" s="116"/>
      <c r="AF242" s="336"/>
    </row>
    <row r="243" spans="1:32">
      <c r="A243" s="1" t="s">
        <v>321</v>
      </c>
      <c r="B243" s="1" t="s">
        <v>320</v>
      </c>
      <c r="C243" s="116"/>
      <c r="D243" s="116"/>
      <c r="E243" s="116"/>
      <c r="F243" s="116"/>
      <c r="G243" s="116"/>
      <c r="H243" s="382" t="s">
        <v>499</v>
      </c>
      <c r="I243" s="382">
        <f>'Universal data'!C54</f>
        <v>1.3470197208373675</v>
      </c>
      <c r="J243" s="116"/>
      <c r="K243" s="116"/>
      <c r="AF243" s="336"/>
    </row>
    <row r="244" spans="1:32" ht="12.75" thickBot="1">
      <c r="A244" s="116"/>
      <c r="B244" s="116"/>
      <c r="C244" s="116"/>
      <c r="D244" s="116"/>
      <c r="E244" s="116"/>
      <c r="F244" s="116"/>
      <c r="G244" s="116"/>
      <c r="H244" s="615" t="s">
        <v>497</v>
      </c>
      <c r="I244" s="616">
        <v>0.78486875609294737</v>
      </c>
      <c r="J244" s="116"/>
      <c r="K244" s="116"/>
      <c r="AF244" s="336"/>
    </row>
    <row r="245" spans="1:32" ht="29.25" customHeight="1" thickBot="1">
      <c r="A245" s="116"/>
      <c r="B245" s="394" t="s">
        <v>485</v>
      </c>
      <c r="C245" s="412" t="s">
        <v>276</v>
      </c>
      <c r="D245" s="413" t="s">
        <v>277</v>
      </c>
      <c r="E245" s="413" t="s">
        <v>278</v>
      </c>
      <c r="F245" s="415"/>
      <c r="G245" s="416" t="s">
        <v>305</v>
      </c>
      <c r="I245" s="116"/>
      <c r="J245" s="176"/>
      <c r="K245" s="176"/>
      <c r="L245" s="568"/>
      <c r="M245" s="807"/>
      <c r="N245" s="807"/>
      <c r="O245" s="807"/>
      <c r="P245" s="176"/>
      <c r="AF245" s="336"/>
    </row>
    <row r="246" spans="1:32" ht="36" customHeight="1" thickBot="1">
      <c r="A246" s="767" t="s">
        <v>303</v>
      </c>
      <c r="B246" s="395" t="s">
        <v>272</v>
      </c>
      <c r="C246" s="390">
        <v>-208.2750374670799</v>
      </c>
      <c r="D246" s="381">
        <v>68.7201900272091</v>
      </c>
      <c r="E246" s="381">
        <v>-139.5548474398708</v>
      </c>
      <c r="F246" s="116"/>
      <c r="G246" s="390">
        <v>128.98251051260786</v>
      </c>
      <c r="I246" s="116"/>
      <c r="J246" s="176"/>
      <c r="K246" s="617"/>
      <c r="L246" s="618"/>
      <c r="M246" s="618"/>
      <c r="N246" s="618"/>
      <c r="O246" s="618"/>
      <c r="P246" s="176"/>
      <c r="AF246" s="336"/>
    </row>
    <row r="247" spans="1:32" ht="13.9" thickBot="1">
      <c r="A247" s="767"/>
      <c r="B247" s="395" t="s">
        <v>273</v>
      </c>
      <c r="C247" s="390">
        <v>-24.316374932704761</v>
      </c>
      <c r="D247" s="381">
        <v>-75.063592183566868</v>
      </c>
      <c r="E247" s="381">
        <v>-99.379967116271629</v>
      </c>
      <c r="F247" s="116"/>
      <c r="G247" s="390">
        <v>58.147853099946161</v>
      </c>
      <c r="I247" s="116"/>
      <c r="J247" s="176"/>
      <c r="K247" s="617"/>
      <c r="L247" s="618"/>
      <c r="M247" s="618"/>
      <c r="N247" s="618"/>
      <c r="O247" s="618"/>
      <c r="P247" s="176"/>
      <c r="AF247" s="336"/>
    </row>
    <row r="248" spans="1:32" ht="13.9" thickBot="1">
      <c r="A248" s="767"/>
      <c r="B248" s="395" t="s">
        <v>274</v>
      </c>
      <c r="C248" s="390">
        <v>-161.75675498712295</v>
      </c>
      <c r="D248" s="381">
        <v>574.07789515037757</v>
      </c>
      <c r="E248" s="381">
        <v>412.32114016325465</v>
      </c>
      <c r="F248" s="116"/>
      <c r="G248" s="390">
        <v>189.24483099800662</v>
      </c>
      <c r="I248" s="116"/>
      <c r="J248" s="176"/>
      <c r="K248" s="617"/>
      <c r="L248" s="618"/>
      <c r="M248" s="618"/>
      <c r="N248" s="618"/>
      <c r="O248" s="618"/>
      <c r="P248" s="176"/>
      <c r="AF248" s="336"/>
    </row>
    <row r="249" spans="1:32" s="480" customFormat="1" ht="13.9" thickBot="1">
      <c r="A249" s="762"/>
      <c r="B249" s="614" t="s">
        <v>487</v>
      </c>
      <c r="C249" s="610">
        <v>0</v>
      </c>
      <c r="D249" s="613">
        <v>65.548488949030215</v>
      </c>
      <c r="E249" s="381">
        <v>65.548488949030215</v>
      </c>
      <c r="G249" s="390" t="s">
        <v>493</v>
      </c>
      <c r="J249" s="176"/>
      <c r="K249" s="617"/>
      <c r="L249" s="618"/>
      <c r="M249" s="618"/>
      <c r="N249" s="618"/>
      <c r="O249" s="618"/>
      <c r="P249" s="176"/>
      <c r="AF249" s="336"/>
    </row>
    <row r="250" spans="1:32" s="480" customFormat="1" ht="13.9" thickBot="1">
      <c r="A250" s="762"/>
      <c r="B250" s="614" t="s">
        <v>488</v>
      </c>
      <c r="C250" s="610">
        <v>0</v>
      </c>
      <c r="D250" s="613">
        <v>3.1717010781788817</v>
      </c>
      <c r="E250" s="381">
        <v>3.1717010781788817</v>
      </c>
      <c r="G250" s="390" t="s">
        <v>493</v>
      </c>
      <c r="J250" s="176"/>
      <c r="K250" s="617"/>
      <c r="L250" s="618"/>
      <c r="M250" s="618"/>
      <c r="N250" s="618"/>
      <c r="O250" s="618"/>
      <c r="P250" s="176"/>
      <c r="AF250" s="336"/>
    </row>
    <row r="251" spans="1:32" s="480" customFormat="1" ht="13.9" thickBot="1">
      <c r="A251" s="762"/>
      <c r="B251" s="614" t="s">
        <v>489</v>
      </c>
      <c r="C251" s="610">
        <v>-5.2861684636314692</v>
      </c>
      <c r="D251" s="613">
        <v>27.488076010883642</v>
      </c>
      <c r="E251" s="381">
        <v>21.144673854525877</v>
      </c>
      <c r="G251" s="390" t="s">
        <v>493</v>
      </c>
      <c r="J251" s="176"/>
      <c r="K251" s="617"/>
      <c r="L251" s="618"/>
      <c r="M251" s="618"/>
      <c r="N251" s="618"/>
      <c r="O251" s="618"/>
      <c r="P251" s="176"/>
      <c r="AF251" s="336"/>
    </row>
    <row r="252" spans="1:32" s="480" customFormat="1" ht="13.9" thickBot="1">
      <c r="A252" s="762"/>
      <c r="B252" s="614" t="s">
        <v>495</v>
      </c>
      <c r="C252" s="610">
        <v>0</v>
      </c>
      <c r="D252" s="613">
        <v>0</v>
      </c>
      <c r="E252" s="381">
        <v>0</v>
      </c>
      <c r="G252" s="390" t="s">
        <v>493</v>
      </c>
      <c r="J252" s="176"/>
      <c r="K252" s="617"/>
      <c r="L252" s="618"/>
      <c r="M252" s="618"/>
      <c r="N252" s="618"/>
      <c r="O252" s="618"/>
      <c r="P252" s="176"/>
      <c r="AF252" s="336"/>
    </row>
    <row r="253" spans="1:32" s="480" customFormat="1" ht="13.9" thickBot="1">
      <c r="A253" s="762"/>
      <c r="B253" s="614" t="s">
        <v>491</v>
      </c>
      <c r="C253" s="610">
        <v>0</v>
      </c>
      <c r="D253" s="613">
        <v>37.003179245420284</v>
      </c>
      <c r="E253" s="381">
        <v>37.003179245420284</v>
      </c>
      <c r="G253" s="390" t="s">
        <v>493</v>
      </c>
      <c r="J253" s="176"/>
      <c r="K253" s="617"/>
      <c r="L253" s="618"/>
      <c r="M253" s="618"/>
      <c r="N253" s="618"/>
      <c r="O253" s="618"/>
      <c r="P253" s="176"/>
      <c r="AF253" s="336"/>
    </row>
    <row r="254" spans="1:32" s="480" customFormat="1" ht="13.9" thickBot="1">
      <c r="A254" s="762"/>
      <c r="B254" s="614" t="s">
        <v>496</v>
      </c>
      <c r="C254" s="610">
        <v>0</v>
      </c>
      <c r="D254" s="613">
        <v>101.49443450172421</v>
      </c>
      <c r="E254" s="381">
        <v>101.49443450172421</v>
      </c>
      <c r="G254" s="390">
        <v>5.2861684636314692</v>
      </c>
      <c r="J254" s="176"/>
      <c r="K254" s="617"/>
      <c r="L254" s="618"/>
      <c r="M254" s="618"/>
      <c r="N254" s="618"/>
      <c r="O254" s="618"/>
      <c r="P254" s="176"/>
      <c r="AF254" s="336"/>
    </row>
    <row r="255" spans="1:32" ht="13.9" thickBot="1">
      <c r="A255" s="567"/>
      <c r="B255" s="246"/>
      <c r="C255" s="387">
        <f>SUM(C246:C248)</f>
        <v>-394.34816738690756</v>
      </c>
      <c r="D255" s="388">
        <f>SUM(D246:D248)</f>
        <v>567.73449299401977</v>
      </c>
      <c r="E255" s="389">
        <f>SUM(E246:E248)</f>
        <v>173.38632560711221</v>
      </c>
      <c r="F255" s="116"/>
      <c r="G255" s="391">
        <f>SUM(G246:G248)</f>
        <v>376.37519461056064</v>
      </c>
      <c r="H255" t="s">
        <v>505</v>
      </c>
      <c r="I255" s="116"/>
      <c r="J255" s="176"/>
      <c r="K255" s="617"/>
      <c r="L255" s="618"/>
      <c r="M255" s="618"/>
      <c r="N255" s="618"/>
      <c r="O255" s="618"/>
      <c r="P255" s="176"/>
      <c r="AF255" s="336"/>
    </row>
    <row r="256" spans="1:32" s="480" customFormat="1" ht="13.5">
      <c r="A256" s="567"/>
      <c r="B256" s="246"/>
      <c r="J256" s="176"/>
      <c r="K256" s="617"/>
      <c r="L256" s="618"/>
      <c r="M256" s="618"/>
      <c r="N256" s="618"/>
      <c r="O256" s="618"/>
      <c r="P256" s="176"/>
      <c r="AF256" s="336"/>
    </row>
    <row r="257" spans="1:32" ht="13.9" thickBot="1">
      <c r="A257" s="767" t="s">
        <v>304</v>
      </c>
      <c r="B257" s="395" t="s">
        <v>272</v>
      </c>
      <c r="C257" s="390">
        <v>-199.02266</v>
      </c>
      <c r="D257" s="381">
        <v>-59.501619999999996</v>
      </c>
      <c r="E257" s="381">
        <v>-258.52427999999998</v>
      </c>
      <c r="F257" s="116"/>
      <c r="G257" s="390">
        <v>270.83495999999997</v>
      </c>
      <c r="I257" s="116"/>
      <c r="J257" s="176"/>
      <c r="K257" s="617"/>
      <c r="L257" s="618"/>
      <c r="M257" s="618"/>
      <c r="N257" s="618"/>
      <c r="O257" s="618"/>
      <c r="P257" s="176"/>
      <c r="AF257" s="336"/>
    </row>
    <row r="258" spans="1:32" ht="13.9" thickBot="1">
      <c r="A258" s="767"/>
      <c r="B258" s="395" t="s">
        <v>273</v>
      </c>
      <c r="C258" s="390">
        <v>-25.64725</v>
      </c>
      <c r="D258" s="381">
        <v>-73.864080000000001</v>
      </c>
      <c r="E258" s="381">
        <v>-99.511330000000001</v>
      </c>
      <c r="F258" s="116"/>
      <c r="G258" s="390">
        <v>144.65048999999999</v>
      </c>
      <c r="I258" s="116"/>
      <c r="J258" s="176"/>
      <c r="K258" s="617"/>
      <c r="L258" s="618"/>
      <c r="M258" s="618"/>
      <c r="N258" s="618"/>
      <c r="O258" s="618"/>
      <c r="P258" s="176"/>
      <c r="AF258" s="336"/>
    </row>
    <row r="259" spans="1:32" ht="13.9" thickBot="1">
      <c r="A259" s="767"/>
      <c r="B259" s="395" t="s">
        <v>274</v>
      </c>
      <c r="C259" s="390">
        <v>-150.80582999999999</v>
      </c>
      <c r="D259" s="383">
        <v>1260.81881</v>
      </c>
      <c r="E259" s="383">
        <v>1110.01298</v>
      </c>
      <c r="F259" s="116"/>
      <c r="G259" s="392">
        <v>239.03236999999999</v>
      </c>
      <c r="I259" s="116"/>
      <c r="J259" s="176"/>
      <c r="K259" s="617"/>
      <c r="L259" s="618"/>
      <c r="M259" s="618"/>
      <c r="N259" s="618"/>
      <c r="O259" s="618"/>
      <c r="P259" s="176"/>
      <c r="Q259" s="176"/>
      <c r="R259" s="176"/>
      <c r="S259" s="176"/>
      <c r="AF259" s="336"/>
    </row>
    <row r="260" spans="1:32" s="480" customFormat="1" ht="13.9" thickBot="1">
      <c r="A260" s="762"/>
      <c r="B260" s="395" t="s">
        <v>487</v>
      </c>
      <c r="C260" s="390">
        <v>0</v>
      </c>
      <c r="D260" s="383">
        <v>24.621359999999999</v>
      </c>
      <c r="E260" s="383">
        <v>24.621359999999999</v>
      </c>
      <c r="G260" s="612" t="s">
        <v>493</v>
      </c>
      <c r="J260" s="176"/>
      <c r="K260" s="617"/>
      <c r="L260" s="618"/>
      <c r="M260" s="618"/>
      <c r="N260" s="618"/>
      <c r="O260" s="618"/>
      <c r="P260" s="176"/>
      <c r="Q260" s="176"/>
      <c r="R260" s="176"/>
      <c r="S260" s="176"/>
      <c r="AF260" s="336"/>
    </row>
    <row r="261" spans="1:32" s="480" customFormat="1" ht="13.9" thickBot="1">
      <c r="A261" s="762"/>
      <c r="B261" s="395" t="s">
        <v>488</v>
      </c>
      <c r="C261" s="390">
        <v>0</v>
      </c>
      <c r="D261" s="383">
        <v>4.1035599999999999</v>
      </c>
      <c r="E261" s="383">
        <v>4.1035599999999999</v>
      </c>
      <c r="G261" s="612" t="s">
        <v>493</v>
      </c>
      <c r="J261" s="176"/>
      <c r="K261" s="176"/>
      <c r="L261" s="176"/>
      <c r="M261" s="176"/>
      <c r="N261" s="176"/>
      <c r="O261" s="176"/>
      <c r="P261" s="176"/>
      <c r="Q261" s="176"/>
      <c r="R261" s="176"/>
      <c r="S261" s="176"/>
      <c r="AF261" s="336"/>
    </row>
    <row r="262" spans="1:32" s="480" customFormat="1" ht="13.9" thickBot="1">
      <c r="A262" s="762"/>
      <c r="B262" s="395" t="s">
        <v>489</v>
      </c>
      <c r="C262" s="390">
        <v>-3.0776699999999999</v>
      </c>
      <c r="D262" s="383">
        <v>26.67314</v>
      </c>
      <c r="E262" s="383">
        <v>23.595469999999999</v>
      </c>
      <c r="G262" s="612" t="s">
        <v>493</v>
      </c>
      <c r="J262" s="176"/>
      <c r="K262" s="176"/>
      <c r="L262" s="176"/>
      <c r="M262" s="176"/>
      <c r="N262" s="176"/>
      <c r="O262" s="176"/>
      <c r="P262" s="176"/>
      <c r="Q262" s="176"/>
      <c r="R262" s="176"/>
      <c r="S262" s="176"/>
      <c r="AF262" s="336"/>
    </row>
    <row r="263" spans="1:32" s="480" customFormat="1" ht="13.9" thickBot="1">
      <c r="A263" s="762"/>
      <c r="B263" s="395" t="s">
        <v>490</v>
      </c>
      <c r="C263" s="390">
        <v>0</v>
      </c>
      <c r="D263" s="383">
        <v>0</v>
      </c>
      <c r="E263" s="383">
        <v>0</v>
      </c>
      <c r="G263" s="612" t="s">
        <v>493</v>
      </c>
      <c r="J263" s="176"/>
      <c r="K263" s="566"/>
      <c r="L263" s="176"/>
      <c r="M263" s="176"/>
      <c r="N263" s="176"/>
      <c r="O263" s="176"/>
      <c r="P263" s="176"/>
      <c r="Q263" s="176"/>
      <c r="R263" s="176"/>
      <c r="S263" s="176"/>
      <c r="AF263" s="336"/>
    </row>
    <row r="264" spans="1:32" s="480" customFormat="1" ht="13.9" thickBot="1">
      <c r="A264" s="762"/>
      <c r="B264" s="395" t="s">
        <v>491</v>
      </c>
      <c r="C264" s="390">
        <v>0</v>
      </c>
      <c r="D264" s="383">
        <v>38.983820000000001</v>
      </c>
      <c r="E264" s="383">
        <v>38.983820000000001</v>
      </c>
      <c r="G264" s="612" t="s">
        <v>493</v>
      </c>
      <c r="J264" s="176"/>
      <c r="K264" s="176"/>
      <c r="L264" s="176"/>
      <c r="M264" s="176"/>
      <c r="N264" s="176"/>
      <c r="O264" s="176"/>
      <c r="P264" s="176"/>
      <c r="Q264" s="176"/>
      <c r="R264" s="176"/>
      <c r="S264" s="176"/>
      <c r="AF264" s="336"/>
    </row>
    <row r="265" spans="1:32" s="480" customFormat="1" ht="13.9" thickBot="1">
      <c r="A265" s="762"/>
      <c r="B265" s="611" t="s">
        <v>492</v>
      </c>
      <c r="C265" s="390">
        <v>0</v>
      </c>
      <c r="D265" s="383">
        <v>106.69256</v>
      </c>
      <c r="E265" s="383">
        <v>106.69256</v>
      </c>
      <c r="G265" s="392">
        <v>5</v>
      </c>
      <c r="J265" s="176"/>
      <c r="K265" s="176"/>
      <c r="L265" s="176"/>
      <c r="M265" s="176"/>
      <c r="N265" s="176"/>
      <c r="O265" s="176"/>
      <c r="P265" s="176"/>
      <c r="Q265" s="176"/>
      <c r="R265" s="176"/>
      <c r="S265" s="176"/>
      <c r="AF265" s="336"/>
    </row>
    <row r="266" spans="1:32" ht="12.75" thickBot="1">
      <c r="A266" s="116"/>
      <c r="B266" s="246"/>
      <c r="C266" s="387">
        <f>SUM(C257:C265)</f>
        <v>-378.55340999999999</v>
      </c>
      <c r="D266" s="387">
        <f>SUM(D257:D265)</f>
        <v>1328.52755</v>
      </c>
      <c r="E266" s="387">
        <f>SUM(E257:E265)</f>
        <v>949.97414000000003</v>
      </c>
      <c r="F266" s="116"/>
      <c r="G266" s="391">
        <f>SUM(G257:G265)</f>
        <v>659.51781999999992</v>
      </c>
      <c r="H266" s="480" t="s">
        <v>506</v>
      </c>
      <c r="I266" s="116"/>
      <c r="J266" s="176"/>
      <c r="K266" s="176"/>
      <c r="L266" s="176"/>
      <c r="M266" s="176"/>
      <c r="N266" s="176"/>
      <c r="O266" s="176"/>
      <c r="P266" s="176"/>
      <c r="AF266" s="336"/>
    </row>
    <row r="267" spans="1:32" ht="13.9" thickBot="1">
      <c r="A267" s="116"/>
      <c r="B267" s="384" t="s">
        <v>275</v>
      </c>
      <c r="C267" s="396">
        <f>(C266-C255)/C266</f>
        <v>-4.1723986548972247E-2</v>
      </c>
      <c r="D267" s="385">
        <f>(D266-D255)/D266</f>
        <v>0.57265884851690141</v>
      </c>
      <c r="E267" s="386">
        <f>(E266-E255)/E266</f>
        <v>0.81748311000643425</v>
      </c>
      <c r="F267" s="116"/>
      <c r="G267" s="393">
        <f>(G266-G255)/G266</f>
        <v>0.42931762691330966</v>
      </c>
      <c r="I267" s="116"/>
      <c r="J267" s="176"/>
      <c r="K267" s="176"/>
      <c r="L267" s="176"/>
      <c r="M267" s="176"/>
      <c r="N267" s="176"/>
      <c r="O267" s="176"/>
      <c r="P267" s="176"/>
      <c r="AF267" s="336"/>
    </row>
    <row r="268" spans="1:32" s="480" customFormat="1">
      <c r="J268" s="176"/>
      <c r="K268" s="176"/>
      <c r="L268" s="176"/>
      <c r="M268" s="176"/>
      <c r="N268" s="176"/>
      <c r="O268" s="176"/>
      <c r="P268" s="176"/>
      <c r="AF268" s="336"/>
    </row>
    <row r="269" spans="1:32" ht="13.9" thickBot="1">
      <c r="A269" s="767" t="s">
        <v>494</v>
      </c>
      <c r="B269" s="395" t="s">
        <v>272</v>
      </c>
      <c r="C269" s="608">
        <v>-191</v>
      </c>
      <c r="D269" s="608">
        <v>-57</v>
      </c>
      <c r="E269" s="608">
        <v>-248</v>
      </c>
      <c r="F269" s="480"/>
      <c r="G269" s="608">
        <v>330</v>
      </c>
      <c r="H269" s="116"/>
      <c r="I269" s="116"/>
      <c r="J269" s="176"/>
      <c r="K269" s="176"/>
      <c r="L269" s="176"/>
      <c r="M269" s="176"/>
      <c r="N269" s="176"/>
      <c r="O269" s="176"/>
      <c r="P269" s="176"/>
      <c r="AF269" s="336"/>
    </row>
    <row r="270" spans="1:32" s="480" customFormat="1" ht="13.9" thickBot="1">
      <c r="A270" s="767"/>
      <c r="B270" s="395" t="s">
        <v>273</v>
      </c>
      <c r="C270" s="608">
        <v>-25</v>
      </c>
      <c r="D270" s="608">
        <v>-68</v>
      </c>
      <c r="E270" s="608">
        <v>-93</v>
      </c>
      <c r="G270" s="608">
        <v>217</v>
      </c>
      <c r="J270" s="176"/>
      <c r="K270" s="176"/>
      <c r="L270" s="176"/>
      <c r="M270" s="176"/>
      <c r="N270" s="176"/>
      <c r="O270" s="176"/>
      <c r="P270" s="176"/>
      <c r="AF270" s="336"/>
    </row>
    <row r="271" spans="1:32" s="480" customFormat="1" ht="13.9" thickBot="1">
      <c r="A271" s="767"/>
      <c r="B271" s="395" t="s">
        <v>274</v>
      </c>
      <c r="C271" s="608">
        <v>-147</v>
      </c>
      <c r="D271" s="608">
        <v>846</v>
      </c>
      <c r="E271" s="608">
        <v>698</v>
      </c>
      <c r="G271" s="608">
        <v>251</v>
      </c>
      <c r="J271" s="176"/>
      <c r="K271" s="176"/>
      <c r="L271" s="176"/>
      <c r="M271" s="176"/>
      <c r="N271" s="176"/>
      <c r="O271" s="176"/>
      <c r="P271" s="176"/>
      <c r="AF271" s="336"/>
    </row>
    <row r="272" spans="1:32" s="480" customFormat="1" ht="13.9" thickBot="1">
      <c r="A272" s="762"/>
      <c r="B272" s="395" t="s">
        <v>487</v>
      </c>
      <c r="C272" s="608">
        <v>0</v>
      </c>
      <c r="D272" s="608">
        <v>25</v>
      </c>
      <c r="E272" s="608">
        <v>25</v>
      </c>
      <c r="G272" s="612" t="s">
        <v>493</v>
      </c>
      <c r="J272" s="176"/>
      <c r="K272" s="176"/>
      <c r="L272" s="176"/>
      <c r="M272" s="176"/>
      <c r="N272" s="176"/>
      <c r="O272" s="176"/>
      <c r="P272" s="176"/>
      <c r="AF272" s="336"/>
    </row>
    <row r="273" spans="1:32" s="480" customFormat="1" ht="13.9" thickBot="1">
      <c r="A273" s="762"/>
      <c r="B273" s="395" t="s">
        <v>488</v>
      </c>
      <c r="C273" s="608">
        <v>0</v>
      </c>
      <c r="D273" s="608">
        <v>4</v>
      </c>
      <c r="E273" s="608">
        <v>4</v>
      </c>
      <c r="G273" s="612" t="s">
        <v>493</v>
      </c>
      <c r="J273" s="176"/>
      <c r="K273" s="176"/>
      <c r="L273" s="176"/>
      <c r="M273" s="176"/>
      <c r="N273" s="176"/>
      <c r="O273" s="176"/>
      <c r="P273" s="176"/>
      <c r="AF273" s="336"/>
    </row>
    <row r="274" spans="1:32" s="480" customFormat="1" ht="13.9" thickBot="1">
      <c r="A274" s="762"/>
      <c r="B274" s="395" t="s">
        <v>489</v>
      </c>
      <c r="C274" s="608">
        <v>-3</v>
      </c>
      <c r="D274" s="608">
        <v>27</v>
      </c>
      <c r="E274" s="608">
        <v>24</v>
      </c>
      <c r="G274" s="612" t="s">
        <v>493</v>
      </c>
      <c r="J274" s="176"/>
      <c r="K274" s="176"/>
      <c r="L274" s="176"/>
      <c r="M274" s="176"/>
      <c r="N274" s="176"/>
      <c r="O274" s="176"/>
      <c r="P274" s="176"/>
      <c r="AF274" s="336"/>
    </row>
    <row r="275" spans="1:32" s="480" customFormat="1" ht="13.9" thickBot="1">
      <c r="A275" s="762"/>
      <c r="B275" s="395" t="s">
        <v>490</v>
      </c>
      <c r="C275" s="608">
        <v>0</v>
      </c>
      <c r="D275" s="608">
        <v>0</v>
      </c>
      <c r="E275" s="608">
        <v>0</v>
      </c>
      <c r="G275" s="612" t="s">
        <v>493</v>
      </c>
      <c r="J275" s="176"/>
      <c r="K275" s="176"/>
      <c r="L275" s="176"/>
      <c r="M275" s="176"/>
      <c r="N275" s="176"/>
      <c r="O275" s="176"/>
      <c r="P275" s="176"/>
      <c r="AF275" s="336"/>
    </row>
    <row r="276" spans="1:32" s="480" customFormat="1" ht="13.9" thickBot="1">
      <c r="A276" s="762"/>
      <c r="B276" s="395" t="s">
        <v>491</v>
      </c>
      <c r="C276" s="608">
        <v>0</v>
      </c>
      <c r="D276" s="608">
        <v>140</v>
      </c>
      <c r="E276" s="608">
        <v>140</v>
      </c>
      <c r="G276" s="612" t="s">
        <v>493</v>
      </c>
      <c r="J276" s="176"/>
      <c r="K276" s="176"/>
      <c r="L276" s="176"/>
      <c r="M276" s="176"/>
      <c r="N276" s="176"/>
      <c r="O276" s="176"/>
      <c r="P276" s="176"/>
      <c r="AF276" s="336"/>
    </row>
    <row r="277" spans="1:32" s="480" customFormat="1" ht="13.9" thickBot="1">
      <c r="A277" s="762"/>
      <c r="B277" s="611" t="s">
        <v>492</v>
      </c>
      <c r="C277" s="608">
        <v>0</v>
      </c>
      <c r="D277" s="608">
        <v>173</v>
      </c>
      <c r="E277" s="608">
        <v>173</v>
      </c>
      <c r="G277" s="392">
        <v>5</v>
      </c>
      <c r="J277" s="176"/>
      <c r="K277" s="176"/>
      <c r="L277" s="176"/>
      <c r="M277" s="176"/>
      <c r="N277" s="176"/>
      <c r="O277" s="176"/>
      <c r="P277" s="176"/>
      <c r="AF277" s="336"/>
    </row>
    <row r="278" spans="1:32" s="480" customFormat="1" ht="12.75" thickBot="1">
      <c r="B278" s="246"/>
      <c r="C278" s="387">
        <f>SUM(C269:C277)</f>
        <v>-366</v>
      </c>
      <c r="D278" s="387">
        <f t="shared" ref="D278:E278" si="81">SUM(D269:D277)</f>
        <v>1090</v>
      </c>
      <c r="E278" s="387">
        <f t="shared" si="81"/>
        <v>723</v>
      </c>
      <c r="G278" s="391">
        <f>SUM(G269:G277)</f>
        <v>803</v>
      </c>
      <c r="H278" s="480" t="s">
        <v>507</v>
      </c>
      <c r="J278" s="176"/>
      <c r="K278" s="176"/>
      <c r="L278" s="176"/>
      <c r="M278" s="176"/>
      <c r="N278" s="176"/>
      <c r="O278" s="176"/>
      <c r="P278" s="176"/>
      <c r="AF278" s="336"/>
    </row>
    <row r="279" spans="1:32" s="480" customFormat="1" ht="13.9" thickBot="1">
      <c r="B279" s="384" t="s">
        <v>484</v>
      </c>
      <c r="C279" s="396">
        <f>(C278-C266)/C278</f>
        <v>-3.4298934426229465E-2</v>
      </c>
      <c r="D279" s="396">
        <f t="shared" ref="D279:E279" si="82">(D278-D266)/D278</f>
        <v>-0.21883261467889911</v>
      </c>
      <c r="E279" s="396">
        <f t="shared" si="82"/>
        <v>-0.31393380359612727</v>
      </c>
      <c r="G279" s="393">
        <f>(G278-G266)/G278</f>
        <v>0.17868266500622676</v>
      </c>
      <c r="I279" s="809"/>
      <c r="J279" s="800"/>
      <c r="K279" s="800"/>
      <c r="L279" s="800"/>
      <c r="M279" s="800"/>
      <c r="N279" s="176"/>
      <c r="O279" s="176"/>
      <c r="P279" s="176"/>
      <c r="AF279" s="336"/>
    </row>
    <row r="280" spans="1:32" s="480" customFormat="1">
      <c r="B280" s="435" t="s">
        <v>311</v>
      </c>
      <c r="I280" s="800"/>
      <c r="J280" s="800"/>
      <c r="K280" s="800"/>
      <c r="L280" s="800"/>
      <c r="M280" s="800"/>
      <c r="N280" s="176"/>
      <c r="O280" s="176"/>
      <c r="P280" s="176"/>
      <c r="AF280" s="336"/>
    </row>
    <row r="281" spans="1:32" s="480" customFormat="1">
      <c r="I281" s="800"/>
      <c r="J281" s="800"/>
      <c r="K281" s="800"/>
      <c r="L281" s="800"/>
      <c r="M281" s="800"/>
      <c r="N281" s="176"/>
      <c r="O281" s="176"/>
      <c r="P281" s="176"/>
      <c r="AF281" s="336"/>
    </row>
    <row r="282" spans="1:32" s="480" customFormat="1" ht="19.149999999999999" customHeight="1">
      <c r="I282" s="800"/>
      <c r="J282" s="800"/>
      <c r="K282" s="800"/>
      <c r="L282" s="800"/>
      <c r="M282" s="800"/>
      <c r="N282" s="176"/>
      <c r="O282" s="176"/>
      <c r="P282" s="176"/>
      <c r="AF282" s="336"/>
    </row>
    <row r="283" spans="1:32">
      <c r="A283" s="116"/>
      <c r="B283" s="181" t="s">
        <v>300</v>
      </c>
      <c r="C283" s="116"/>
      <c r="D283" s="116"/>
      <c r="E283" s="116"/>
      <c r="F283" s="116"/>
      <c r="G283" s="116"/>
      <c r="I283" s="116"/>
      <c r="J283" s="176"/>
      <c r="K283" s="176"/>
      <c r="L283" s="176"/>
      <c r="M283" s="176"/>
      <c r="N283" s="176"/>
      <c r="O283" s="176"/>
      <c r="P283" s="176"/>
      <c r="AF283" s="336"/>
    </row>
    <row r="284" spans="1:32" s="116" customFormat="1">
      <c r="J284" s="176"/>
      <c r="K284" s="176"/>
      <c r="L284" s="279"/>
      <c r="M284" s="279"/>
      <c r="N284" s="279"/>
      <c r="O284" s="279"/>
      <c r="P284" s="176"/>
      <c r="AF284" s="336"/>
    </row>
    <row r="285" spans="1:32">
      <c r="A285" s="116"/>
      <c r="B285" s="801" t="s">
        <v>286</v>
      </c>
      <c r="C285" s="800"/>
      <c r="D285" s="800"/>
      <c r="E285" s="800"/>
      <c r="F285" s="800"/>
      <c r="G285" s="802"/>
      <c r="I285" s="116"/>
      <c r="J285" s="116"/>
      <c r="K285" s="116"/>
      <c r="AF285" s="336"/>
    </row>
    <row r="286" spans="1:32">
      <c r="A286" s="116"/>
      <c r="B286" s="800"/>
      <c r="C286" s="800"/>
      <c r="D286" s="800"/>
      <c r="E286" s="800"/>
      <c r="F286" s="800"/>
      <c r="G286" s="802"/>
      <c r="I286" s="116"/>
      <c r="J286" s="116"/>
      <c r="K286" s="116"/>
      <c r="AF286" s="336"/>
    </row>
    <row r="287" spans="1:32">
      <c r="A287" s="116"/>
      <c r="I287" s="116"/>
      <c r="J287" s="116"/>
      <c r="K287" s="116"/>
      <c r="AF287" s="336"/>
    </row>
    <row r="288" spans="1:32">
      <c r="A288" s="116"/>
      <c r="B288" s="808" t="s">
        <v>287</v>
      </c>
      <c r="C288" s="800"/>
      <c r="D288" s="800"/>
      <c r="E288" s="800"/>
      <c r="F288" s="800"/>
      <c r="G288" s="802"/>
      <c r="I288" s="116"/>
      <c r="J288" s="116"/>
      <c r="K288" s="116"/>
      <c r="AF288" s="336"/>
    </row>
    <row r="289" spans="1:32">
      <c r="A289" s="116"/>
      <c r="B289" s="800"/>
      <c r="C289" s="800"/>
      <c r="D289" s="800"/>
      <c r="E289" s="800"/>
      <c r="F289" s="800"/>
      <c r="G289" s="802"/>
      <c r="I289" s="116"/>
      <c r="J289" s="116"/>
      <c r="K289" s="116"/>
      <c r="AF289" s="336"/>
    </row>
    <row r="290" spans="1:32">
      <c r="G290" s="116"/>
      <c r="I290" s="116"/>
      <c r="J290" s="116"/>
      <c r="K290" s="116"/>
      <c r="AF290" s="336"/>
    </row>
    <row r="291" spans="1:32">
      <c r="B291" s="230" t="s">
        <v>306</v>
      </c>
      <c r="G291" s="116"/>
      <c r="I291" s="116"/>
      <c r="J291" s="116"/>
      <c r="K291" s="116"/>
      <c r="AF291" s="336"/>
    </row>
    <row r="292" spans="1:32">
      <c r="A292" s="798">
        <v>1</v>
      </c>
      <c r="B292" s="803" t="s">
        <v>279</v>
      </c>
      <c r="C292" s="804"/>
      <c r="D292" s="804"/>
      <c r="E292" s="804"/>
      <c r="F292" s="804"/>
      <c r="G292" s="802"/>
      <c r="I292" s="116"/>
      <c r="J292" s="116"/>
      <c r="K292" s="116"/>
      <c r="AF292" s="336"/>
    </row>
    <row r="293" spans="1:32">
      <c r="A293" s="798"/>
      <c r="B293" s="804"/>
      <c r="C293" s="804"/>
      <c r="D293" s="804"/>
      <c r="E293" s="804"/>
      <c r="F293" s="804"/>
      <c r="G293" s="802"/>
      <c r="I293" s="116"/>
      <c r="J293" s="116"/>
      <c r="K293" s="116"/>
      <c r="AF293" s="336"/>
    </row>
    <row r="294" spans="1:32">
      <c r="A294" s="798"/>
      <c r="B294" s="804"/>
      <c r="C294" s="804"/>
      <c r="D294" s="804"/>
      <c r="E294" s="804"/>
      <c r="F294" s="804"/>
      <c r="G294" s="802"/>
      <c r="I294" s="116"/>
      <c r="J294" s="116"/>
      <c r="K294" s="116"/>
      <c r="AF294" s="336"/>
    </row>
    <row r="295" spans="1:32">
      <c r="A295" s="798"/>
      <c r="B295" s="804"/>
      <c r="C295" s="804"/>
      <c r="D295" s="804"/>
      <c r="E295" s="804"/>
      <c r="F295" s="804"/>
      <c r="G295" s="802"/>
      <c r="I295" s="116"/>
      <c r="J295" s="116"/>
      <c r="K295" s="116"/>
      <c r="AF295" s="336"/>
    </row>
    <row r="296" spans="1:32">
      <c r="G296" s="116"/>
      <c r="I296" s="116"/>
      <c r="J296" s="116"/>
      <c r="K296" s="116"/>
      <c r="AF296" s="336"/>
    </row>
    <row r="297" spans="1:32">
      <c r="A297" s="798">
        <v>2</v>
      </c>
      <c r="B297" s="803" t="s">
        <v>280</v>
      </c>
      <c r="C297" s="802"/>
      <c r="D297" s="802"/>
      <c r="E297" s="802"/>
      <c r="F297" s="802"/>
      <c r="G297" s="802"/>
      <c r="I297" s="116"/>
      <c r="J297" s="116"/>
      <c r="K297" s="116"/>
      <c r="AF297" s="336"/>
    </row>
    <row r="298" spans="1:32">
      <c r="A298" s="798"/>
      <c r="B298" s="802"/>
      <c r="C298" s="802"/>
      <c r="D298" s="802"/>
      <c r="E298" s="802"/>
      <c r="F298" s="802"/>
      <c r="G298" s="802"/>
      <c r="I298" s="116"/>
      <c r="J298" s="116"/>
      <c r="K298" s="116"/>
      <c r="AF298" s="336"/>
    </row>
    <row r="299" spans="1:32">
      <c r="A299" s="400"/>
      <c r="B299" s="398"/>
      <c r="C299" s="398"/>
      <c r="D299" s="398"/>
      <c r="E299" s="398"/>
      <c r="F299" s="398"/>
      <c r="G299" s="116"/>
      <c r="I299" s="116"/>
      <c r="J299" s="116"/>
      <c r="K299" s="116"/>
      <c r="AF299" s="336"/>
    </row>
    <row r="300" spans="1:32">
      <c r="A300" s="798">
        <v>3</v>
      </c>
      <c r="B300" s="803" t="s">
        <v>281</v>
      </c>
      <c r="C300" s="802"/>
      <c r="D300" s="802"/>
      <c r="E300" s="802"/>
      <c r="F300" s="802"/>
      <c r="G300" s="802"/>
      <c r="AF300" s="336"/>
    </row>
    <row r="301" spans="1:32">
      <c r="A301" s="802"/>
      <c r="B301" s="802"/>
      <c r="C301" s="802"/>
      <c r="D301" s="802"/>
      <c r="E301" s="802"/>
      <c r="F301" s="802"/>
      <c r="G301" s="802"/>
      <c r="N301" s="116"/>
      <c r="Q301" s="116"/>
      <c r="R301" s="116"/>
      <c r="AF301" s="336"/>
    </row>
    <row r="302" spans="1:32">
      <c r="A302" s="802"/>
      <c r="B302" s="802"/>
      <c r="C302" s="802"/>
      <c r="D302" s="802"/>
      <c r="E302" s="802"/>
      <c r="F302" s="802"/>
      <c r="G302" s="802"/>
      <c r="AF302" s="336"/>
    </row>
    <row r="303" spans="1:32">
      <c r="A303" s="400"/>
      <c r="AF303" s="336"/>
    </row>
    <row r="304" spans="1:32">
      <c r="A304" s="400"/>
      <c r="B304" s="1" t="s">
        <v>295</v>
      </c>
      <c r="AF304" s="336"/>
    </row>
    <row r="305" spans="1:32">
      <c r="A305" s="400"/>
      <c r="B305" s="398"/>
      <c r="C305" s="398"/>
      <c r="D305" s="398"/>
      <c r="E305" s="398"/>
      <c r="F305" s="398"/>
      <c r="AF305" s="336"/>
    </row>
    <row r="306" spans="1:32">
      <c r="AF306" s="336"/>
    </row>
    <row r="307" spans="1:32">
      <c r="AF307" s="336"/>
    </row>
    <row r="308" spans="1:32">
      <c r="AF308" s="336"/>
    </row>
    <row r="309" spans="1:32">
      <c r="AF309" s="336"/>
    </row>
    <row r="310" spans="1:32">
      <c r="AF310" s="336"/>
    </row>
    <row r="311" spans="1:32">
      <c r="A311" s="1" t="s">
        <v>323</v>
      </c>
      <c r="B311" s="1" t="s">
        <v>322</v>
      </c>
      <c r="C311" s="116"/>
      <c r="D311" s="116"/>
      <c r="E311" s="116"/>
      <c r="F311" s="116"/>
      <c r="G311" s="116"/>
      <c r="H311" s="116"/>
      <c r="AF311" s="336"/>
    </row>
    <row r="312" spans="1:32" ht="12.75" thickBot="1">
      <c r="B312" s="116"/>
      <c r="C312" s="116"/>
      <c r="D312" s="116"/>
      <c r="E312" s="116"/>
      <c r="F312" s="116"/>
      <c r="G312" s="116"/>
      <c r="H312" s="116"/>
      <c r="AF312" s="336"/>
    </row>
    <row r="313" spans="1:32" ht="23.65" thickBot="1">
      <c r="B313" s="394" t="str">
        <f>B245</f>
        <v>Load-Related                                     (£m, 2019-20 prices)</v>
      </c>
      <c r="C313" s="412" t="s">
        <v>282</v>
      </c>
      <c r="D313" s="413" t="s">
        <v>283</v>
      </c>
      <c r="E313" s="413" t="s">
        <v>284</v>
      </c>
      <c r="F313" s="414" t="s">
        <v>285</v>
      </c>
      <c r="G313" s="116"/>
      <c r="H313" s="116"/>
      <c r="AF313" s="336"/>
    </row>
    <row r="314" spans="1:32" ht="13.9" thickBot="1">
      <c r="B314" s="246" t="s">
        <v>307</v>
      </c>
      <c r="C314" s="519">
        <v>68.78308766727676</v>
      </c>
      <c r="D314" s="520">
        <v>196.51487543751222</v>
      </c>
      <c r="E314" s="520">
        <v>-184.55416643491645</v>
      </c>
      <c r="F314" s="519">
        <f>SUM(C314:E314)</f>
        <v>80.743796669872552</v>
      </c>
      <c r="G314" s="231" t="s">
        <v>503</v>
      </c>
      <c r="H314" s="480"/>
      <c r="I314" s="480"/>
      <c r="J314" s="480"/>
      <c r="K314" s="480"/>
      <c r="L314" s="480"/>
      <c r="M314" s="480"/>
      <c r="N314" s="480"/>
      <c r="O314" s="480"/>
      <c r="AF314" s="336"/>
    </row>
    <row r="315" spans="1:32" ht="13.9" thickBot="1">
      <c r="B315" s="246" t="s">
        <v>308</v>
      </c>
      <c r="C315" s="519">
        <v>76.513076859859638</v>
      </c>
      <c r="D315" s="520">
        <v>128.93142696504074</v>
      </c>
      <c r="E315" s="520">
        <v>-123.08301828256668</v>
      </c>
      <c r="F315" s="519">
        <f>SUM(C315:E315)</f>
        <v>82.361485542333696</v>
      </c>
      <c r="G315" s="231" t="s">
        <v>504</v>
      </c>
      <c r="H315" s="480"/>
      <c r="I315" s="480"/>
      <c r="J315" s="480"/>
      <c r="K315" s="480"/>
      <c r="L315" s="480"/>
      <c r="M315" s="480"/>
      <c r="N315" s="480"/>
      <c r="O315" s="480"/>
      <c r="AF315" s="336"/>
    </row>
    <row r="316" spans="1:32" s="480" customFormat="1" ht="13.9" thickBot="1">
      <c r="B316" s="246" t="s">
        <v>486</v>
      </c>
      <c r="C316" s="619" t="s">
        <v>500</v>
      </c>
      <c r="D316" s="620" t="s">
        <v>500</v>
      </c>
      <c r="E316" s="620" t="s">
        <v>500</v>
      </c>
      <c r="F316" s="619" t="s">
        <v>500</v>
      </c>
      <c r="G316" s="604" t="s">
        <v>501</v>
      </c>
      <c r="AF316" s="336"/>
    </row>
    <row r="317" spans="1:32" ht="13.9" thickBot="1">
      <c r="B317" s="384" t="s">
        <v>275</v>
      </c>
      <c r="C317" s="396">
        <f t="shared" ref="C317:F318" si="83">(C315-C314)/C315</f>
        <v>0.10102834064222807</v>
      </c>
      <c r="D317" s="396">
        <f t="shared" si="83"/>
        <v>-0.52418134246506454</v>
      </c>
      <c r="E317" s="396">
        <f t="shared" si="83"/>
        <v>-0.49942834527528368</v>
      </c>
      <c r="F317" s="393">
        <f t="shared" si="83"/>
        <v>1.9641327033005671E-2</v>
      </c>
      <c r="G317" s="116"/>
      <c r="H317" s="116"/>
      <c r="M317" s="480"/>
      <c r="N317" s="480"/>
      <c r="O317" s="480"/>
      <c r="AF317" s="336"/>
    </row>
    <row r="318" spans="1:32" s="480" customFormat="1" ht="13.9" thickBot="1">
      <c r="B318" s="384" t="s">
        <v>484</v>
      </c>
      <c r="C318" s="396" t="e">
        <f t="shared" si="83"/>
        <v>#VALUE!</v>
      </c>
      <c r="D318" s="396" t="e">
        <f t="shared" si="83"/>
        <v>#VALUE!</v>
      </c>
      <c r="E318" s="396" t="e">
        <f t="shared" si="83"/>
        <v>#VALUE!</v>
      </c>
      <c r="F318" s="393" t="e">
        <f t="shared" si="83"/>
        <v>#VALUE!</v>
      </c>
      <c r="AF318" s="336"/>
    </row>
    <row r="319" spans="1:32">
      <c r="B319" s="435" t="s">
        <v>309</v>
      </c>
      <c r="C319" s="116"/>
      <c r="D319" s="116"/>
      <c r="E319" s="116"/>
      <c r="F319" s="116"/>
      <c r="G319" s="116"/>
      <c r="H319" s="116"/>
      <c r="M319" s="480"/>
      <c r="N319" s="480"/>
      <c r="O319" s="480"/>
      <c r="AF319" s="336"/>
    </row>
    <row r="320" spans="1:32">
      <c r="B320" s="116"/>
      <c r="C320" s="116"/>
      <c r="D320" s="116"/>
      <c r="E320" s="116"/>
      <c r="F320" s="116"/>
      <c r="G320" s="116"/>
      <c r="H320" s="116"/>
      <c r="AF320" s="336"/>
    </row>
    <row r="321" spans="2:32">
      <c r="B321" s="181" t="s">
        <v>299</v>
      </c>
      <c r="C321" s="116"/>
      <c r="D321" s="116"/>
      <c r="E321" s="116"/>
      <c r="F321" s="116"/>
      <c r="G321" s="116"/>
      <c r="H321" s="116"/>
      <c r="J321" s="480"/>
      <c r="K321" s="480"/>
      <c r="L321" s="480"/>
      <c r="M321" s="480"/>
      <c r="AF321" s="336"/>
    </row>
    <row r="322" spans="2:32">
      <c r="C322" s="116"/>
      <c r="D322" s="116"/>
      <c r="E322" s="116"/>
      <c r="F322" s="116"/>
      <c r="G322" s="116"/>
      <c r="H322" s="116"/>
      <c r="I322" s="144"/>
      <c r="J322" s="144"/>
      <c r="K322" s="144"/>
      <c r="L322" s="144"/>
      <c r="M322" s="144"/>
      <c r="AF322" s="336"/>
    </row>
    <row r="323" spans="2:32">
      <c r="B323" s="1" t="s">
        <v>297</v>
      </c>
      <c r="C323" s="116"/>
      <c r="D323" s="116"/>
      <c r="E323" s="116"/>
      <c r="F323" s="116"/>
      <c r="G323" s="116"/>
      <c r="H323" s="116"/>
      <c r="AF323" s="336"/>
    </row>
    <row r="324" spans="2:32">
      <c r="B324" s="800" t="s">
        <v>296</v>
      </c>
      <c r="C324" s="800"/>
      <c r="D324" s="800"/>
      <c r="E324" s="800"/>
      <c r="F324" s="800"/>
      <c r="G324" s="116"/>
      <c r="H324" s="116"/>
      <c r="AF324" s="336"/>
    </row>
    <row r="325" spans="2:32">
      <c r="B325" s="800"/>
      <c r="C325" s="800"/>
      <c r="D325" s="800"/>
      <c r="E325" s="800"/>
      <c r="F325" s="800"/>
      <c r="G325" s="116"/>
      <c r="H325" s="116"/>
      <c r="AF325" s="336"/>
    </row>
    <row r="326" spans="2:32">
      <c r="B326" s="800"/>
      <c r="C326" s="800"/>
      <c r="D326" s="800"/>
      <c r="E326" s="800"/>
      <c r="F326" s="800"/>
      <c r="G326" s="116"/>
      <c r="H326" s="116"/>
      <c r="AF326" s="336"/>
    </row>
    <row r="327" spans="2:32">
      <c r="B327" s="116"/>
      <c r="C327" s="116"/>
      <c r="D327" s="116"/>
      <c r="E327" s="116"/>
      <c r="F327" s="116"/>
      <c r="G327" s="116"/>
      <c r="H327" s="116"/>
      <c r="AF327" s="336"/>
    </row>
    <row r="328" spans="2:32">
      <c r="B328" s="1" t="s">
        <v>294</v>
      </c>
      <c r="C328" s="116"/>
      <c r="D328" s="116"/>
      <c r="E328" s="116"/>
      <c r="F328" s="116"/>
      <c r="G328" s="116"/>
      <c r="H328" s="116"/>
      <c r="J328" s="480"/>
      <c r="K328" s="480"/>
      <c r="L328" s="480"/>
      <c r="M328" s="480"/>
      <c r="N328" s="480"/>
      <c r="AF328" s="336"/>
    </row>
    <row r="329" spans="2:32">
      <c r="B329" s="799" t="s">
        <v>291</v>
      </c>
      <c r="C329" s="800"/>
      <c r="D329" s="800"/>
      <c r="E329" s="800"/>
      <c r="F329" s="800"/>
      <c r="G329" s="116"/>
      <c r="H329" s="116"/>
      <c r="AF329" s="336"/>
    </row>
    <row r="330" spans="2:32">
      <c r="B330" s="800"/>
      <c r="C330" s="800"/>
      <c r="D330" s="800"/>
      <c r="E330" s="800"/>
      <c r="F330" s="800"/>
      <c r="G330" s="116"/>
      <c r="H330" s="116"/>
      <c r="AF330" s="336"/>
    </row>
    <row r="331" spans="2:32">
      <c r="B331" s="799" t="s">
        <v>292</v>
      </c>
      <c r="C331" s="800"/>
      <c r="D331" s="800"/>
      <c r="E331" s="800"/>
      <c r="F331" s="800"/>
      <c r="G331" s="116"/>
      <c r="AF331" s="336"/>
    </row>
    <row r="332" spans="2:32">
      <c r="B332" s="800"/>
      <c r="C332" s="800"/>
      <c r="D332" s="800"/>
      <c r="E332" s="800"/>
      <c r="F332" s="800"/>
      <c r="G332" s="116"/>
      <c r="AF332" s="336"/>
    </row>
    <row r="333" spans="2:32">
      <c r="G333" s="116"/>
      <c r="H333" s="116"/>
      <c r="AF333" s="336"/>
    </row>
    <row r="334" spans="2:32">
      <c r="B334" s="1" t="s">
        <v>298</v>
      </c>
      <c r="G334" s="116"/>
      <c r="AF334" s="336"/>
    </row>
    <row r="335" spans="2:32">
      <c r="B335" s="799" t="s">
        <v>293</v>
      </c>
      <c r="C335" s="800"/>
      <c r="D335" s="800"/>
      <c r="E335" s="800"/>
      <c r="F335" s="800"/>
      <c r="G335" s="116"/>
      <c r="I335" s="176"/>
      <c r="J335" s="176"/>
      <c r="K335" s="176"/>
      <c r="L335" s="176"/>
      <c r="M335" s="176"/>
      <c r="N335" s="176"/>
      <c r="O335" s="176"/>
      <c r="P335" s="176"/>
      <c r="Q335" s="176"/>
      <c r="R335" s="176"/>
      <c r="S335" s="176"/>
      <c r="T335" s="176"/>
      <c r="U335" s="176"/>
      <c r="V335" s="176"/>
      <c r="W335" s="176"/>
      <c r="AF335" s="336"/>
    </row>
    <row r="336" spans="2:32">
      <c r="B336" s="800"/>
      <c r="C336" s="800"/>
      <c r="D336" s="800"/>
      <c r="E336" s="800"/>
      <c r="F336" s="800"/>
      <c r="G336" s="116"/>
      <c r="H336" s="116"/>
      <c r="I336" s="176"/>
      <c r="J336" s="176"/>
      <c r="K336" s="176"/>
      <c r="L336" s="176"/>
      <c r="M336" s="176"/>
      <c r="N336" s="176"/>
      <c r="O336" s="176"/>
      <c r="P336" s="176"/>
      <c r="Q336" s="176"/>
      <c r="R336" s="176"/>
      <c r="S336" s="176"/>
      <c r="T336" s="176"/>
      <c r="U336" s="176"/>
      <c r="V336" s="176"/>
      <c r="W336" s="176"/>
      <c r="AF336" s="336"/>
    </row>
    <row r="337" spans="1:32">
      <c r="B337" s="116"/>
      <c r="C337" s="116"/>
      <c r="D337" s="116"/>
      <c r="E337" s="116"/>
      <c r="F337" s="116"/>
      <c r="G337" s="116"/>
      <c r="H337" s="116"/>
      <c r="I337" s="176"/>
      <c r="J337" s="759"/>
      <c r="K337" s="609"/>
      <c r="L337" s="759"/>
      <c r="M337" s="759"/>
      <c r="N337" s="759"/>
      <c r="O337" s="759"/>
      <c r="P337" s="759"/>
      <c r="Q337" s="176"/>
      <c r="R337" s="176"/>
      <c r="S337" s="176"/>
      <c r="T337" s="176"/>
      <c r="U337" s="176"/>
      <c r="V337" s="176"/>
      <c r="W337" s="176"/>
      <c r="AF337" s="336"/>
    </row>
    <row r="338" spans="1:32">
      <c r="G338" s="116"/>
      <c r="I338" s="176"/>
      <c r="J338" s="759"/>
      <c r="K338" s="621"/>
      <c r="L338" s="609"/>
      <c r="M338" s="609"/>
      <c r="N338" s="609"/>
      <c r="O338" s="609"/>
      <c r="P338" s="759"/>
      <c r="Q338" s="176"/>
      <c r="R338" s="621"/>
      <c r="S338" s="621"/>
      <c r="T338" s="621"/>
      <c r="U338" s="621"/>
      <c r="V338" s="621"/>
      <c r="W338" s="621"/>
      <c r="AF338" s="336"/>
    </row>
    <row r="339" spans="1:32">
      <c r="B339" s="230" t="s">
        <v>295</v>
      </c>
      <c r="C339" s="116"/>
      <c r="D339" s="116"/>
      <c r="E339" s="116"/>
      <c r="F339" s="116"/>
      <c r="G339" s="116"/>
      <c r="I339" s="176"/>
      <c r="J339" s="621"/>
      <c r="K339" s="622"/>
      <c r="L339" s="621"/>
      <c r="M339" s="621"/>
      <c r="N339" s="621"/>
      <c r="O339" s="621"/>
      <c r="P339" s="621"/>
      <c r="Q339" s="176"/>
      <c r="R339" s="621"/>
      <c r="S339" s="621"/>
      <c r="T339" s="621"/>
      <c r="U339" s="621"/>
      <c r="V339" s="621"/>
      <c r="W339" s="621"/>
      <c r="AF339" s="336"/>
    </row>
    <row r="340" spans="1:32">
      <c r="B340" s="819" t="s">
        <v>301</v>
      </c>
      <c r="C340" s="819"/>
      <c r="D340" s="819"/>
      <c r="E340" s="819"/>
      <c r="F340" s="819"/>
      <c r="G340" s="116"/>
      <c r="I340" s="176"/>
      <c r="J340" s="621"/>
      <c r="K340" s="622"/>
      <c r="L340" s="621"/>
      <c r="M340" s="621"/>
      <c r="N340" s="621"/>
      <c r="O340" s="621"/>
      <c r="P340" s="621"/>
      <c r="Q340" s="176"/>
      <c r="R340" s="621"/>
      <c r="S340" s="621"/>
      <c r="T340" s="621"/>
      <c r="U340" s="621"/>
      <c r="V340" s="621"/>
      <c r="W340" s="621"/>
      <c r="AF340" s="336"/>
    </row>
    <row r="341" spans="1:32">
      <c r="B341" s="819"/>
      <c r="C341" s="819"/>
      <c r="D341" s="819"/>
      <c r="E341" s="819"/>
      <c r="F341" s="819"/>
      <c r="G341" s="116"/>
      <c r="H341" s="116"/>
      <c r="I341" s="176"/>
      <c r="J341" s="621"/>
      <c r="K341" s="622"/>
      <c r="L341" s="621"/>
      <c r="M341" s="621"/>
      <c r="N341" s="621"/>
      <c r="O341" s="621"/>
      <c r="P341" s="621"/>
      <c r="Q341" s="176"/>
      <c r="R341" s="758"/>
      <c r="S341" s="621"/>
      <c r="T341" s="621"/>
      <c r="U341" s="621"/>
      <c r="V341" s="621"/>
      <c r="W341" s="621"/>
      <c r="AF341" s="336"/>
    </row>
    <row r="342" spans="1:32">
      <c r="C342" s="116"/>
      <c r="D342" s="116"/>
      <c r="E342" s="116"/>
      <c r="F342" s="116"/>
      <c r="G342" s="116"/>
      <c r="H342" s="116"/>
      <c r="I342" s="176"/>
      <c r="J342" s="758"/>
      <c r="K342" s="622"/>
      <c r="L342" s="621"/>
      <c r="M342" s="621"/>
      <c r="N342" s="621"/>
      <c r="O342" s="621"/>
      <c r="P342" s="621"/>
      <c r="Q342" s="176"/>
      <c r="R342" s="758"/>
      <c r="S342" s="621"/>
      <c r="T342" s="621"/>
      <c r="U342" s="621"/>
      <c r="V342" s="621"/>
      <c r="W342" s="621"/>
      <c r="AF342" s="336"/>
    </row>
    <row r="343" spans="1:32">
      <c r="I343" s="176"/>
      <c r="J343" s="758"/>
      <c r="K343" s="622"/>
      <c r="L343" s="621"/>
      <c r="M343" s="621"/>
      <c r="N343" s="621"/>
      <c r="O343" s="621"/>
      <c r="P343" s="621"/>
      <c r="Q343" s="176"/>
      <c r="R343" s="758"/>
      <c r="S343" s="621"/>
      <c r="T343" s="621"/>
      <c r="U343" s="621"/>
      <c r="V343" s="621"/>
      <c r="W343" s="621"/>
      <c r="AF343" s="336"/>
    </row>
    <row r="344" spans="1:32">
      <c r="I344" s="176"/>
      <c r="J344" s="758"/>
      <c r="K344" s="622"/>
      <c r="L344" s="621"/>
      <c r="M344" s="621"/>
      <c r="N344" s="621"/>
      <c r="O344" s="621"/>
      <c r="P344" s="621"/>
      <c r="Q344" s="176"/>
      <c r="R344" s="758"/>
      <c r="S344" s="621"/>
      <c r="T344" s="621"/>
      <c r="U344" s="621"/>
      <c r="V344" s="621"/>
      <c r="W344" s="621"/>
      <c r="AF344" s="336"/>
    </row>
    <row r="345" spans="1:32">
      <c r="A345" s="1" t="s">
        <v>290</v>
      </c>
      <c r="B345" s="1" t="s">
        <v>324</v>
      </c>
      <c r="C345" s="116"/>
      <c r="D345" s="116"/>
      <c r="E345" s="116"/>
      <c r="F345" s="116"/>
      <c r="G345" s="116"/>
      <c r="I345" s="176"/>
      <c r="J345" s="758"/>
      <c r="K345" s="622"/>
      <c r="L345" s="621"/>
      <c r="M345" s="621"/>
      <c r="N345" s="621"/>
      <c r="O345" s="621"/>
      <c r="P345" s="621"/>
      <c r="Q345" s="176"/>
      <c r="R345" s="621"/>
      <c r="S345" s="621"/>
      <c r="T345" s="621"/>
      <c r="U345" s="621"/>
      <c r="V345" s="621"/>
      <c r="W345" s="621"/>
      <c r="AF345" s="336"/>
    </row>
    <row r="346" spans="1:32" ht="12.75" thickBot="1">
      <c r="A346" s="116"/>
      <c r="B346" s="116"/>
      <c r="C346" s="116"/>
      <c r="D346" s="116"/>
      <c r="E346" s="116"/>
      <c r="F346" s="116"/>
      <c r="G346" s="116"/>
      <c r="I346" s="176"/>
      <c r="J346" s="621"/>
      <c r="K346" s="622"/>
      <c r="L346" s="621"/>
      <c r="M346" s="621"/>
      <c r="N346" s="621"/>
      <c r="O346" s="621"/>
      <c r="P346" s="621"/>
      <c r="Q346" s="176"/>
      <c r="R346" s="621"/>
      <c r="S346" s="621"/>
      <c r="T346" s="621"/>
      <c r="U346" s="621"/>
      <c r="V346" s="621"/>
      <c r="W346" s="621"/>
      <c r="AF346" s="336"/>
    </row>
    <row r="347" spans="1:32" ht="23.65" thickBot="1">
      <c r="A347" s="116"/>
      <c r="B347" s="394" t="str">
        <f>B313</f>
        <v>Load-Related                                     (£m, 2019-20 prices)</v>
      </c>
      <c r="C347" s="412" t="s">
        <v>282</v>
      </c>
      <c r="D347" s="413" t="s">
        <v>283</v>
      </c>
      <c r="E347" s="413" t="s">
        <v>284</v>
      </c>
      <c r="F347" s="414" t="s">
        <v>285</v>
      </c>
      <c r="G347" s="116"/>
      <c r="I347" s="176"/>
      <c r="J347" s="621"/>
      <c r="K347" s="622"/>
      <c r="L347" s="621"/>
      <c r="M347" s="621"/>
      <c r="N347" s="621"/>
      <c r="O347" s="621"/>
      <c r="P347" s="621"/>
      <c r="Q347" s="176"/>
      <c r="R347" s="621"/>
      <c r="S347" s="621"/>
      <c r="T347" s="621"/>
      <c r="U347" s="621"/>
      <c r="V347" s="621"/>
      <c r="W347" s="621"/>
      <c r="AF347" s="336"/>
    </row>
    <row r="348" spans="1:32" ht="13.9" thickBot="1">
      <c r="A348" s="116"/>
      <c r="B348" s="246" t="s">
        <v>307</v>
      </c>
      <c r="C348" s="390">
        <v>-227.06527537623663</v>
      </c>
      <c r="D348" s="381">
        <v>-118.90769864666672</v>
      </c>
      <c r="E348" s="381">
        <v>-45.590407767303027</v>
      </c>
      <c r="F348" s="390">
        <f>SUM(C348:E348)</f>
        <v>-391.56338179020639</v>
      </c>
      <c r="G348" s="116" t="s">
        <v>502</v>
      </c>
      <c r="I348" s="176"/>
      <c r="J348" s="621"/>
      <c r="K348" s="622"/>
      <c r="L348" s="621"/>
      <c r="M348" s="621"/>
      <c r="N348" s="621"/>
      <c r="O348" s="621"/>
      <c r="P348" s="621"/>
      <c r="Q348" s="176"/>
      <c r="R348" s="621"/>
      <c r="S348" s="621"/>
      <c r="T348" s="621"/>
      <c r="U348" s="621"/>
      <c r="V348" s="621"/>
      <c r="W348" s="621"/>
      <c r="AF348" s="336"/>
    </row>
    <row r="349" spans="1:32" ht="13.9" thickBot="1">
      <c r="A349" s="116"/>
      <c r="B349" s="246" t="s">
        <v>308</v>
      </c>
      <c r="C349" s="390">
        <v>-265.70551</v>
      </c>
      <c r="D349" s="381">
        <v>-95.920714999999987</v>
      </c>
      <c r="E349" s="381">
        <v>-73.864080000000001</v>
      </c>
      <c r="F349" s="390">
        <f>SUM(C349:E349)</f>
        <v>-435.49030499999998</v>
      </c>
      <c r="G349" s="480" t="s">
        <v>502</v>
      </c>
      <c r="I349" s="176"/>
      <c r="J349" s="621"/>
      <c r="K349" s="622"/>
      <c r="L349" s="621"/>
      <c r="M349" s="621"/>
      <c r="N349" s="621"/>
      <c r="O349" s="621"/>
      <c r="P349" s="621"/>
      <c r="Q349" s="176"/>
      <c r="R349" s="621"/>
      <c r="S349" s="621"/>
      <c r="T349" s="621"/>
      <c r="U349" s="621"/>
      <c r="V349" s="621"/>
      <c r="W349" s="621"/>
      <c r="AF349" s="336"/>
    </row>
    <row r="350" spans="1:32" s="480" customFormat="1" ht="13.9" thickBot="1">
      <c r="B350" s="246" t="s">
        <v>486</v>
      </c>
      <c r="C350" s="610">
        <v>-147.00834497359116</v>
      </c>
      <c r="D350" s="613">
        <v>-70.464625620207485</v>
      </c>
      <c r="E350" s="613">
        <v>-28.333862965064679</v>
      </c>
      <c r="F350" s="390">
        <v>-245.80683355886333</v>
      </c>
      <c r="G350" s="480" t="s">
        <v>502</v>
      </c>
      <c r="I350" s="176"/>
      <c r="J350" s="758"/>
      <c r="K350" s="622"/>
      <c r="L350" s="621"/>
      <c r="M350" s="621"/>
      <c r="N350" s="621"/>
      <c r="O350" s="621"/>
      <c r="P350" s="621"/>
      <c r="Q350" s="176"/>
      <c r="R350" s="621"/>
      <c r="S350" s="621"/>
      <c r="T350" s="621"/>
      <c r="U350" s="621"/>
      <c r="V350" s="621"/>
      <c r="W350" s="621"/>
      <c r="AF350" s="336"/>
    </row>
    <row r="351" spans="1:32" ht="13.9" thickBot="1">
      <c r="A351" s="116"/>
      <c r="B351" s="384" t="s">
        <v>275</v>
      </c>
      <c r="C351" s="396">
        <f t="shared" ref="C351:F352" si="84">(C349-C348)/C349</f>
        <v>0.14542504076698815</v>
      </c>
      <c r="D351" s="396">
        <f t="shared" si="84"/>
        <v>-0.23964566618031083</v>
      </c>
      <c r="E351" s="396">
        <f t="shared" si="84"/>
        <v>0.38277972503951818</v>
      </c>
      <c r="F351" s="393">
        <f t="shared" si="84"/>
        <v>0.100867740809508</v>
      </c>
      <c r="G351" s="116"/>
      <c r="I351" s="176"/>
      <c r="J351" s="758"/>
      <c r="K351" s="622"/>
      <c r="L351" s="621"/>
      <c r="M351" s="621"/>
      <c r="N351" s="621"/>
      <c r="O351" s="621"/>
      <c r="P351" s="621"/>
      <c r="Q351" s="176"/>
      <c r="R351" s="621"/>
      <c r="S351" s="623"/>
      <c r="T351" s="621"/>
      <c r="U351" s="621"/>
      <c r="V351" s="621"/>
      <c r="W351" s="621"/>
      <c r="AF351" s="336"/>
    </row>
    <row r="352" spans="1:32" s="480" customFormat="1" ht="13.9" thickBot="1">
      <c r="B352" s="384" t="s">
        <v>484</v>
      </c>
      <c r="C352" s="396">
        <f t="shared" si="84"/>
        <v>-0.80741787173872204</v>
      </c>
      <c r="D352" s="396">
        <f t="shared" si="84"/>
        <v>-0.36126054961246162</v>
      </c>
      <c r="E352" s="396">
        <f t="shared" si="84"/>
        <v>-1.606918798579408</v>
      </c>
      <c r="F352" s="393">
        <f t="shared" si="84"/>
        <v>-0.77167696558652898</v>
      </c>
      <c r="I352" s="176"/>
      <c r="J352" s="621"/>
      <c r="K352" s="622"/>
      <c r="L352" s="621"/>
      <c r="M352" s="621"/>
      <c r="N352" s="621"/>
      <c r="O352" s="621"/>
      <c r="P352" s="621"/>
      <c r="Q352" s="176"/>
      <c r="R352" s="621"/>
      <c r="S352" s="621"/>
      <c r="T352" s="621"/>
      <c r="U352" s="621"/>
      <c r="V352" s="621"/>
      <c r="W352" s="621"/>
      <c r="AF352" s="336"/>
    </row>
    <row r="353" spans="1:32">
      <c r="A353" s="116"/>
      <c r="B353" s="435" t="s">
        <v>345</v>
      </c>
      <c r="C353" s="116"/>
      <c r="D353" s="116"/>
      <c r="E353" s="116"/>
      <c r="F353" s="116"/>
      <c r="G353" s="116"/>
      <c r="I353" s="176"/>
      <c r="J353" s="621"/>
      <c r="K353" s="622"/>
      <c r="L353" s="621"/>
      <c r="M353" s="621"/>
      <c r="N353" s="621"/>
      <c r="O353" s="621"/>
      <c r="P353" s="621"/>
      <c r="Q353" s="176"/>
      <c r="R353" s="621"/>
      <c r="S353" s="621"/>
      <c r="T353" s="621"/>
      <c r="U353" s="621"/>
      <c r="V353" s="621"/>
      <c r="W353" s="621"/>
      <c r="AF353" s="336"/>
    </row>
    <row r="354" spans="1:32" ht="13.5">
      <c r="A354" s="83"/>
      <c r="B354" s="83"/>
      <c r="C354" s="404"/>
      <c r="D354" s="406"/>
      <c r="E354" s="406"/>
      <c r="F354" s="406"/>
      <c r="G354" s="116"/>
      <c r="H354" s="406"/>
      <c r="I354" s="83"/>
      <c r="J354" s="621"/>
      <c r="K354" s="622"/>
      <c r="L354" s="621"/>
      <c r="M354" s="621"/>
      <c r="N354" s="621"/>
      <c r="O354" s="621"/>
      <c r="P354" s="621"/>
      <c r="Q354" s="176"/>
      <c r="R354" s="621"/>
      <c r="S354" s="621"/>
      <c r="T354" s="621"/>
      <c r="U354" s="621"/>
      <c r="V354" s="621"/>
      <c r="W354" s="621"/>
      <c r="AF354" s="336"/>
    </row>
    <row r="355" spans="1:32" s="116" customFormat="1" ht="23.25" customHeight="1">
      <c r="A355" s="83"/>
      <c r="B355" s="181" t="s">
        <v>302</v>
      </c>
      <c r="H355" s="406"/>
      <c r="I355" s="83"/>
      <c r="J355" s="758"/>
      <c r="K355" s="760"/>
      <c r="L355" s="758"/>
      <c r="M355" s="758"/>
      <c r="N355" s="758"/>
      <c r="O355" s="758"/>
      <c r="P355" s="758"/>
      <c r="Q355" s="176"/>
      <c r="R355" s="176"/>
      <c r="S355" s="176"/>
      <c r="T355" s="176"/>
      <c r="U355" s="176"/>
      <c r="V355" s="176"/>
      <c r="W355" s="176"/>
      <c r="AF355" s="336"/>
    </row>
    <row r="356" spans="1:32" s="116" customFormat="1" ht="13.5">
      <c r="A356" s="83"/>
      <c r="G356" s="83"/>
      <c r="H356" s="406"/>
      <c r="I356" s="83"/>
      <c r="J356" s="758"/>
      <c r="K356" s="760"/>
      <c r="L356" s="758"/>
      <c r="M356" s="758"/>
      <c r="N356" s="758"/>
      <c r="O356" s="758"/>
      <c r="P356" s="758"/>
      <c r="Q356" s="176"/>
      <c r="R356" s="176"/>
      <c r="S356" s="176"/>
      <c r="T356" s="176"/>
      <c r="U356" s="176"/>
      <c r="V356" s="176"/>
      <c r="W356" s="176"/>
      <c r="AF356" s="336"/>
    </row>
    <row r="357" spans="1:32" s="116" customFormat="1" ht="13.5">
      <c r="A357" s="83"/>
      <c r="B357" s="800" t="s">
        <v>289</v>
      </c>
      <c r="C357" s="800"/>
      <c r="D357" s="800"/>
      <c r="E357" s="800"/>
      <c r="F357" s="800"/>
      <c r="G357" s="83"/>
      <c r="H357" s="406"/>
      <c r="I357" s="83"/>
      <c r="J357" s="621"/>
      <c r="K357" s="624"/>
      <c r="L357" s="621"/>
      <c r="M357" s="621"/>
      <c r="N357" s="621"/>
      <c r="O357" s="621"/>
      <c r="P357" s="621"/>
      <c r="Q357" s="176"/>
      <c r="R357" s="176"/>
      <c r="S357" s="176"/>
      <c r="T357" s="176"/>
      <c r="U357" s="176"/>
      <c r="V357" s="176"/>
      <c r="W357" s="176"/>
      <c r="AF357" s="336"/>
    </row>
    <row r="358" spans="1:32" s="116" customFormat="1" ht="13.5">
      <c r="A358" s="83"/>
      <c r="B358" s="800"/>
      <c r="C358" s="800"/>
      <c r="D358" s="800"/>
      <c r="E358" s="800"/>
      <c r="F358" s="800"/>
      <c r="G358" s="83"/>
      <c r="H358" s="406"/>
      <c r="I358" s="83"/>
      <c r="J358" s="176"/>
      <c r="K358" s="625"/>
      <c r="L358" s="176"/>
      <c r="M358" s="176"/>
      <c r="N358" s="176"/>
      <c r="O358" s="176"/>
      <c r="P358" s="176"/>
      <c r="Q358" s="176"/>
      <c r="R358" s="176"/>
      <c r="S358" s="176"/>
      <c r="T358" s="176"/>
      <c r="U358" s="176"/>
      <c r="V358" s="176"/>
      <c r="W358" s="176"/>
      <c r="AF358" s="336"/>
    </row>
    <row r="359" spans="1:32" s="116" customFormat="1" ht="13.9">
      <c r="A359" s="83"/>
      <c r="B359" s="800"/>
      <c r="C359" s="800"/>
      <c r="D359" s="800"/>
      <c r="E359" s="800"/>
      <c r="F359" s="800"/>
      <c r="G359" s="83"/>
      <c r="H359" s="417"/>
      <c r="I359" s="83"/>
      <c r="J359" s="176"/>
      <c r="K359" s="176"/>
      <c r="L359" s="176"/>
      <c r="M359" s="176"/>
      <c r="N359" s="176"/>
      <c r="O359" s="176"/>
      <c r="P359" s="176"/>
      <c r="Q359" s="176"/>
      <c r="R359" s="279"/>
      <c r="S359" s="279"/>
      <c r="T359" s="279"/>
      <c r="U359" s="279"/>
      <c r="V359" s="176"/>
      <c r="W359" s="176"/>
      <c r="AF359" s="336"/>
    </row>
    <row r="360" spans="1:32" s="116" customFormat="1" ht="13.5">
      <c r="A360" s="83"/>
      <c r="G360" s="83"/>
      <c r="H360" s="406"/>
      <c r="I360" s="83"/>
      <c r="J360" s="176"/>
      <c r="K360" s="176"/>
      <c r="L360" s="176"/>
      <c r="M360" s="176"/>
      <c r="N360" s="176"/>
      <c r="O360" s="176"/>
      <c r="P360" s="176"/>
      <c r="Q360" s="176"/>
      <c r="R360" s="176"/>
      <c r="S360" s="176"/>
      <c r="T360" s="176"/>
      <c r="U360" s="176"/>
      <c r="V360" s="176"/>
      <c r="W360" s="176"/>
      <c r="X360" s="480"/>
      <c r="AF360" s="336"/>
    </row>
    <row r="361" spans="1:32" s="116" customFormat="1" ht="13.5">
      <c r="A361" s="83"/>
      <c r="B361" s="1" t="s">
        <v>310</v>
      </c>
      <c r="G361" s="83"/>
      <c r="H361" s="406"/>
      <c r="I361" s="83"/>
      <c r="J361" s="176"/>
      <c r="K361" s="176"/>
      <c r="L361" s="176"/>
      <c r="M361" s="176"/>
      <c r="N361" s="176"/>
      <c r="O361" s="176"/>
      <c r="P361" s="176"/>
      <c r="Q361" s="176"/>
      <c r="R361" s="176"/>
      <c r="S361" s="176"/>
      <c r="T361" s="176"/>
      <c r="U361" s="176"/>
      <c r="V361" s="176"/>
      <c r="W361" s="176"/>
      <c r="AF361" s="336"/>
    </row>
    <row r="362" spans="1:32" s="116" customFormat="1" ht="13.5">
      <c r="A362" s="83"/>
      <c r="B362" s="799" t="s">
        <v>291</v>
      </c>
      <c r="C362" s="800"/>
      <c r="D362" s="800"/>
      <c r="E362" s="800"/>
      <c r="F362" s="800"/>
      <c r="G362" s="83"/>
      <c r="H362" s="406"/>
      <c r="I362" s="83"/>
      <c r="J362" s="176"/>
      <c r="K362" s="176"/>
      <c r="L362" s="176"/>
      <c r="M362" s="176"/>
      <c r="N362" s="176"/>
      <c r="O362" s="176"/>
      <c r="P362" s="176"/>
      <c r="Q362" s="176"/>
      <c r="R362" s="176"/>
      <c r="S362" s="176"/>
      <c r="T362" s="176"/>
      <c r="U362" s="176"/>
      <c r="V362" s="176"/>
      <c r="W362" s="176"/>
      <c r="AF362" s="336"/>
    </row>
    <row r="363" spans="1:32" s="116" customFormat="1" ht="28.5" customHeight="1">
      <c r="A363" s="83"/>
      <c r="B363" s="800"/>
      <c r="C363" s="800"/>
      <c r="D363" s="800"/>
      <c r="E363" s="800"/>
      <c r="F363" s="800"/>
      <c r="G363" s="83"/>
      <c r="H363" s="406"/>
      <c r="I363" s="83"/>
      <c r="J363" s="176"/>
      <c r="K363" s="176"/>
      <c r="L363" s="176"/>
      <c r="M363" s="176"/>
      <c r="N363" s="176"/>
      <c r="O363" s="176"/>
      <c r="P363" s="176"/>
      <c r="Q363" s="176"/>
      <c r="R363" s="176"/>
      <c r="S363" s="176"/>
      <c r="T363" s="176"/>
      <c r="U363" s="176"/>
      <c r="V363" s="176"/>
      <c r="W363" s="176"/>
      <c r="AF363" s="336"/>
    </row>
    <row r="364" spans="1:32" s="116" customFormat="1">
      <c r="A364" s="83"/>
      <c r="B364" s="799" t="s">
        <v>292</v>
      </c>
      <c r="C364" s="800"/>
      <c r="D364" s="800"/>
      <c r="E364" s="800"/>
      <c r="F364" s="800"/>
      <c r="I364" s="176"/>
      <c r="J364" s="176"/>
      <c r="K364" s="176"/>
      <c r="L364" s="176"/>
      <c r="M364" s="176"/>
      <c r="N364" s="176"/>
      <c r="O364" s="176"/>
      <c r="P364" s="176"/>
      <c r="Q364" s="176"/>
      <c r="R364" s="176"/>
      <c r="S364" s="176"/>
      <c r="T364" s="176"/>
      <c r="U364" s="176"/>
      <c r="V364" s="176"/>
      <c r="W364" s="176"/>
      <c r="AF364" s="336"/>
    </row>
    <row r="365" spans="1:32" s="116" customFormat="1">
      <c r="A365" s="83"/>
      <c r="B365" s="800"/>
      <c r="C365" s="800"/>
      <c r="D365" s="800"/>
      <c r="E365" s="800"/>
      <c r="F365" s="800"/>
      <c r="I365" s="176"/>
      <c r="J365" s="176"/>
      <c r="K365" s="176"/>
      <c r="L365" s="176"/>
      <c r="M365" s="176"/>
      <c r="N365" s="176"/>
      <c r="O365" s="176"/>
      <c r="P365" s="176"/>
      <c r="Q365" s="176"/>
      <c r="R365" s="176"/>
      <c r="S365" s="176"/>
      <c r="T365" s="176"/>
      <c r="U365" s="176"/>
      <c r="V365" s="176"/>
      <c r="W365" s="176"/>
      <c r="AF365" s="336"/>
    </row>
    <row r="366" spans="1:32" s="116" customFormat="1" ht="20.25" customHeight="1">
      <c r="A366" s="83"/>
      <c r="B366" s="802"/>
      <c r="C366" s="802"/>
      <c r="D366" s="802"/>
      <c r="E366" s="802"/>
      <c r="F366" s="802"/>
      <c r="G366" s="83"/>
      <c r="H366" s="406"/>
      <c r="I366" s="83"/>
      <c r="J366" s="176"/>
      <c r="K366" s="176"/>
      <c r="L366" s="176"/>
      <c r="M366" s="176"/>
      <c r="N366" s="176"/>
      <c r="O366" s="176"/>
      <c r="P366" s="176"/>
      <c r="Q366" s="176"/>
      <c r="R366" s="176"/>
      <c r="S366" s="176"/>
      <c r="T366" s="176"/>
      <c r="U366" s="176"/>
      <c r="V366" s="176"/>
      <c r="W366" s="176"/>
      <c r="AF366" s="336"/>
    </row>
    <row r="367" spans="1:32" s="116" customFormat="1" ht="13.5">
      <c r="A367" s="83"/>
      <c r="G367" s="83"/>
      <c r="H367" s="406"/>
      <c r="I367" s="83"/>
      <c r="J367" s="176"/>
      <c r="K367" s="176"/>
      <c r="L367" s="176"/>
      <c r="M367" s="176"/>
      <c r="N367" s="176"/>
      <c r="O367" s="176"/>
      <c r="P367" s="176"/>
      <c r="Q367" s="176"/>
      <c r="R367" s="176"/>
      <c r="S367" s="176"/>
      <c r="T367" s="176"/>
      <c r="U367" s="176"/>
      <c r="V367" s="176"/>
      <c r="W367" s="176"/>
      <c r="AF367" s="336"/>
    </row>
    <row r="368" spans="1:32" s="116" customFormat="1" ht="13.5">
      <c r="A368" s="83"/>
      <c r="B368" s="799" t="s">
        <v>288</v>
      </c>
      <c r="C368" s="800"/>
      <c r="D368" s="800"/>
      <c r="E368" s="800"/>
      <c r="F368" s="800"/>
      <c r="G368" s="83"/>
      <c r="H368" s="406"/>
      <c r="I368" s="83"/>
      <c r="J368" s="176"/>
      <c r="K368" s="176"/>
      <c r="L368" s="176"/>
      <c r="M368" s="176"/>
      <c r="N368" s="176"/>
      <c r="O368" s="176"/>
      <c r="P368" s="176"/>
      <c r="Q368" s="176"/>
      <c r="R368" s="176"/>
      <c r="S368" s="176"/>
      <c r="T368" s="176"/>
      <c r="U368" s="176"/>
      <c r="V368" s="176"/>
      <c r="W368" s="176"/>
      <c r="AF368" s="336"/>
    </row>
    <row r="369" spans="1:32" s="116" customFormat="1" ht="24" customHeight="1">
      <c r="A369" s="83"/>
      <c r="B369" s="800"/>
      <c r="C369" s="800"/>
      <c r="D369" s="800"/>
      <c r="E369" s="800"/>
      <c r="F369" s="800"/>
      <c r="G369" s="83"/>
      <c r="H369" s="406"/>
      <c r="I369" s="83"/>
      <c r="J369" s="176"/>
      <c r="K369" s="176"/>
      <c r="L369" s="176"/>
      <c r="M369" s="176"/>
      <c r="N369" s="176"/>
      <c r="O369" s="176"/>
      <c r="P369" s="176"/>
      <c r="Q369" s="176"/>
      <c r="R369" s="176"/>
      <c r="S369" s="176"/>
      <c r="T369" s="176"/>
      <c r="U369" s="176"/>
      <c r="V369" s="176"/>
      <c r="W369" s="176"/>
      <c r="AF369" s="336"/>
    </row>
    <row r="370" spans="1:32" s="116" customFormat="1" ht="13.5">
      <c r="A370" s="83"/>
      <c r="B370" s="83"/>
      <c r="C370" s="404"/>
      <c r="D370" s="406"/>
      <c r="E370" s="406"/>
      <c r="F370" s="406"/>
      <c r="G370" s="83"/>
      <c r="H370" s="406"/>
      <c r="I370" s="83"/>
      <c r="J370" s="176"/>
      <c r="K370" s="176"/>
      <c r="L370" s="176"/>
      <c r="M370" s="176"/>
      <c r="N370" s="176"/>
      <c r="O370" s="176"/>
      <c r="P370" s="176"/>
      <c r="Q370" s="176"/>
      <c r="R370" s="176"/>
      <c r="S370" s="176"/>
      <c r="T370" s="176"/>
      <c r="U370" s="176"/>
      <c r="V370" s="176"/>
      <c r="W370" s="176"/>
      <c r="AF370" s="336"/>
    </row>
    <row r="371" spans="1:32" s="116" customFormat="1" ht="13.5">
      <c r="A371" s="83"/>
      <c r="B371" s="1" t="s">
        <v>295</v>
      </c>
      <c r="C371" s="404"/>
      <c r="D371" s="406"/>
      <c r="E371" s="406"/>
      <c r="F371" s="406"/>
      <c r="G371" s="83"/>
      <c r="H371" s="406"/>
      <c r="I371" s="83"/>
      <c r="J371" s="176"/>
      <c r="K371" s="176"/>
      <c r="L371" s="176"/>
      <c r="M371" s="176"/>
      <c r="N371" s="176"/>
      <c r="O371" s="176"/>
      <c r="P371" s="176"/>
      <c r="Q371" s="176"/>
      <c r="R371" s="176"/>
      <c r="S371" s="176"/>
      <c r="T371" s="176"/>
      <c r="U371" s="176"/>
      <c r="V371" s="176"/>
      <c r="W371" s="176"/>
      <c r="AF371" s="336"/>
    </row>
    <row r="372" spans="1:32" s="116" customFormat="1" ht="13.5">
      <c r="A372" s="83"/>
      <c r="B372" s="773" t="s">
        <v>312</v>
      </c>
      <c r="C372" s="800"/>
      <c r="D372" s="800"/>
      <c r="E372" s="800"/>
      <c r="F372" s="800"/>
      <c r="G372" s="83"/>
      <c r="H372" s="406"/>
      <c r="I372" s="83"/>
      <c r="J372" s="176"/>
      <c r="K372" s="176"/>
      <c r="L372" s="176"/>
      <c r="M372" s="176"/>
      <c r="N372" s="176"/>
      <c r="O372" s="176"/>
      <c r="P372" s="176"/>
      <c r="Q372" s="176"/>
      <c r="R372" s="176"/>
      <c r="S372" s="176"/>
      <c r="T372" s="176"/>
      <c r="U372" s="176"/>
      <c r="V372" s="176"/>
      <c r="W372" s="176"/>
      <c r="AF372" s="336"/>
    </row>
    <row r="373" spans="1:32" s="116" customFormat="1" ht="39.75" customHeight="1">
      <c r="A373" s="83"/>
      <c r="B373" s="800"/>
      <c r="C373" s="800"/>
      <c r="D373" s="800"/>
      <c r="E373" s="800"/>
      <c r="F373" s="800"/>
      <c r="G373" s="83"/>
      <c r="H373" s="406"/>
      <c r="I373" s="83"/>
      <c r="J373" s="176"/>
      <c r="K373" s="176"/>
      <c r="L373" s="176"/>
      <c r="M373" s="176"/>
      <c r="N373" s="176"/>
      <c r="O373" s="176"/>
      <c r="P373" s="176"/>
      <c r="Q373" s="176"/>
      <c r="R373" s="176"/>
      <c r="S373" s="176"/>
      <c r="T373" s="176"/>
      <c r="U373" s="176"/>
      <c r="V373" s="176"/>
      <c r="W373" s="176"/>
      <c r="AF373" s="336"/>
    </row>
    <row r="374" spans="1:32" s="116" customFormat="1">
      <c r="A374" s="336"/>
      <c r="B374" s="336"/>
      <c r="C374" s="336"/>
      <c r="D374" s="336"/>
      <c r="E374" s="336"/>
      <c r="F374" s="336"/>
      <c r="G374" s="336"/>
      <c r="H374" s="336"/>
      <c r="I374" s="336"/>
      <c r="J374" s="336"/>
      <c r="K374" s="336"/>
      <c r="L374" s="336"/>
      <c r="M374" s="336"/>
      <c r="N374" s="336"/>
      <c r="O374" s="336"/>
      <c r="P374" s="336"/>
      <c r="Q374" s="336"/>
      <c r="R374" s="336"/>
      <c r="S374" s="336"/>
      <c r="T374" s="336"/>
      <c r="U374" s="336"/>
      <c r="V374" s="336"/>
      <c r="W374" s="336"/>
      <c r="X374" s="336"/>
      <c r="Y374" s="336"/>
      <c r="Z374" s="336"/>
      <c r="AA374" s="336"/>
      <c r="AB374" s="336"/>
      <c r="AC374" s="336"/>
      <c r="AD374" s="336"/>
      <c r="AE374" s="336"/>
      <c r="AF374" s="336"/>
    </row>
  </sheetData>
  <mergeCells count="159">
    <mergeCell ref="K103:N108"/>
    <mergeCell ref="H70:I71"/>
    <mergeCell ref="B189:B191"/>
    <mergeCell ref="H81:I82"/>
    <mergeCell ref="B372:F373"/>
    <mergeCell ref="B335:F336"/>
    <mergeCell ref="B340:F341"/>
    <mergeCell ref="B157:B159"/>
    <mergeCell ref="B163:B165"/>
    <mergeCell ref="B169:B171"/>
    <mergeCell ref="C92:F92"/>
    <mergeCell ref="H92:I93"/>
    <mergeCell ref="E93:F93"/>
    <mergeCell ref="C103:F103"/>
    <mergeCell ref="H103:I104"/>
    <mergeCell ref="E104:F104"/>
    <mergeCell ref="O186:O188"/>
    <mergeCell ref="J186:J188"/>
    <mergeCell ref="K186:K188"/>
    <mergeCell ref="J203:J205"/>
    <mergeCell ref="K203:K205"/>
    <mergeCell ref="M245:O245"/>
    <mergeCell ref="N186:N188"/>
    <mergeCell ref="B288:G289"/>
    <mergeCell ref="B329:F330"/>
    <mergeCell ref="N203:N205"/>
    <mergeCell ref="O203:O205"/>
    <mergeCell ref="I279:M282"/>
    <mergeCell ref="B195:B197"/>
    <mergeCell ref="B201:B203"/>
    <mergeCell ref="C231:F231"/>
    <mergeCell ref="E232:F232"/>
    <mergeCell ref="C216:F216"/>
    <mergeCell ref="E217:F217"/>
    <mergeCell ref="A292:A295"/>
    <mergeCell ref="B331:F332"/>
    <mergeCell ref="B324:F326"/>
    <mergeCell ref="B285:G286"/>
    <mergeCell ref="B357:F359"/>
    <mergeCell ref="B362:F363"/>
    <mergeCell ref="B368:F369"/>
    <mergeCell ref="B292:G295"/>
    <mergeCell ref="B297:G298"/>
    <mergeCell ref="A297:A298"/>
    <mergeCell ref="B300:G302"/>
    <mergeCell ref="A300:A302"/>
    <mergeCell ref="B364:F366"/>
    <mergeCell ref="C4:F4"/>
    <mergeCell ref="E5:F5"/>
    <mergeCell ref="I119:I120"/>
    <mergeCell ref="I125:I126"/>
    <mergeCell ref="I131:I132"/>
    <mergeCell ref="C70:F70"/>
    <mergeCell ref="E71:F71"/>
    <mergeCell ref="B137:B139"/>
    <mergeCell ref="T166:U166"/>
    <mergeCell ref="R151:U151"/>
    <mergeCell ref="T152:U152"/>
    <mergeCell ref="R158:U158"/>
    <mergeCell ref="T159:U159"/>
    <mergeCell ref="R165:U165"/>
    <mergeCell ref="M152:N152"/>
    <mergeCell ref="K158:N158"/>
    <mergeCell ref="M159:N159"/>
    <mergeCell ref="K165:N165"/>
    <mergeCell ref="M166:N166"/>
    <mergeCell ref="J5:K5"/>
    <mergeCell ref="C81:F81"/>
    <mergeCell ref="E82:F82"/>
    <mergeCell ref="B119:B121"/>
    <mergeCell ref="B125:B127"/>
    <mergeCell ref="S119:S121"/>
    <mergeCell ref="S125:S127"/>
    <mergeCell ref="S131:S133"/>
    <mergeCell ref="S137:S139"/>
    <mergeCell ref="I137:I138"/>
    <mergeCell ref="B183:B185"/>
    <mergeCell ref="I151:I152"/>
    <mergeCell ref="I157:I158"/>
    <mergeCell ref="I163:I164"/>
    <mergeCell ref="I169:I170"/>
    <mergeCell ref="K151:N151"/>
    <mergeCell ref="B131:B133"/>
    <mergeCell ref="CC22:CC23"/>
    <mergeCell ref="CD22:CD23"/>
    <mergeCell ref="CC24:CC25"/>
    <mergeCell ref="CC26:CC27"/>
    <mergeCell ref="CC28:CC29"/>
    <mergeCell ref="BV128:BZ130"/>
    <mergeCell ref="AC203:AC205"/>
    <mergeCell ref="AD203:AD205"/>
    <mergeCell ref="Q186:Q188"/>
    <mergeCell ref="AG186:AG188"/>
    <mergeCell ref="AC186:AC188"/>
    <mergeCell ref="BL138:BL141"/>
    <mergeCell ref="BL142:BL145"/>
    <mergeCell ref="Y137:Y138"/>
    <mergeCell ref="AE186:AE188"/>
    <mergeCell ref="AD186:AD188"/>
    <mergeCell ref="Z186:Z188"/>
    <mergeCell ref="AA186:AA188"/>
    <mergeCell ref="Z203:Z205"/>
    <mergeCell ref="AA203:AA205"/>
    <mergeCell ref="Y195:Y196"/>
    <mergeCell ref="BL134:BL137"/>
    <mergeCell ref="Y201:Y202"/>
    <mergeCell ref="Y183:Y184"/>
    <mergeCell ref="BM129:BR130"/>
    <mergeCell ref="BM131:BR132"/>
    <mergeCell ref="BM134:BQ137"/>
    <mergeCell ref="BV143:BZ144"/>
    <mergeCell ref="BM138:BQ141"/>
    <mergeCell ref="BM142:BQ145"/>
    <mergeCell ref="BV139:BZ140"/>
    <mergeCell ref="AE151:AE152"/>
    <mergeCell ref="CJ119:CJ120"/>
    <mergeCell ref="CE123:CH124"/>
    <mergeCell ref="CJ123:CJ124"/>
    <mergeCell ref="BV133:BZ134"/>
    <mergeCell ref="BV136:BZ137"/>
    <mergeCell ref="X157:X159"/>
    <mergeCell ref="AE157:AE158"/>
    <mergeCell ref="Y119:Y120"/>
    <mergeCell ref="Y125:Y126"/>
    <mergeCell ref="Y131:Y132"/>
    <mergeCell ref="A246:A254"/>
    <mergeCell ref="A257:A265"/>
    <mergeCell ref="A269:A277"/>
    <mergeCell ref="Y189:Y190"/>
    <mergeCell ref="M186:M188"/>
    <mergeCell ref="X151:X153"/>
    <mergeCell ref="X163:X165"/>
    <mergeCell ref="AE163:AE164"/>
    <mergeCell ref="X169:X171"/>
    <mergeCell ref="AE169:AE170"/>
    <mergeCell ref="S195:S197"/>
    <mergeCell ref="I183:I184"/>
    <mergeCell ref="I189:I190"/>
    <mergeCell ref="I195:I196"/>
    <mergeCell ref="I201:I202"/>
    <mergeCell ref="S189:S191"/>
    <mergeCell ref="S183:S185"/>
    <mergeCell ref="S201:S203"/>
    <mergeCell ref="B151:B153"/>
    <mergeCell ref="R341:R342"/>
    <mergeCell ref="R343:R344"/>
    <mergeCell ref="J337:J338"/>
    <mergeCell ref="L337:O337"/>
    <mergeCell ref="P337:P338"/>
    <mergeCell ref="J342:J343"/>
    <mergeCell ref="J344:J345"/>
    <mergeCell ref="J350:J351"/>
    <mergeCell ref="J355:J356"/>
    <mergeCell ref="K355:K356"/>
    <mergeCell ref="L355:L356"/>
    <mergeCell ref="M355:M356"/>
    <mergeCell ref="N355:N356"/>
    <mergeCell ref="O355:O356"/>
    <mergeCell ref="P355:P356"/>
  </mergeCells>
  <phoneticPr fontId="81" type="noConversion"/>
  <hyperlinks>
    <hyperlink ref="A33" r:id="rId1" xr:uid="{6E251436-E2A5-4D47-B718-A5B7AC1CC69D}"/>
    <hyperlink ref="A50" r:id="rId2" xr:uid="{CE5C008F-585A-4EEF-ADA5-5D1278C7D38A}"/>
    <hyperlink ref="A16" r:id="rId3" xr:uid="{48CC9F07-F590-49FD-93C4-4A19E0791DB3}"/>
  </hyperlinks>
  <pageMargins left="0.7" right="0.7" top="0.75" bottom="0.75" header="0.3" footer="0.3"/>
  <pageSetup paperSize="9" orientation="portrait" r:id="rId4"/>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5"/>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sisl xmlns:xsd="http://www.w3.org/2001/XMLSchema" xmlns:xsi="http://www.w3.org/2001/XMLSchema-instance" xmlns="http://www.boldonjames.com/2008/01/sie/internal/label" sislVersion="0" policy="973096ae-7329-4b3b-9368-47aeba6959e1" origin="userSelected">
  <element uid="id_classification_nonbusiness" value=""/>
  <element uid="eaadb568-f939-47e9-ab90-f00bdd47735e" value=""/>
</sisl>
</file>

<file path=customXml/item3.xml><?xml version="1.0" encoding="utf-8"?>
<ct:contentTypeSchema xmlns:ct="http://schemas.microsoft.com/office/2006/metadata/contentType" xmlns:ma="http://schemas.microsoft.com/office/2006/metadata/properties/metaAttributes" ct:_="" ma:_="" ma:contentTypeName="Document" ma:contentTypeID="0x0101003D6E278D99252B4B99C7589ABDD35CB5" ma:contentTypeVersion="10" ma:contentTypeDescription="Create a new document." ma:contentTypeScope="" ma:versionID="73f783b29a1a71d4ecbfbac99e1d7ede">
  <xsd:schema xmlns:xsd="http://www.w3.org/2001/XMLSchema" xmlns:xs="http://www.w3.org/2001/XMLSchema" xmlns:p="http://schemas.microsoft.com/office/2006/metadata/properties" xmlns:ns2="978a1c12-3ab7-471e-b134-e7ba3975f64f" xmlns:ns3="f35b5cbd-7b0b-4440-92cd-b510cab4ec67" targetNamespace="http://schemas.microsoft.com/office/2006/metadata/properties" ma:root="true" ma:fieldsID="a928bd24ae3d8e620454dfa0ea4cdc5a" ns2:_="" ns3:_="">
    <xsd:import namespace="978a1c12-3ab7-471e-b134-e7ba3975f64f"/>
    <xsd:import namespace="f35b5cbd-7b0b-4440-92cd-b510cab4ec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a1c12-3ab7-471e-b134-e7ba3975f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5b5cbd-7b0b-4440-92cd-b510cab4ec6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184612-CB16-4E9F-AC9D-B1DC1E2E78E7}">
  <ds:schemaRefs>
    <ds:schemaRef ds:uri="http://schemas.microsoft.com/sharepoint/v3/contenttype/forms"/>
  </ds:schemaRefs>
</ds:datastoreItem>
</file>

<file path=customXml/itemProps2.xml><?xml version="1.0" encoding="utf-8"?>
<ds:datastoreItem xmlns:ds="http://schemas.openxmlformats.org/officeDocument/2006/customXml" ds:itemID="{B298DF48-3C7D-40A6-B6A8-A8928D33DA55}">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2D66370C-E6AD-44ED-B6E6-D29DCA72D6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8a1c12-3ab7-471e-b134-e7ba3975f64f"/>
    <ds:schemaRef ds:uri="f35b5cbd-7b0b-4440-92cd-b510cab4e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FE28377-645D-4D26-9BD6-8D867B18B38D}">
  <ds:schemaRefs>
    <ds:schemaRef ds:uri="http://schemas.microsoft.com/office/2006/documentManagement/types"/>
    <ds:schemaRef ds:uri="http://purl.org/dc/terms/"/>
    <ds:schemaRef ds:uri="http://purl.org/dc/elements/1.1/"/>
    <ds:schemaRef ds:uri="http://schemas.microsoft.com/office/2006/metadata/properties"/>
    <ds:schemaRef ds:uri="http://www.w3.org/XML/1998/namespace"/>
    <ds:schemaRef ds:uri="http://schemas.microsoft.com/office/infopath/2007/PartnerControls"/>
    <ds:schemaRef ds:uri="f35b5cbd-7b0b-4440-92cd-b510cab4ec67"/>
    <ds:schemaRef ds:uri="http://purl.org/dc/dcmitype/"/>
    <ds:schemaRef ds:uri="http://schemas.openxmlformats.org/package/2006/metadata/core-properties"/>
    <ds:schemaRef ds:uri="978a1c12-3ab7-471e-b134-e7ba3975f6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16</vt:i4>
      </vt:variant>
    </vt:vector>
  </HeadingPairs>
  <TitlesOfParts>
    <vt:vector size="28" baseType="lpstr">
      <vt:lpstr>Cover</vt:lpstr>
      <vt:lpstr>Universal data</vt:lpstr>
      <vt:lpstr>Index</vt:lpstr>
      <vt:lpstr>Outputs</vt:lpstr>
      <vt:lpstr>Incentives - tables</vt:lpstr>
      <vt:lpstr>Incentives - charts </vt:lpstr>
      <vt:lpstr>Innovation</vt:lpstr>
      <vt:lpstr>Consumer bill impact</vt:lpstr>
      <vt:lpstr>8-year TO forecast</vt:lpstr>
      <vt:lpstr>RORE</vt:lpstr>
      <vt:lpstr>Forecast "True up" 1</vt:lpstr>
      <vt:lpstr>Forecast "True up" 2</vt:lpstr>
      <vt:lpstr>'Consumer bill impact'!_ftn2</vt:lpstr>
      <vt:lpstr>Outputs!_ftn3</vt:lpstr>
      <vt:lpstr>Outputs!_ftn4</vt:lpstr>
      <vt:lpstr>Outputs!_ftn5</vt:lpstr>
      <vt:lpstr>Outputs!_ftn6</vt:lpstr>
      <vt:lpstr>Outputs!_ftn7</vt:lpstr>
      <vt:lpstr>Outputs!_ftn8</vt:lpstr>
      <vt:lpstr>Outputs!_ftn9</vt:lpstr>
      <vt:lpstr>Index!_ftnref1</vt:lpstr>
      <vt:lpstr>'Consumer bill impact'!_ftnref2</vt:lpstr>
      <vt:lpstr>Outputs!_ftnref3</vt:lpstr>
      <vt:lpstr>Outputs!_ftnref4</vt:lpstr>
      <vt:lpstr>Outputs!_ftnref5</vt:lpstr>
      <vt:lpstr>Outputs!_ftnref7</vt:lpstr>
      <vt:lpstr>Outputs!_ftnref8</vt:lpstr>
      <vt:lpstr>Outputs!_ftnref9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EIIO-ET Supplementary Data File 2019-20</dc:title>
  <dc:creator>Daniel Newby</dc:creator>
  <cp:lastModifiedBy>Anthony Mungall</cp:lastModifiedBy>
  <dcterms:created xsi:type="dcterms:W3CDTF">2016-11-27T14:18:33Z</dcterms:created>
  <dcterms:modified xsi:type="dcterms:W3CDTF">2021-03-11T09:18:02Z</dcterms:modified>
  <cp:contentStatus>Final and Sent to Registry</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70982c12-5047-4331-83e7-71c74482c69c</vt:lpwstr>
  </property>
  <property fmtid="{D5CDD505-2E9C-101B-9397-08002B2CF9AE}" pid="3" name="bjSaver">
    <vt:lpwstr>p/6tXeOXAcO3+DGDMi9dMIprFuNt3Cv+</vt:lpwstr>
  </property>
  <property fmtid="{D5CDD505-2E9C-101B-9397-08002B2CF9AE}" pid="4" name="ContentTypeId">
    <vt:lpwstr>0x0101003D6E278D99252B4B99C7589ABDD35CB5</vt:lpwstr>
  </property>
  <property fmtid="{D5CDD505-2E9C-101B-9397-08002B2CF9AE}" pid="5" name="BJSCdd9eba61-d6b9-469b_x">
    <vt:lpwstr>Internal Only</vt:lpwstr>
  </property>
  <property fmtid="{D5CDD505-2E9C-101B-9397-08002B2CF9AE}" pid="6" name="BJSCSummaryMarking">
    <vt:lpwstr>OFFICIAL Internal Only</vt:lpwstr>
  </property>
  <property fmtid="{D5CDD505-2E9C-101B-9397-08002B2CF9AE}" pid="7"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8" name="BJSCc5a055b0-1bed-4579_x">
    <vt:lpwstr/>
  </property>
  <property fmtid="{D5CDD505-2E9C-101B-9397-08002B2CF9AE}" pid="9" name="bjDocumentSecurityLabel">
    <vt:lpwstr>OFFICIAL Internal Only</vt:lpwstr>
  </property>
  <property fmtid="{D5CDD505-2E9C-101B-9397-08002B2CF9AE}" pid="10" name="bjCentreHeaderLabel">
    <vt:lpwstr>&amp;"Verdana,Regular"&amp;10&amp;K000000Internal Only</vt:lpwstr>
  </property>
  <property fmtid="{D5CDD505-2E9C-101B-9397-08002B2CF9AE}" pid="11" name="bjCentreFooterLabel">
    <vt:lpwstr>&amp;"Verdana,Regular"&amp;10&amp;K000000Internal Only</vt:lpwstr>
  </property>
  <property fmtid="{D5CDD505-2E9C-101B-9397-08002B2CF9AE}" pid="12"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13" name="bjDocumentLabelXML-0">
    <vt:lpwstr>ames.com/2008/01/sie/internal/label"&gt;&lt;element uid="id_classification_nonbusiness" value="" /&gt;&lt;element uid="eaadb568-f939-47e9-ab90-f00bdd47735e" value="" /&gt;&lt;/sisl&gt;</vt:lpwstr>
  </property>
  <property fmtid="{D5CDD505-2E9C-101B-9397-08002B2CF9AE}" pid="14" name="bjCentreHeaderLabel-first">
    <vt:lpwstr>&amp;"Verdana,Regular"&amp;10&amp;K000000Internal Only</vt:lpwstr>
  </property>
  <property fmtid="{D5CDD505-2E9C-101B-9397-08002B2CF9AE}" pid="15" name="bjCentreFooterLabel-first">
    <vt:lpwstr>&amp;"Verdana,Regular"&amp;10&amp;K000000Internal Only</vt:lpwstr>
  </property>
  <property fmtid="{D5CDD505-2E9C-101B-9397-08002B2CF9AE}" pid="16" name="bjCentreHeaderLabel-even">
    <vt:lpwstr>&amp;"Verdana,Regular"&amp;10&amp;K000000Internal Only</vt:lpwstr>
  </property>
  <property fmtid="{D5CDD505-2E9C-101B-9397-08002B2CF9AE}" pid="17" name="bjCentreFooterLabel-even">
    <vt:lpwstr>&amp;"Verdana,Regular"&amp;10&amp;K000000Internal Only</vt:lpwstr>
  </property>
</Properties>
</file>