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9" l="1"/>
  <c r="H41" i="9"/>
  <c r="I41" i="9"/>
  <c r="J41" i="9"/>
  <c r="M41" i="9" l="1"/>
  <c r="N41" i="9"/>
  <c r="O41" i="9"/>
  <c r="P41" i="9"/>
  <c r="Q41" i="9"/>
  <c r="R41" i="9"/>
  <c r="S41" i="9"/>
  <c r="T41" i="9"/>
  <c r="U41" i="9"/>
  <c r="V41" i="9"/>
  <c r="L41" i="9"/>
  <c r="P40" i="9"/>
  <c r="Q40" i="9"/>
  <c r="R40" i="9"/>
  <c r="S40" i="9"/>
  <c r="T40" i="9"/>
  <c r="U40" i="9"/>
  <c r="V40" i="9"/>
  <c r="M40" i="9"/>
  <c r="N40" i="9"/>
  <c r="O40" i="9"/>
  <c r="L40" i="9"/>
  <c r="H40" i="9"/>
  <c r="I40" i="9"/>
  <c r="J40" i="9"/>
  <c r="G40" i="9"/>
  <c r="J32" i="9"/>
  <c r="J31" i="9"/>
  <c r="M32" i="9"/>
  <c r="N32" i="9"/>
  <c r="O32" i="9"/>
  <c r="P32" i="9"/>
  <c r="Q32" i="9"/>
  <c r="R32" i="9"/>
  <c r="S32" i="9"/>
  <c r="T32" i="9"/>
  <c r="U32" i="9"/>
  <c r="V32" i="9"/>
  <c r="L32" i="9"/>
  <c r="M31" i="9"/>
  <c r="N31" i="9"/>
  <c r="O31" i="9"/>
  <c r="P31" i="9"/>
  <c r="Q31" i="9"/>
  <c r="R31" i="9"/>
  <c r="S31" i="9"/>
  <c r="T31" i="9"/>
  <c r="U31" i="9"/>
  <c r="V31" i="9"/>
  <c r="L31" i="9"/>
  <c r="K40" i="9" l="1"/>
  <c r="K41"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O20" i="9" s="1"/>
  <c r="N52" i="11"/>
  <c r="N54" i="11" s="1"/>
  <c r="N53" i="11"/>
  <c r="N55" i="11" s="1"/>
  <c r="O19" i="9" s="1"/>
  <c r="N21" i="13"/>
  <c r="O15" i="9"/>
  <c r="N30" i="8"/>
  <c r="Q52" i="11"/>
  <c r="R52" i="11"/>
  <c r="S52" i="11"/>
  <c r="T52" i="11"/>
  <c r="U52" i="11"/>
  <c r="P53" i="11"/>
  <c r="Q53" i="11"/>
  <c r="R53" i="11"/>
  <c r="S53" i="11"/>
  <c r="T53" i="11"/>
  <c r="U53" i="11"/>
  <c r="M53" i="11"/>
  <c r="M52" i="11"/>
  <c r="O22" i="9" l="1"/>
  <c r="N33" i="8"/>
  <c r="N32" i="8"/>
  <c r="O13" i="9"/>
  <c r="N57" i="11"/>
  <c r="G46" i="11"/>
  <c r="G48"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E45" i="9" l="1"/>
  <c r="J29" i="9" l="1"/>
  <c r="L29" i="9"/>
  <c r="M29" i="9"/>
  <c r="L19" i="11"/>
  <c r="N19" i="11"/>
  <c r="P19" i="11"/>
  <c r="Q19" i="11"/>
  <c r="R19" i="11"/>
  <c r="S19" i="11"/>
  <c r="T19" i="11"/>
  <c r="U19" i="11"/>
  <c r="P17" i="11"/>
  <c r="M17" i="11"/>
  <c r="O17" i="11"/>
  <c r="Q17" i="11"/>
  <c r="R17" i="11"/>
  <c r="S17" i="11"/>
  <c r="T17" i="11"/>
  <c r="U17" i="11"/>
  <c r="K19" i="11"/>
  <c r="O48" i="11" l="1"/>
  <c r="O49" i="11"/>
  <c r="K49" i="11"/>
  <c r="K48" i="11"/>
  <c r="Q21" i="9"/>
  <c r="R21" i="9"/>
  <c r="S21" i="9"/>
  <c r="T21" i="9"/>
  <c r="U21" i="9"/>
  <c r="V21" i="9"/>
  <c r="Q15" i="9"/>
  <c r="R15" i="9"/>
  <c r="S15" i="9"/>
  <c r="T15" i="9"/>
  <c r="U15" i="9"/>
  <c r="V15" i="9"/>
  <c r="D37" i="19" l="1"/>
  <c r="C37" i="19"/>
  <c r="D23" i="19"/>
  <c r="C23" i="19"/>
  <c r="D11" i="19"/>
  <c r="C11" i="19"/>
  <c r="V16" i="21"/>
  <c r="U16" i="21"/>
  <c r="T16" i="21"/>
  <c r="S16" i="21"/>
  <c r="R16" i="21"/>
  <c r="Q16" i="21"/>
  <c r="P16" i="21"/>
  <c r="N16" i="21"/>
  <c r="M16" i="21"/>
  <c r="L16" i="21"/>
  <c r="J16" i="21"/>
  <c r="I16" i="21"/>
  <c r="H16" i="21"/>
  <c r="G16" i="21"/>
  <c r="C9" i="21" s="1"/>
  <c r="O17" i="9" s="1"/>
  <c r="F16" i="21"/>
  <c r="E16" i="21"/>
  <c r="D16" i="21"/>
  <c r="C16" i="21"/>
  <c r="U19" i="13"/>
  <c r="Q19" i="13"/>
  <c r="M19" i="13"/>
  <c r="N21" i="9" s="1"/>
  <c r="T18" i="13"/>
  <c r="T21" i="13" s="1"/>
  <c r="P18" i="13"/>
  <c r="U17" i="13"/>
  <c r="T17" i="13"/>
  <c r="T19" i="13" s="1"/>
  <c r="S17" i="13"/>
  <c r="S19" i="13" s="1"/>
  <c r="R17" i="13"/>
  <c r="R19" i="13" s="1"/>
  <c r="Q17" i="13"/>
  <c r="P17" i="13"/>
  <c r="P19" i="13" s="1"/>
  <c r="O17" i="13"/>
  <c r="O19" i="13" s="1"/>
  <c r="P21" i="9" s="1"/>
  <c r="M17" i="13"/>
  <c r="L17" i="13"/>
  <c r="L19" i="13" s="1"/>
  <c r="M21" i="9" s="1"/>
  <c r="K17" i="13"/>
  <c r="K19" i="13" s="1"/>
  <c r="I17" i="13"/>
  <c r="I19" i="13" s="1"/>
  <c r="H17" i="13"/>
  <c r="H19" i="13" s="1"/>
  <c r="I21" i="9" s="1"/>
  <c r="G17" i="13"/>
  <c r="G19" i="13" s="1"/>
  <c r="H21" i="9" s="1"/>
  <c r="F17" i="13"/>
  <c r="F19" i="13" s="1"/>
  <c r="G21" i="9" s="1"/>
  <c r="U16" i="13"/>
  <c r="U18" i="13" s="1"/>
  <c r="U21" i="13" s="1"/>
  <c r="T16" i="13"/>
  <c r="S16" i="13"/>
  <c r="S18" i="13" s="1"/>
  <c r="S21" i="13" s="1"/>
  <c r="R16" i="13"/>
  <c r="R18" i="13" s="1"/>
  <c r="R21" i="13" s="1"/>
  <c r="Q16" i="13"/>
  <c r="Q18" i="13" s="1"/>
  <c r="Q21" i="13" s="1"/>
  <c r="P16" i="13"/>
  <c r="O16" i="13"/>
  <c r="O18" i="13" s="1"/>
  <c r="M16" i="13"/>
  <c r="M18" i="13" s="1"/>
  <c r="L16" i="13"/>
  <c r="L18" i="13" s="1"/>
  <c r="M15" i="9" s="1"/>
  <c r="K16" i="13"/>
  <c r="K18" i="13" s="1"/>
  <c r="L15" i="9" s="1"/>
  <c r="I16" i="13"/>
  <c r="I18" i="13" s="1"/>
  <c r="J15" i="9" s="1"/>
  <c r="H16" i="13"/>
  <c r="H18" i="13" s="1"/>
  <c r="G16" i="13"/>
  <c r="G18" i="13" s="1"/>
  <c r="F16" i="13"/>
  <c r="F18" i="13" s="1"/>
  <c r="P55" i="11"/>
  <c r="Q19" i="9" s="1"/>
  <c r="T51" i="11"/>
  <c r="P51" i="11"/>
  <c r="S50" i="11"/>
  <c r="U47" i="11"/>
  <c r="T47" i="11"/>
  <c r="S47" i="11"/>
  <c r="R47" i="11"/>
  <c r="Q47" i="11"/>
  <c r="P47" i="11"/>
  <c r="O47" i="11"/>
  <c r="H47" i="11"/>
  <c r="G47" i="11"/>
  <c r="F47" i="11"/>
  <c r="U46" i="11"/>
  <c r="T46" i="11"/>
  <c r="S46" i="11"/>
  <c r="R46" i="11"/>
  <c r="Q46" i="11"/>
  <c r="P46" i="11"/>
  <c r="P52" i="11" s="1"/>
  <c r="O46" i="11"/>
  <c r="H46" i="11"/>
  <c r="F46" i="11"/>
  <c r="U45" i="11"/>
  <c r="T45" i="11"/>
  <c r="S45" i="11"/>
  <c r="R45" i="11"/>
  <c r="R55" i="11" s="1"/>
  <c r="S19" i="9" s="1"/>
  <c r="Q45" i="11"/>
  <c r="P45" i="11"/>
  <c r="O45" i="11"/>
  <c r="M45" i="11"/>
  <c r="K45" i="11"/>
  <c r="I45" i="11"/>
  <c r="H45" i="11"/>
  <c r="G45" i="11"/>
  <c r="F45" i="11"/>
  <c r="U44" i="11"/>
  <c r="U54" i="11" s="1"/>
  <c r="V13" i="9" s="1"/>
  <c r="T44" i="11"/>
  <c r="S44" i="11"/>
  <c r="R44" i="11"/>
  <c r="Q44" i="11"/>
  <c r="Q54" i="11" s="1"/>
  <c r="R13" i="9" s="1"/>
  <c r="P44" i="11"/>
  <c r="O44" i="11"/>
  <c r="M44" i="11"/>
  <c r="L44" i="11"/>
  <c r="I44" i="11"/>
  <c r="H44" i="11"/>
  <c r="G44" i="11"/>
  <c r="F44" i="11"/>
  <c r="U43" i="11"/>
  <c r="T43" i="11"/>
  <c r="T55" i="11" s="1"/>
  <c r="U19" i="9" s="1"/>
  <c r="S43" i="11"/>
  <c r="S55" i="11" s="1"/>
  <c r="T19" i="9" s="1"/>
  <c r="R43" i="11"/>
  <c r="Q43" i="11"/>
  <c r="P43" i="11"/>
  <c r="O43" i="11"/>
  <c r="M43" i="11"/>
  <c r="L43" i="11"/>
  <c r="K43" i="11"/>
  <c r="I43" i="11"/>
  <c r="H43" i="11"/>
  <c r="G43" i="11"/>
  <c r="F43" i="11"/>
  <c r="U42" i="11"/>
  <c r="T42" i="11"/>
  <c r="S42" i="11"/>
  <c r="R42" i="11"/>
  <c r="R54" i="11" s="1"/>
  <c r="S13" i="9" s="1"/>
  <c r="Q42" i="11"/>
  <c r="P42" i="11"/>
  <c r="O42" i="11"/>
  <c r="M42" i="11"/>
  <c r="L42" i="11"/>
  <c r="K42" i="11"/>
  <c r="I42" i="11"/>
  <c r="H42" i="11"/>
  <c r="G42" i="11"/>
  <c r="F42" i="11"/>
  <c r="U41" i="11"/>
  <c r="U51" i="11" s="1"/>
  <c r="T41" i="11"/>
  <c r="S41" i="11"/>
  <c r="S51" i="11" s="1"/>
  <c r="R41" i="11"/>
  <c r="R51" i="11" s="1"/>
  <c r="Q41" i="11"/>
  <c r="Q51" i="11" s="1"/>
  <c r="P41" i="1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O50" i="11" s="1"/>
  <c r="M40" i="11"/>
  <c r="M50" i="11" s="1"/>
  <c r="L40" i="11"/>
  <c r="L50" i="11" s="1"/>
  <c r="K40" i="11"/>
  <c r="K50" i="11" s="1"/>
  <c r="I40" i="11"/>
  <c r="I50" i="11" s="1"/>
  <c r="H40" i="11"/>
  <c r="H50" i="11" s="1"/>
  <c r="H52" i="11" s="1"/>
  <c r="H54" i="11" s="1"/>
  <c r="I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O21" i="13" l="1"/>
  <c r="P15" i="9"/>
  <c r="O52" i="11"/>
  <c r="O54" i="11" s="1"/>
  <c r="P13" i="9" s="1"/>
  <c r="O53" i="11"/>
  <c r="O55" i="11" s="1"/>
  <c r="P19" i="9" s="1"/>
  <c r="O23" i="9"/>
  <c r="M21" i="13"/>
  <c r="N15" i="9"/>
  <c r="M54" i="11"/>
  <c r="N13" i="9" s="1"/>
  <c r="I52" i="11"/>
  <c r="I54" i="11" s="1"/>
  <c r="J13" i="9" s="1"/>
  <c r="F53" i="11"/>
  <c r="F55" i="11" s="1"/>
  <c r="G19" i="9" s="1"/>
  <c r="I21" i="13"/>
  <c r="J21" i="9"/>
  <c r="H21" i="13"/>
  <c r="I15" i="9"/>
  <c r="G21" i="13"/>
  <c r="H15" i="9"/>
  <c r="F21" i="13"/>
  <c r="G15" i="9"/>
  <c r="Q17" i="9"/>
  <c r="Q23" i="9" s="1"/>
  <c r="T17" i="9"/>
  <c r="T23" i="9" s="1"/>
  <c r="P17" i="9"/>
  <c r="P23" i="9" s="1"/>
  <c r="L17" i="9"/>
  <c r="L23" i="9" s="1"/>
  <c r="G17" i="9"/>
  <c r="G23" i="9" s="1"/>
  <c r="U17" i="9"/>
  <c r="U23" i="9" s="1"/>
  <c r="M17" i="9"/>
  <c r="M23" i="9" s="1"/>
  <c r="H17" i="9"/>
  <c r="H23" i="9" s="1"/>
  <c r="S17" i="9"/>
  <c r="S23" i="9" s="1"/>
  <c r="J17" i="9"/>
  <c r="J23" i="9" s="1"/>
  <c r="V17" i="9"/>
  <c r="V23" i="9" s="1"/>
  <c r="R17" i="9"/>
  <c r="R23" i="9" s="1"/>
  <c r="N17" i="9"/>
  <c r="N23" i="9" s="1"/>
  <c r="I17" i="9"/>
  <c r="I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S54" i="11"/>
  <c r="T13" i="9" s="1"/>
  <c r="G53" i="11"/>
  <c r="G55" i="11" s="1"/>
  <c r="H19" i="9" s="1"/>
  <c r="L53" i="11"/>
  <c r="L55" i="11" s="1"/>
  <c r="M19" i="9" s="1"/>
  <c r="L21" i="13"/>
  <c r="K26" i="8"/>
  <c r="O26" i="8"/>
  <c r="G27" i="8"/>
  <c r="R57" i="11"/>
  <c r="H28" i="8"/>
  <c r="M28" i="8"/>
  <c r="Q28" i="8"/>
  <c r="U28" i="8"/>
  <c r="I29" i="8"/>
  <c r="R27" i="8"/>
  <c r="R29" i="8"/>
  <c r="H26" i="8"/>
  <c r="M26" i="8"/>
  <c r="Q26" i="8"/>
  <c r="U26" i="8"/>
  <c r="I27" i="8"/>
  <c r="O27" i="8"/>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K27" i="8"/>
  <c r="S27" i="8"/>
  <c r="U29" i="8"/>
  <c r="I19" i="11"/>
  <c r="I47" i="11"/>
  <c r="I53" i="11" s="1"/>
  <c r="I55" i="11" s="1"/>
  <c r="J19" i="9" s="1"/>
  <c r="O31" i="8" l="1"/>
  <c r="O34" i="8" s="1"/>
  <c r="P20" i="9" s="1"/>
  <c r="P22" i="9" s="1"/>
  <c r="P24" i="9" s="1"/>
  <c r="Q22" i="9"/>
  <c r="Q24" i="9" s="1"/>
  <c r="G22" i="9"/>
  <c r="G24" i="9" s="1"/>
  <c r="K31" i="8"/>
  <c r="K34" i="8" s="1"/>
  <c r="L20" i="9" s="1"/>
  <c r="L31" i="8"/>
  <c r="L34" i="8" s="1"/>
  <c r="M20" i="9" s="1"/>
  <c r="G31" i="8"/>
  <c r="G34" i="8" s="1"/>
  <c r="H20" i="9" s="1"/>
  <c r="H31" i="8"/>
  <c r="H34" i="8" s="1"/>
  <c r="I20" i="9" s="1"/>
  <c r="H30" i="8"/>
  <c r="U30" i="8"/>
  <c r="U33" i="8" s="1"/>
  <c r="V14" i="9" s="1"/>
  <c r="S31" i="8"/>
  <c r="S34" i="8" s="1"/>
  <c r="T20" i="9" s="1"/>
  <c r="T31" i="8"/>
  <c r="T34" i="8" s="1"/>
  <c r="U20" i="9" s="1"/>
  <c r="Q30" i="8"/>
  <c r="I30" i="8"/>
  <c r="I33" i="8" s="1"/>
  <c r="J14" i="9" s="1"/>
  <c r="S30" i="8"/>
  <c r="S33" i="8" s="1"/>
  <c r="T14" i="9" s="1"/>
  <c r="M30" i="8"/>
  <c r="M33" i="8" s="1"/>
  <c r="N14" i="9" s="1"/>
  <c r="M31" i="8"/>
  <c r="M34" i="8" s="1"/>
  <c r="N20" i="9" s="1"/>
  <c r="L30" i="8"/>
  <c r="L32" i="8" s="1"/>
  <c r="G30" i="8"/>
  <c r="G33" i="8" s="1"/>
  <c r="H14" i="9" s="1"/>
  <c r="C13" i="19"/>
  <c r="D13" i="19" s="1"/>
  <c r="L19" i="9"/>
  <c r="L33" i="8"/>
  <c r="M14" i="9" s="1"/>
  <c r="F30" i="8"/>
  <c r="P57" i="11"/>
  <c r="Q33" i="8"/>
  <c r="R14" i="9" s="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Q39" i="9" l="1"/>
  <c r="Q49" i="9" s="1"/>
  <c r="Q51" i="9"/>
  <c r="G39" i="9"/>
  <c r="G49" i="9" s="1"/>
  <c r="G51" i="9"/>
  <c r="P39" i="9"/>
  <c r="P49" i="9" s="1"/>
  <c r="P51" i="9"/>
  <c r="T22" i="9"/>
  <c r="T24" i="9" s="1"/>
  <c r="H22" i="9"/>
  <c r="H24" i="9" s="1"/>
  <c r="N22" i="9"/>
  <c r="N24" i="9" s="1"/>
  <c r="J22" i="9"/>
  <c r="J24" i="9" s="1"/>
  <c r="S22" i="9"/>
  <c r="S24" i="9" s="1"/>
  <c r="M22" i="9"/>
  <c r="M24" i="9" s="1"/>
  <c r="R22" i="9"/>
  <c r="R24" i="9" s="1"/>
  <c r="V22" i="9"/>
  <c r="V24" i="9" s="1"/>
  <c r="U22" i="9"/>
  <c r="U24" i="9" s="1"/>
  <c r="I22" i="9"/>
  <c r="I24" i="9" s="1"/>
  <c r="O24" i="9"/>
  <c r="L22" i="9"/>
  <c r="L24" i="9" s="1"/>
  <c r="G32" i="8"/>
  <c r="H32" i="8"/>
  <c r="U32" i="8"/>
  <c r="S32" i="8"/>
  <c r="M32" i="8"/>
  <c r="R32" i="8"/>
  <c r="S36" i="8"/>
  <c r="T16" i="9"/>
  <c r="T18" i="9" s="1"/>
  <c r="Q36" i="8"/>
  <c r="R16" i="9"/>
  <c r="R18" i="9" s="1"/>
  <c r="P33" i="8"/>
  <c r="Q14" i="9" s="1"/>
  <c r="P32" i="8"/>
  <c r="O32" i="8"/>
  <c r="O33" i="8"/>
  <c r="P14" i="9" s="1"/>
  <c r="T33" i="8"/>
  <c r="U14" i="9" s="1"/>
  <c r="T32" i="8"/>
  <c r="R36" i="8"/>
  <c r="S16" i="9"/>
  <c r="S18" i="9" s="1"/>
  <c r="Q32" i="8"/>
  <c r="F32" i="8"/>
  <c r="F33" i="8"/>
  <c r="G14" i="9" s="1"/>
  <c r="D12" i="19"/>
  <c r="D14" i="19" s="1"/>
  <c r="C14" i="19"/>
  <c r="H16" i="9"/>
  <c r="H36" i="8"/>
  <c r="I16" i="9"/>
  <c r="M36" i="8"/>
  <c r="N16" i="9"/>
  <c r="K32" i="8"/>
  <c r="K33" i="8"/>
  <c r="L14" i="9" s="1"/>
  <c r="I36" i="8"/>
  <c r="J16" i="9"/>
  <c r="L36" i="8"/>
  <c r="M16" i="9"/>
  <c r="G36" i="8"/>
  <c r="U36" i="8"/>
  <c r="V16" i="9"/>
  <c r="V18" i="9" s="1"/>
  <c r="I32" i="8"/>
  <c r="U39" i="9" l="1"/>
  <c r="U49" i="9" s="1"/>
  <c r="U51" i="9"/>
  <c r="S39" i="9"/>
  <c r="S49" i="9" s="1"/>
  <c r="S51" i="9"/>
  <c r="N39" i="9"/>
  <c r="N49" i="9" s="1"/>
  <c r="N51" i="9"/>
  <c r="T39" i="9"/>
  <c r="T49" i="9" s="1"/>
  <c r="T51" i="9"/>
  <c r="S38" i="9"/>
  <c r="S48" i="9" s="1"/>
  <c r="S50" i="9"/>
  <c r="R38" i="9"/>
  <c r="R48" i="9" s="1"/>
  <c r="R50" i="9"/>
  <c r="R39" i="9"/>
  <c r="R49" i="9" s="1"/>
  <c r="R51" i="9"/>
  <c r="V39" i="9"/>
  <c r="V49" i="9" s="1"/>
  <c r="V51" i="9"/>
  <c r="H39" i="9"/>
  <c r="H49" i="9" s="1"/>
  <c r="H51" i="9"/>
  <c r="O39" i="9"/>
  <c r="O49" i="9" s="1"/>
  <c r="O51" i="9"/>
  <c r="V38" i="9"/>
  <c r="V48" i="9" s="1"/>
  <c r="V50" i="9"/>
  <c r="I39" i="9"/>
  <c r="I49" i="9" s="1"/>
  <c r="I51" i="9"/>
  <c r="M39" i="9"/>
  <c r="M49" i="9" s="1"/>
  <c r="M51" i="9"/>
  <c r="J39" i="9"/>
  <c r="J49" i="9" s="1"/>
  <c r="J51" i="9"/>
  <c r="T38" i="9"/>
  <c r="T48" i="9" s="1"/>
  <c r="T50" i="9"/>
  <c r="L39" i="9"/>
  <c r="L49" i="9" s="1"/>
  <c r="L51" i="9"/>
  <c r="C24" i="19"/>
  <c r="K36" i="8"/>
  <c r="L16" i="9"/>
  <c r="T36" i="8"/>
  <c r="U16" i="9"/>
  <c r="U18" i="9" s="1"/>
  <c r="P36" i="8"/>
  <c r="Q16" i="9"/>
  <c r="Q18" i="9" s="1"/>
  <c r="F36" i="8"/>
  <c r="G16" i="9"/>
  <c r="O36" i="8"/>
  <c r="P16" i="9"/>
  <c r="P18" i="9" s="1"/>
  <c r="Q38" i="9" l="1"/>
  <c r="Q48" i="9" s="1"/>
  <c r="Q50" i="9"/>
  <c r="U38" i="9"/>
  <c r="U48" i="9" s="1"/>
  <c r="U50" i="9"/>
  <c r="P38" i="9"/>
  <c r="P48" i="9" s="1"/>
  <c r="P50" i="9"/>
  <c r="G18" i="9"/>
  <c r="O18" i="9"/>
  <c r="N18" i="9"/>
  <c r="M18" i="9"/>
  <c r="L18" i="9"/>
  <c r="I18" i="9"/>
  <c r="J18" i="9"/>
  <c r="H18" i="9"/>
  <c r="D24" i="19"/>
  <c r="D26" i="19" s="1"/>
  <c r="C26" i="19"/>
  <c r="I38" i="9" l="1"/>
  <c r="I48" i="9" s="1"/>
  <c r="I50" i="9"/>
  <c r="L38" i="9"/>
  <c r="L48" i="9" s="1"/>
  <c r="L50" i="9"/>
  <c r="G38" i="9"/>
  <c r="G48" i="9" s="1"/>
  <c r="G50" i="9"/>
  <c r="H38" i="9"/>
  <c r="H48" i="9" s="1"/>
  <c r="H50" i="9"/>
  <c r="M38" i="9"/>
  <c r="M48" i="9" s="1"/>
  <c r="M50" i="9"/>
  <c r="O38" i="9"/>
  <c r="O48" i="9" s="1"/>
  <c r="O50" i="9"/>
  <c r="J38" i="9"/>
  <c r="J48" i="9" s="1"/>
  <c r="J50" i="9"/>
  <c r="N38" i="9"/>
  <c r="N48" i="9" s="1"/>
  <c r="N50" i="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<sst xmlns="http://schemas.openxmlformats.org/spreadsheetml/2006/main" count="1038" uniqueCount="541">
  <si>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</si>
  <si>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</si>
  <si>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</si>
  <si>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</si>
  <si>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</si>
  <si>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</si>
  <si>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</si>
  <si>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</si>
  <si>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</si>
  <si>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</si>
  <si>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</si>
  <si>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</si>
  <si>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</si>
  <si>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</si>
  <si>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</si>
  <si>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</si>
  <si>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</si>
  <si>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</si>
  <si>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</si>
  <si>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</si>
  <si>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</si>
  <si>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</si>
  <si>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</si>
  <si>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</si>
  <si>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</si>
  <si>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</si>
  <si>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</si>
  <si>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</si>
  <si>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</si>
  <si>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</si>
  <si>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</si>
  <si>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</si>
  <si>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</si>
  <si>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</si>
  <si>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</si>
  <si>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</si>
  <si>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</si>
  <si>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</si>
  <si>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</si>
  <si>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</si>
  <si>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</si>
  <si>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</si>
  <si>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</si>
  <si>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</si>
  <si>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</si>
  <si>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</si>
  <si>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</si>
  <si>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</si>
  <si>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</si>
  <si>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</si>
  <si>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</si>
  <si>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</si>
  <si>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</si>
  <si>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</si>
  <si>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</si>
  <si>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</si>
  <si>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</si>
  <si>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</si>
  <si>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</si>
  <si>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</si>
  <si>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</si>
  <si>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</si>
  <si>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</si>
  <si>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</si>
  <si>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</si>
  <si>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</si>
  <si>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</si>
  <si>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</si>
  <si>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</si>
  <si>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</si>
  <si>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</si>
  <si>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</si>
  <si>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</si>
  <si>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</si>
  <si>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</si>
  <si>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</si>
  <si>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</si>
  <si>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</si>
  <si>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</si>
  <si>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</si>
  <si>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</si>
  <si>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</si>
  <si>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</si>
  <si>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</si>
  <si>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</si>
  <si>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</si>
  <si>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</si>
  <si>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</si>
  <si>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</si>
  <si>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</si>
  <si>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</si>
  <si>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</si>
  <si>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</si>
  <si>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</si>
  <si>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</si>
  <si>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</si>
  <si>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</si>
  <si>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</si>
  <si>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</si>
  <si>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</si>
  <si>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</si>
  <si>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</si>
  <si>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</si>
  <si>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</si>
  <si>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</si>
  <si>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</si>
  <si>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</si>
  <si>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</si>
  <si>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</si>
  <si>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</si>
  <si>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</si>
  <si>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</si>
  <si>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</si>
  <si>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</si>
  <si>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</si>
  <si>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</si>
  <si>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</si>
  <si>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</si>
  <si>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</si>
  <si>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</si>
  <si>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</si>
  <si>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</si>
  <si>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</si>
  <si>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</si>
  <si>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</si>
  <si>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</si>
  <si>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</si>
  <si>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</si>
  <si>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</si>
  <si>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</si>
  <si>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</si>
  <si>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</si>
  <si>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</si>
  <si>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</si>
  <si>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</si>
  <si>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</si>
  <si>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</si>
  <si>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</si>
  <si>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</si>
  <si>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</si>
  <si>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</si>
  <si>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</si>
  <si>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</si>
  <si>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</si>
  <si>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</si>
  <si>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</si>
  <si>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</si>
  <si>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</si>
  <si>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</si>
  <si>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</si>
  <si>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</si>
  <si>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</si>
  <si>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</si>
  <si>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</si>
  <si>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</si>
  <si>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</si>
  <si>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</si>
  <si>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</si>
  <si>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</si>
  <si>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</si>
  <si>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</si>
  <si>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</si>
  <si>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</si>
  <si>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</si>
  <si>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</si>
  <si>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</si>
  <si>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</si>
  <si>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</si>
  <si>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</si>
  <si>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</si>
  <si>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</si>
  <si>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</si>
  <si>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</si>
  <si>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</si>
  <si>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</si>
  <si>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</si>
  <si>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</si>
  <si>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</si>
  <si>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</si>
  <si>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</si>
  <si>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</si>
  <si>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</si>
  <si>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</si>
  <si>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</si>
  <si>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</si>
  <si>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</si>
  <si>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</si>
  <si>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</si>
  <si>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</si>
  <si>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</si>
  <si>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</si>
  <si>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</si>
  <si>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</si>
  <si>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</si>
  <si>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</si>
  <si>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</si>
  <si>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</si>
  <si>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</si>
  <si>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</si>
  <si>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</si>
  <si>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</si>
  <si>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</si>
  <si>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</si>
  <si>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</si>
  <si>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</si>
  <si>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</si>
  <si>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</si>
  <si>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</si>
  <si>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</si>
  <si>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</si>
  <si>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</si>
  <si>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</si>
  <si>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</si>
  <si>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</si>
  <si>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</si>
  <si>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</si>
  <si>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</si>
  <si>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</si>
  <si>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</si>
  <si>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</si>
  <si>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</si>
  <si>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</si>
  <si>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</si>
  <si>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</si>
  <si>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</si>
  <si>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</si>
  <si>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</si>
  <si>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</si>
  <si>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</si>
  <si>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</si>
  <si>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</si>
  <si>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</si>
  <si>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</si>
  <si>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</si>
  <si>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</si>
  <si>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</si>
  <si>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</si>
  <si>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</si>
  <si>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</si>
  <si>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</si>
  <si>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</si>
  <si>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</si>
  <si>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</si>
  <si>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</si>
  <si>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</si>
  <si>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</si>
  <si>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</si>
  <si>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</si>
  <si>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</si>
  <si>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</si>
  <si>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</si>
  <si>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</si>
  <si>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</si>
  <si>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</si>
  <si>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</si>
  <si>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</si>
  <si>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</si>
  <si>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</si>
  <si>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</si>
  <si>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</si>
  <si>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</si>
  <si>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</si>
  <si>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</si>
  <si>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</si>
  <si>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</si>
  <si>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</si>
  <si>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</si>
  <si>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</si>
  <si>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</si>
  <si>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</si>
  <si>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</si>
  <si>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</si>
  <si>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</si>
  <si>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</si>
  <si>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</si>
  <si>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</si>
  <si>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</si>
  <si>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</si>
  <si>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</si>
  <si>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</si>
  <si>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</si>
  <si>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</si>
  <si>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</si>
  <si>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</si>
  <si>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</si>
  <si>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</si>
  <si>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</si>
  <si>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</si>
  <si>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</si>
  <si>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</si>
  <si>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</si>
  <si>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</si>
  <si>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</si>
  <si>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</si>
  <si>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</si>
  <si>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</si>
  <si>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</si>
  <si>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</si>
  <si>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</si>
  <si>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</si>
  <si>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</si>
  <si>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</si>
  <si>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</si>
  <si>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</si>
  <si>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</si>
  <si>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</si>
  <si>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</si>
  <si>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</si>
  <si>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</si>
  <si>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</si>
  <si>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</si>
  <si>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</si>
  <si>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</si>
  <si>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</si>
  <si>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</si>
  <si>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</si>
  <si>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</si>
  <si>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</si>
  <si>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</si>
  <si>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</si>
  <si>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</si>
  <si>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</si>
  <si>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</si>
  <si>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</si>
  <si>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</si>
  <si>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</si>
  <si>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</si>
  <si>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</si>
  <si>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</si>
  <si>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</si>
  <si>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</si>
  <si>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</si>
  <si>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</si>
  <si>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</si>
  <si>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</si>
  <si>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</si>
  <si>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</si>
  <si>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</si>
  <si>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</si>
  <si>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</si>
  <si>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</si>
  <si>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</si>
  <si>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</si>
  <si>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</si>
  <si>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</si>
  <si>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</si>
  <si>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</si>
  <si>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</si>
  <si>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</si>
  <si>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</si>
  <si>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</si>
  <si>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</si>
  <si>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</si>
  <si>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</si>
  <si>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</si>
  <si>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</si>
  <si>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</si>
  <si>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</si>
  <si>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</si>
  <si>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</si>
  <si>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</si>
  <si>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</si>
  <si>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</si>
  <si>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</si>
  <si>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</si>
  <si>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</si>
  <si>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</si>
  <si>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</si>
  <si>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</si>
  <si>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</si>
  <si>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</si>
  <si>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</si>
  <si>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</si>
  <si>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</si>
  <si>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</si>
  <si>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</si>
  <si>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</si>
  <si>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</si>
  <si>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</si>
  <si>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</si>
  <si>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</si>
  <si>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</si>
  <si>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</si>
  <si>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</si>
  <si>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</si>
  <si>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</si>
  <si>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</si>
  <si>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</si>
  <si>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</si>
  <si>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</si>
  <si>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</si>
  <si>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</si>
  <si>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</si>
  <si>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</si>
  <si>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</si>
  <si>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</si>
  <si>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</si>
  <si>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</si>
  <si>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</si>
  <si>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</si>
  <si>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</si>
  <si>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</si>
  <si>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</si>
  <si>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</si>
  <si>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</si>
  <si>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</si>
  <si>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</si>
  <si>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</si>
  <si>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</si>
  <si>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</si>
  <si>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</si>
  <si>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</si>
  <si>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</si>
  <si>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</si>
  <si>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</si>
  <si>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</si>
  <si>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</si>
  <si>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</si>
  <si>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</si>
  <si>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</si>
  <si>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</si>
  <si>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</si>
  <si>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</si>
  <si>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</si>
  <si>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</si>
  <si>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</si>
  <si>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</si>
  <si>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</si>
  <si>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</si>
  <si>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</si>
  <si>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</si>
  <si>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</si>
  <si>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</si>
  <si>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</si>
  <si>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</si>
  <si>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</si>
  <si>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</si>
  <si>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</si>
  <si>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</si>
  <si>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</si>
  <si>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</si>
  <si>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</si>
  <si>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</si>
  <si>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</si>
  <si>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</si>
  <si>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</si>
  <si>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</si>
  <si>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</si>
  <si>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</si>
  <si>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</si>
  <si>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</si>
  <si>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</si>
  <si>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</si>
  <si>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</si>
  <si>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</si>
  <si>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</si>
  <si>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</si>
  <si>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</si>
  <si>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</si>
  <si>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</si>
  <si>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</si>
  <si>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</si>
  <si>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</si>
  <si>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</si>
  <si>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</si>
  <si>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</si>
  <si>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</si>
  <si>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</si>
  <si>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</si>
  <si>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</si>
  <si>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</si>
  <si>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</si>
  <si>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</si>
  <si>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</si>
  <si>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</si>
  <si>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</si>
  <si>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</si>
  <si>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</si>
  <si>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</si>
  <si>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</si>
  <si>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</si>
  <si>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</si>
  <si>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</si>
  <si>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</si>
  <si>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</si>
  <si>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</si>
  <si>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</si>
  <si>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</si>
  <si>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</si>
  <si>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</si>
  <si>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</si>
  <si>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</si>
  <si>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</si>
  <si>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</si>
  <si>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</si>
  <si>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</si>
  <si>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</si>
  <si>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</si>
  <si>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</si>
  <si>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</si>
  <si>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</si>
  <si>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</si>
  <si>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</si>
  <si>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</si>
  <si>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</si>
  <si>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</si>
  <si>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</si>
  <si>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</si>
  <si>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</si>
  <si>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</si>
  <si>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</si>
  <si>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</si>
  <si>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</si>
  <si>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</si>
  <si>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</si>
  <si>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</si>
  <si>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</si>
  <si>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</si>
  <si>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</si>
  <si>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</si>
  <si>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</si>
  <si>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</si>
  <si>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</si>
  <si>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</si>
  <si>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</si>
  <si>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</si>
  <si>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v1.6</t>
  </si>
  <si>
    <t>Payment method</t>
  </si>
  <si>
    <t>Standard Credit, Other Payment Method and PPM</t>
  </si>
  <si>
    <t>Standard Credit and Other Payment Method</t>
  </si>
  <si>
    <t>PPM</t>
  </si>
  <si>
    <t>The assumptions in the model in place during the cap period</t>
  </si>
  <si>
    <t>2020 JAN</t>
  </si>
  <si>
    <t>2020 FEB</t>
  </si>
  <si>
    <t>2020 MAR</t>
  </si>
  <si>
    <t>2020 APR</t>
  </si>
  <si>
    <t>2020 MAY</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</si>
  <si>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</si>
  <si>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v1.7</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</si>
  <si>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</si>
  <si>
    <t xml:space="preserve">- Added column for payment method and rows for prepayment to '1a SMNCC Values' and '2 Inputs and calculations'
'- The Formula added in for Prepayment method rows in'1a SMNCC' were amended to allow for zero values to be pulled through from input tabs.
- The Formula added in for Prepayment method rows in'1a SMNCC' were amended to allow for zero values to be pulled through from input tabs.
- Source text changed in tab '2c DCC' Cell C14 and C15 to "The assumptions in the model in place during the cap period".
'-Inputs updated for price cap period 01 Oct 2020 to 01 Mar 2021
'-We have inserted values in cells M7:S7, M8:S8,M9:N9&amp; M10:N10 of sheet ‘2a Non pass-through costs’. The decision for these values are set out in our decision document for 'Reveiwing smat metering costs in the default tariff cap' and 'Decision for protecting energy consumers with prepayment meters' which were published 5 August 2020.  
'- We have inserted values in cells O14 and O15 of sheet '2c DCC'. The decision for these values are set out in 'Changes to Annex 5-Methodology for determining the Smart Metering Net Cost Change'. We have decided to align our source with the decision made in the 'Reveiwing smart metering costs' consultation, this decision paper was also published on 5 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</si>
</sst>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s>
  <fonts count="48"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s>
  <fills count="16">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30">
    <xf numFmtId="0" fontId="0" fillId="0" borderId="0"/>
    <xf numFmtId="164" fontId="23" fillId="0" borderId="0" applyFont="0" applyFill="0" applyBorder="0" applyAlignment="0" applyProtection="0"/>
    <xf numFmtId="9" fontId="23" fillId="0" borderId="0" applyFont="0" applyFill="0" applyBorder="0" applyAlignment="0" applyProtection="0"/>
    <xf numFmtId="0" fontId="22" fillId="0" borderId="0"/>
    <xf numFmtId="0" fontId="21" fillId="0" borderId="0"/>
    <xf numFmtId="0" fontId="29" fillId="0" borderId="0"/>
    <xf numFmtId="0" fontId="35" fillId="0" borderId="0" applyNumberFormat="0" applyFill="0" applyBorder="0" applyAlignment="0" applyProtection="0"/>
    <xf numFmtId="0" fontId="29" fillId="0" borderId="0"/>
    <xf numFmtId="0" fontId="8" fillId="0" borderId="0"/>
    <xf numFmtId="0" fontId="3" fillId="0" borderId="0"/>
    <xf numFmtId="164" fontId="3" fillId="0" borderId="0" applyFont="0" applyFill="0" applyBorder="0" applyAlignment="0" applyProtection="0"/>
    <xf numFmtId="0" fontId="23" fillId="0" borderId="0"/>
    <xf numFmtId="0" fontId="43" fillId="14" borderId="15" applyNumberFormat="0" applyAlignment="0" applyProtection="0"/>
    <xf numFmtId="0" fontId="44" fillId="0" borderId="0" applyNumberFormat="0" applyFill="0" applyBorder="0" applyAlignment="0" applyProtection="0"/>
    <xf numFmtId="164" fontId="23" fillId="0" borderId="0" applyFont="0" applyFill="0" applyBorder="0" applyAlignment="0" applyProtection="0"/>
    <xf numFmtId="0" fontId="45" fillId="15" borderId="15" applyNumberFormat="0" applyAlignment="0" applyProtection="0"/>
    <xf numFmtId="0" fontId="3" fillId="0" borderId="0"/>
    <xf numFmtId="0" fontId="35" fillId="0" borderId="0" applyNumberFormat="0" applyFill="0" applyBorder="0" applyAlignment="0" applyProtection="0"/>
    <xf numFmtId="164" fontId="3" fillId="0" borderId="0" applyFont="0" applyFill="0" applyBorder="0" applyAlignment="0" applyProtection="0"/>
    <xf numFmtId="164" fontId="23" fillId="0" borderId="0" applyFont="0" applyFill="0" applyBorder="0" applyAlignment="0" applyProtection="0"/>
    <xf numFmtId="0" fontId="23" fillId="0" borderId="0"/>
    <xf numFmtId="171" fontId="29" fillId="0" borderId="0"/>
    <xf numFmtId="0" fontId="3" fillId="0" borderId="0"/>
    <xf numFmtId="0" fontId="23" fillId="0" borderId="0"/>
    <xf numFmtId="0" fontId="46" fillId="0" borderId="0"/>
    <xf numFmtId="164" fontId="23" fillId="0" borderId="0" applyFont="0" applyFill="0" applyBorder="0" applyAlignment="0" applyProtection="0"/>
    <xf numFmtId="0" fontId="3" fillId="0" borderId="0"/>
    <xf numFmtId="9" fontId="3" fillId="0" borderId="0" applyFont="0" applyFill="0" applyBorder="0" applyAlignment="0" applyProtection="0"/>
    <xf numFmtId="0" fontId="29" fillId="0" borderId="0"/>
    <xf numFmtId="0" fontId="29" fillId="0" borderId="0"/>
  </cellStyleXfs>
  <cellXfs count="271">
    <xf numFmtId="0" fontId="0" fillId="0" borderId="0" xfId="0"/>
    <xf numFmtId="0" fontId="0" fillId="4" borderId="0" xfId="0" applyFill="1"/>
    <xf numFmtId="0" fontId="0" fillId="0" borderId="0" xfId="0" applyFont="1"/>
    <xf numFmtId="0" fontId="26" fillId="5" borderId="0" xfId="3" applyFont="1" applyFill="1" applyAlignment="1">
      <alignment wrapText="1"/>
    </xf>
    <xf numFmtId="0" fontId="22" fillId="0" borderId="0" xfId="3"/>
    <xf numFmtId="0" fontId="26" fillId="5" borderId="0" xfId="3" applyFont="1" applyFill="1" applyAlignment="1">
      <alignment vertical="center"/>
    </xf>
    <xf numFmtId="0" fontId="26" fillId="5" borderId="0" xfId="3" applyFont="1" applyFill="1" applyAlignment="1"/>
    <xf numFmtId="0" fontId="0" fillId="7" borderId="0" xfId="0" applyFill="1"/>
    <xf numFmtId="0" fontId="28"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7" fillId="7" borderId="0" xfId="0" applyFont="1" applyFill="1"/>
    <xf numFmtId="0" fontId="21" fillId="4" borderId="0" xfId="4" applyFill="1"/>
    <xf numFmtId="0" fontId="28" fillId="4" borderId="0" xfId="4" applyFont="1" applyFill="1"/>
    <xf numFmtId="0" fontId="21" fillId="4" borderId="0" xfId="4" applyFill="1" applyAlignment="1">
      <alignment wrapText="1"/>
    </xf>
    <xf numFmtId="0" fontId="21" fillId="5" borderId="0" xfId="4" applyFill="1"/>
    <xf numFmtId="0" fontId="21" fillId="5" borderId="0" xfId="4" applyFont="1" applyFill="1"/>
    <xf numFmtId="0" fontId="29" fillId="5" borderId="0" xfId="5" applyFill="1"/>
    <xf numFmtId="0" fontId="30" fillId="13" borderId="0" xfId="5" applyFont="1" applyFill="1"/>
    <xf numFmtId="0" fontId="27" fillId="13" borderId="0" xfId="5" applyFont="1" applyFill="1"/>
    <xf numFmtId="0" fontId="29" fillId="0" borderId="0" xfId="5"/>
    <xf numFmtId="0" fontId="32" fillId="5" borderId="0" xfId="5" applyFont="1" applyFill="1"/>
    <xf numFmtId="0" fontId="31" fillId="5" borderId="0" xfId="5" applyFont="1" applyFill="1"/>
    <xf numFmtId="0" fontId="31" fillId="0" borderId="0" xfId="5" applyFont="1"/>
    <xf numFmtId="0" fontId="33" fillId="5" borderId="0" xfId="5" applyFont="1" applyFill="1" applyBorder="1"/>
    <xf numFmtId="0" fontId="31" fillId="5" borderId="0" xfId="5" applyFont="1" applyFill="1" applyBorder="1"/>
    <xf numFmtId="0" fontId="34" fillId="5" borderId="0" xfId="5" applyFont="1" applyFill="1" applyBorder="1"/>
    <xf numFmtId="0" fontId="32" fillId="5" borderId="0" xfId="5" applyFont="1" applyFill="1" applyBorder="1"/>
    <xf numFmtId="0" fontId="37" fillId="4" borderId="0" xfId="0" applyFont="1" applyFill="1"/>
    <xf numFmtId="0" fontId="37" fillId="4" borderId="0" xfId="0" applyFont="1" applyFill="1" applyAlignment="1">
      <alignment wrapText="1"/>
    </xf>
    <xf numFmtId="0" fontId="37" fillId="0" borderId="0" xfId="0" applyFont="1"/>
    <xf numFmtId="0" fontId="20" fillId="4" borderId="0" xfId="0" applyFont="1" applyFill="1" applyAlignment="1">
      <alignment wrapText="1"/>
    </xf>
    <xf numFmtId="0" fontId="20" fillId="4" borderId="0" xfId="0" applyFont="1" applyFill="1"/>
    <xf numFmtId="0" fontId="20" fillId="0" borderId="0" xfId="0" applyFont="1" applyFill="1"/>
    <xf numFmtId="0" fontId="36" fillId="10" borderId="0" xfId="0" applyFont="1" applyFill="1" applyBorder="1" applyAlignment="1">
      <alignment horizontal="right" vertical="center" wrapText="1"/>
    </xf>
    <xf numFmtId="0" fontId="20" fillId="9" borderId="10" xfId="0" applyFont="1" applyFill="1" applyBorder="1" applyAlignment="1">
      <alignment vertical="center"/>
    </xf>
    <xf numFmtId="0" fontId="20" fillId="9" borderId="4" xfId="0" applyFont="1" applyFill="1" applyBorder="1" applyAlignment="1">
      <alignment horizontal="center" vertical="center" wrapText="1"/>
    </xf>
    <xf numFmtId="0" fontId="20" fillId="9" borderId="5" xfId="0" applyFont="1" applyFill="1" applyBorder="1" applyAlignment="1">
      <alignment vertical="center"/>
    </xf>
    <xf numFmtId="17" fontId="20" fillId="9" borderId="1" xfId="0" applyNumberFormat="1" applyFont="1" applyFill="1" applyBorder="1" applyAlignment="1">
      <alignment horizontal="center" vertical="center"/>
    </xf>
    <xf numFmtId="17" fontId="20" fillId="9" borderId="1" xfId="0" quotePrefix="1" applyNumberFormat="1" applyFont="1" applyFill="1" applyBorder="1" applyAlignment="1">
      <alignment horizontal="center" vertical="center"/>
    </xf>
    <xf numFmtId="0" fontId="20" fillId="0" borderId="0" xfId="0" applyFont="1"/>
    <xf numFmtId="0" fontId="20" fillId="9" borderId="1" xfId="0" applyFont="1" applyFill="1" applyBorder="1" applyAlignment="1">
      <alignment horizontal="center" vertical="center" wrapText="1"/>
    </xf>
    <xf numFmtId="0" fontId="20" fillId="0" borderId="1" xfId="0" applyFont="1" applyBorder="1"/>
    <xf numFmtId="164" fontId="20" fillId="3" borderId="1" xfId="0" applyNumberFormat="1" applyFont="1" applyFill="1" applyBorder="1"/>
    <xf numFmtId="0" fontId="20" fillId="0" borderId="1" xfId="0" applyFont="1" applyFill="1" applyBorder="1"/>
    <xf numFmtId="0" fontId="36" fillId="0" borderId="0" xfId="0" applyFont="1" applyFill="1"/>
    <xf numFmtId="164" fontId="20" fillId="11" borderId="1" xfId="0" applyNumberFormat="1" applyFont="1" applyFill="1" applyBorder="1"/>
    <xf numFmtId="0" fontId="36" fillId="0" borderId="0" xfId="0" applyFont="1"/>
    <xf numFmtId="0" fontId="20" fillId="9" borderId="1" xfId="0" applyFont="1" applyFill="1" applyBorder="1" applyAlignment="1">
      <alignment horizontal="center" vertical="center"/>
    </xf>
    <xf numFmtId="0" fontId="20" fillId="9" borderId="5" xfId="0" applyFont="1" applyFill="1" applyBorder="1" applyAlignment="1">
      <alignment horizontal="right" vertical="center"/>
    </xf>
    <xf numFmtId="164" fontId="20" fillId="3" borderId="1" xfId="0" applyNumberFormat="1" applyFont="1" applyFill="1" applyBorder="1" applyAlignment="1">
      <alignment horizontal="center"/>
    </xf>
    <xf numFmtId="166" fontId="20" fillId="3" borderId="1" xfId="0" applyNumberFormat="1" applyFont="1" applyFill="1" applyBorder="1" applyAlignment="1">
      <alignment horizontal="center"/>
    </xf>
    <xf numFmtId="2" fontId="20" fillId="3" borderId="1" xfId="0" applyNumberFormat="1" applyFont="1" applyFill="1" applyBorder="1" applyAlignment="1">
      <alignment horizontal="center"/>
    </xf>
    <xf numFmtId="0" fontId="20" fillId="9" borderId="2" xfId="0" applyFont="1" applyFill="1" applyBorder="1" applyAlignment="1">
      <alignment horizontal="center" vertical="center"/>
    </xf>
    <xf numFmtId="0" fontId="20" fillId="9" borderId="10" xfId="0" applyFont="1" applyFill="1" applyBorder="1" applyAlignment="1">
      <alignment horizontal="right" vertical="center" wrapText="1"/>
    </xf>
    <xf numFmtId="0" fontId="20" fillId="0" borderId="0" xfId="0" applyFont="1" applyFill="1" applyAlignment="1">
      <alignment wrapText="1"/>
    </xf>
    <xf numFmtId="0" fontId="36" fillId="4" borderId="0" xfId="0" applyFont="1" applyFill="1"/>
    <xf numFmtId="0" fontId="20" fillId="9" borderId="2" xfId="0" applyFont="1" applyFill="1" applyBorder="1" applyAlignment="1">
      <alignment horizontal="left" vertical="center"/>
    </xf>
    <xf numFmtId="0" fontId="20" fillId="0" borderId="1" xfId="0" applyFont="1" applyBorder="1" applyAlignment="1">
      <alignment vertical="center"/>
    </xf>
    <xf numFmtId="0" fontId="20" fillId="5" borderId="0" xfId="0" applyFont="1" applyFill="1"/>
    <xf numFmtId="4" fontId="20" fillId="11" borderId="1" xfId="0" applyNumberFormat="1" applyFont="1" applyFill="1" applyBorder="1" applyAlignment="1">
      <alignment horizontal="center" vertical="center"/>
    </xf>
    <xf numFmtId="0" fontId="37" fillId="4" borderId="0" xfId="0" applyFont="1" applyFill="1" applyAlignment="1">
      <alignment horizontal="left" wrapText="1"/>
    </xf>
    <xf numFmtId="165" fontId="20" fillId="11" borderId="1" xfId="1" applyNumberFormat="1" applyFont="1" applyFill="1" applyBorder="1" applyAlignment="1">
      <alignment horizontal="center"/>
    </xf>
    <xf numFmtId="168" fontId="20" fillId="11" borderId="1" xfId="2" applyNumberFormat="1" applyFont="1" applyFill="1" applyBorder="1" applyAlignment="1">
      <alignment horizontal="right"/>
    </xf>
    <xf numFmtId="167" fontId="20" fillId="2" borderId="1" xfId="1" applyNumberFormat="1" applyFont="1" applyFill="1" applyBorder="1" applyAlignment="1">
      <alignment horizontal="center"/>
    </xf>
    <xf numFmtId="168" fontId="20" fillId="3" borderId="1" xfId="2" applyNumberFormat="1" applyFont="1" applyFill="1" applyBorder="1" applyAlignment="1">
      <alignment horizontal="right"/>
    </xf>
    <xf numFmtId="167" fontId="20" fillId="11" borderId="1" xfId="1" applyNumberFormat="1" applyFont="1" applyFill="1" applyBorder="1" applyAlignment="1">
      <alignment horizontal="center"/>
    </xf>
    <xf numFmtId="165" fontId="20" fillId="2" borderId="1" xfId="1" applyNumberFormat="1" applyFont="1" applyFill="1" applyBorder="1" applyAlignment="1">
      <alignment horizontal="center"/>
    </xf>
    <xf numFmtId="9" fontId="20" fillId="3" borderId="1" xfId="2" applyFont="1" applyFill="1" applyBorder="1"/>
    <xf numFmtId="164" fontId="20" fillId="0" borderId="0" xfId="0" applyNumberFormat="1" applyFont="1"/>
    <xf numFmtId="0" fontId="20" fillId="9" borderId="1" xfId="0" applyFont="1" applyFill="1" applyBorder="1" applyAlignment="1">
      <alignment vertical="center"/>
    </xf>
    <xf numFmtId="0" fontId="20" fillId="0" borderId="1" xfId="0" quotePrefix="1" applyFont="1" applyFill="1" applyBorder="1"/>
    <xf numFmtId="165" fontId="20" fillId="3" borderId="1" xfId="0" applyNumberFormat="1" applyFont="1" applyFill="1" applyBorder="1"/>
    <xf numFmtId="164" fontId="20" fillId="3" borderId="5" xfId="0" applyNumberFormat="1" applyFont="1" applyFill="1" applyBorder="1"/>
    <xf numFmtId="166" fontId="20" fillId="0" borderId="0" xfId="0" applyNumberFormat="1" applyFont="1"/>
    <xf numFmtId="0" fontId="20" fillId="4" borderId="0" xfId="0" applyFont="1" applyFill="1" applyAlignment="1">
      <alignment horizontal="left" wrapText="1"/>
    </xf>
    <xf numFmtId="0" fontId="20" fillId="11" borderId="1" xfId="0" applyFont="1" applyFill="1" applyBorder="1"/>
    <xf numFmtId="4" fontId="20" fillId="3" borderId="1" xfId="0" applyNumberFormat="1" applyFont="1" applyFill="1" applyBorder="1" applyAlignment="1">
      <alignment horizontal="center"/>
    </xf>
    <xf numFmtId="0" fontId="19" fillId="0" borderId="1" xfId="0" applyFont="1" applyBorder="1"/>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6" fillId="10" borderId="0" xfId="4" applyFont="1" applyFill="1" applyBorder="1" applyAlignment="1">
      <alignment horizontal="right" vertical="center" wrapText="1"/>
    </xf>
    <xf numFmtId="0" fontId="32" fillId="9" borderId="1" xfId="5" applyFont="1" applyFill="1" applyBorder="1" applyAlignment="1">
      <alignment horizontal="right"/>
    </xf>
    <xf numFmtId="0" fontId="19" fillId="9" borderId="1" xfId="5" applyFont="1" applyFill="1" applyBorder="1" applyAlignment="1">
      <alignment horizontal="center"/>
    </xf>
    <xf numFmtId="0" fontId="19" fillId="9" borderId="1" xfId="4" applyFont="1" applyFill="1" applyBorder="1" applyAlignment="1">
      <alignment horizontal="right" vertical="center" wrapText="1"/>
    </xf>
    <xf numFmtId="0" fontId="19" fillId="9" borderId="4" xfId="4" applyFont="1" applyFill="1" applyBorder="1" applyAlignment="1">
      <alignment horizontal="center" vertical="center" wrapText="1"/>
    </xf>
    <xf numFmtId="0" fontId="19" fillId="9" borderId="9" xfId="4" applyFont="1" applyFill="1" applyBorder="1" applyAlignment="1">
      <alignment horizontal="center" vertical="center" wrapText="1"/>
    </xf>
    <xf numFmtId="0" fontId="19" fillId="9" borderId="1" xfId="4" applyFont="1" applyFill="1" applyBorder="1" applyAlignment="1">
      <alignment horizontal="center" vertical="center" wrapText="1"/>
    </xf>
    <xf numFmtId="0" fontId="19" fillId="9" borderId="5" xfId="4" applyFont="1" applyFill="1" applyBorder="1" applyAlignment="1">
      <alignment horizontal="center" vertical="center" wrapText="1"/>
    </xf>
    <xf numFmtId="49" fontId="19" fillId="9" borderId="1" xfId="4" applyNumberFormat="1" applyFont="1" applyFill="1" applyBorder="1" applyAlignment="1">
      <alignment horizontal="center" vertical="center" wrapText="1"/>
    </xf>
    <xf numFmtId="49" fontId="19" fillId="9" borderId="7" xfId="4" applyNumberFormat="1" applyFont="1" applyFill="1" applyBorder="1" applyAlignment="1">
      <alignment horizontal="center" vertical="center" wrapText="1"/>
    </xf>
    <xf numFmtId="49" fontId="19" fillId="9" borderId="5" xfId="4" applyNumberFormat="1" applyFont="1" applyFill="1" applyBorder="1" applyAlignment="1">
      <alignment horizontal="center" vertical="center" wrapText="1"/>
    </xf>
    <xf numFmtId="0" fontId="34" fillId="0" borderId="1" xfId="5" applyFont="1" applyBorder="1" applyAlignment="1">
      <alignment horizontal="right"/>
    </xf>
    <xf numFmtId="170" fontId="32" fillId="0" borderId="1" xfId="5" applyNumberFormat="1" applyFont="1" applyBorder="1" applyAlignment="1">
      <alignment horizontal="center"/>
    </xf>
    <xf numFmtId="0" fontId="32" fillId="5" borderId="1" xfId="5" applyFont="1" applyFill="1" applyBorder="1" applyAlignment="1">
      <alignment vertical="center"/>
    </xf>
    <xf numFmtId="0" fontId="32" fillId="11" borderId="0" xfId="7" applyFont="1" applyFill="1"/>
    <xf numFmtId="170" fontId="32" fillId="11" borderId="0" xfId="7" applyNumberFormat="1" applyFont="1" applyFill="1"/>
    <xf numFmtId="0" fontId="36" fillId="0" borderId="1" xfId="4" applyFont="1" applyFill="1" applyBorder="1" applyAlignment="1">
      <alignment horizontal="left" vertical="center" wrapText="1"/>
    </xf>
    <xf numFmtId="0" fontId="32" fillId="3" borderId="1" xfId="5" applyFont="1" applyFill="1" applyBorder="1" applyAlignment="1">
      <alignment horizontal="center" vertical="center"/>
    </xf>
    <xf numFmtId="0" fontId="19" fillId="0" borderId="0" xfId="0" applyFont="1"/>
    <xf numFmtId="0" fontId="19" fillId="8" borderId="1" xfId="0" applyFont="1" applyFill="1" applyBorder="1" applyAlignment="1">
      <alignment horizontal="center"/>
    </xf>
    <xf numFmtId="0" fontId="19" fillId="4" borderId="1" xfId="0" applyFont="1" applyFill="1" applyBorder="1" applyAlignment="1">
      <alignment horizontal="center"/>
    </xf>
    <xf numFmtId="0" fontId="19" fillId="8" borderId="1" xfId="0" applyFont="1" applyFill="1" applyBorder="1" applyAlignment="1">
      <alignment vertical="center" wrapText="1"/>
    </xf>
    <xf numFmtId="0" fontId="19" fillId="4" borderId="1" xfId="0" applyFont="1" applyFill="1" applyBorder="1" applyAlignment="1">
      <alignment vertical="center" wrapText="1"/>
    </xf>
    <xf numFmtId="0" fontId="40" fillId="0" borderId="0" xfId="0" applyFont="1"/>
    <xf numFmtId="9" fontId="19" fillId="0" borderId="0" xfId="2" applyFont="1"/>
    <xf numFmtId="2" fontId="19" fillId="0" borderId="0" xfId="0" applyNumberFormat="1" applyFont="1"/>
    <xf numFmtId="0" fontId="19" fillId="0" borderId="8" xfId="0" applyFont="1" applyBorder="1"/>
    <xf numFmtId="2" fontId="19" fillId="0" borderId="8" xfId="0" applyNumberFormat="1" applyFont="1" applyBorder="1"/>
    <xf numFmtId="0" fontId="19" fillId="7" borderId="0" xfId="0" applyFont="1" applyFill="1"/>
    <xf numFmtId="169" fontId="19" fillId="0" borderId="0" xfId="0" applyNumberFormat="1" applyFont="1"/>
    <xf numFmtId="0" fontId="18" fillId="0" borderId="0" xfId="0" applyFont="1"/>
    <xf numFmtId="0" fontId="18" fillId="0" borderId="1" xfId="0" applyFont="1" applyBorder="1"/>
    <xf numFmtId="0" fontId="18" fillId="0" borderId="1" xfId="0" applyFont="1" applyBorder="1" applyAlignment="1">
      <alignment vertical="center"/>
    </xf>
    <xf numFmtId="0" fontId="18" fillId="0" borderId="1" xfId="0" applyFont="1" applyFill="1" applyBorder="1"/>
    <xf numFmtId="49" fontId="17"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6" fillId="5" borderId="0" xfId="0" applyFont="1" applyFill="1"/>
    <xf numFmtId="0" fontId="16" fillId="5" borderId="0" xfId="0" applyFont="1" applyFill="1"/>
    <xf numFmtId="0" fontId="16" fillId="9" borderId="1" xfId="0" applyFont="1" applyFill="1" applyBorder="1" applyAlignment="1">
      <alignment horizontal="center" vertical="center"/>
    </xf>
    <xf numFmtId="9" fontId="16" fillId="5" borderId="1" xfId="0" applyNumberFormat="1" applyFont="1" applyFill="1" applyBorder="1" applyAlignment="1">
      <alignment horizontal="center" vertical="center"/>
    </xf>
    <xf numFmtId="0" fontId="16" fillId="9" borderId="2"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0" borderId="1" xfId="0" applyFont="1" applyBorder="1"/>
    <xf numFmtId="0" fontId="20" fillId="9" borderId="1" xfId="0" applyFont="1" applyFill="1" applyBorder="1" applyAlignment="1">
      <alignment vertical="center" wrapText="1"/>
    </xf>
    <xf numFmtId="0" fontId="16" fillId="9" borderId="1" xfId="0" applyFont="1" applyFill="1" applyBorder="1" applyAlignment="1">
      <alignment vertical="center" wrapText="1"/>
    </xf>
    <xf numFmtId="0" fontId="16" fillId="5" borderId="1" xfId="0" applyFont="1" applyFill="1" applyBorder="1" applyAlignment="1">
      <alignment vertical="center" wrapText="1"/>
    </xf>
    <xf numFmtId="9" fontId="16" fillId="5" borderId="1" xfId="2" applyNumberFormat="1" applyFont="1" applyFill="1" applyBorder="1" applyAlignment="1">
      <alignment horizontal="center" vertical="center" wrapText="1"/>
    </xf>
    <xf numFmtId="2" fontId="16" fillId="3" borderId="1" xfId="0" applyNumberFormat="1" applyFont="1" applyFill="1" applyBorder="1" applyAlignment="1">
      <alignment horizontal="center"/>
    </xf>
    <xf numFmtId="0" fontId="15" fillId="9" borderId="1" xfId="0" applyFont="1" applyFill="1" applyBorder="1" applyAlignment="1">
      <alignment horizontal="center" vertical="center" wrapText="1"/>
    </xf>
    <xf numFmtId="9" fontId="16" fillId="5" borderId="1" xfId="0" applyNumberFormat="1" applyFont="1" applyFill="1" applyBorder="1" applyAlignment="1">
      <alignment horizontal="left" vertical="center" wrapText="1"/>
    </xf>
    <xf numFmtId="0" fontId="11" fillId="0" borderId="0" xfId="0" applyFont="1"/>
    <xf numFmtId="0" fontId="11" fillId="4" borderId="0" xfId="0" applyFont="1" applyFill="1" applyAlignment="1"/>
    <xf numFmtId="0" fontId="41" fillId="5" borderId="0" xfId="3" applyFont="1" applyFill="1" applyAlignment="1"/>
    <xf numFmtId="0" fontId="26" fillId="5" borderId="1" xfId="3" applyFont="1" applyFill="1" applyBorder="1" applyAlignment="1"/>
    <xf numFmtId="0" fontId="13" fillId="0" borderId="0" xfId="0" applyFont="1" applyFill="1" applyBorder="1" applyAlignment="1"/>
    <xf numFmtId="0" fontId="13"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23" fillId="0" borderId="1" xfId="3" applyNumberFormat="1" applyFont="1" applyBorder="1" applyAlignment="1">
      <alignment horizontal="left" vertical="center"/>
    </xf>
    <xf numFmtId="0" fontId="20" fillId="0" borderId="3" xfId="0" applyFont="1" applyBorder="1" applyAlignment="1">
      <alignment horizontal="center"/>
    </xf>
    <xf numFmtId="0" fontId="10" fillId="0" borderId="1" xfId="0" applyFont="1" applyFill="1" applyBorder="1"/>
    <xf numFmtId="0" fontId="10" fillId="0" borderId="1" xfId="0" applyFont="1" applyBorder="1"/>
    <xf numFmtId="165" fontId="20" fillId="3" borderId="1" xfId="1" applyNumberFormat="1" applyFont="1" applyFill="1" applyBorder="1" applyAlignment="1">
      <alignment horizontal="center"/>
    </xf>
    <xf numFmtId="9" fontId="20" fillId="11" borderId="1" xfId="2" applyFont="1" applyFill="1" applyBorder="1"/>
    <xf numFmtId="0" fontId="10" fillId="0" borderId="2" xfId="0" applyFont="1" applyBorder="1" applyAlignment="1"/>
    <xf numFmtId="0" fontId="9" fillId="0" borderId="1" xfId="0" quotePrefix="1" applyFont="1" applyFill="1" applyBorder="1"/>
    <xf numFmtId="0" fontId="42" fillId="0" borderId="0" xfId="0" applyFont="1"/>
    <xf numFmtId="0" fontId="32"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7" fillId="0" borderId="1" xfId="0" applyFont="1" applyFill="1" applyBorder="1"/>
    <xf numFmtId="0" fontId="6" fillId="0" borderId="0" xfId="0" applyFont="1"/>
    <xf numFmtId="0" fontId="6" fillId="11" borderId="0" xfId="0" applyFont="1" applyFill="1" applyAlignment="1">
      <alignment horizontal="left" wrapText="1"/>
    </xf>
    <xf numFmtId="0" fontId="6" fillId="5" borderId="0" xfId="0" applyFont="1" applyFill="1" applyAlignment="1">
      <alignment horizontal="left"/>
    </xf>
    <xf numFmtId="0" fontId="6" fillId="5" borderId="0" xfId="0" applyFont="1" applyFill="1" applyAlignment="1">
      <alignment horizontal="left" wrapText="1"/>
    </xf>
    <xf numFmtId="0" fontId="6" fillId="3" borderId="0" xfId="0" applyFont="1" applyFill="1" applyAlignment="1">
      <alignment horizontal="left" wrapText="1"/>
    </xf>
    <xf numFmtId="0" fontId="6" fillId="5" borderId="0" xfId="0" applyFont="1" applyFill="1"/>
    <xf numFmtId="0" fontId="6" fillId="5" borderId="0" xfId="0" applyFont="1" applyFill="1" applyAlignment="1">
      <alignment wrapText="1"/>
    </xf>
    <xf numFmtId="0" fontId="6" fillId="9" borderId="1" xfId="0" applyFont="1" applyFill="1" applyBorder="1"/>
    <xf numFmtId="0" fontId="6" fillId="6" borderId="1" xfId="0" applyFont="1" applyFill="1" applyBorder="1" applyAlignment="1">
      <alignment wrapText="1"/>
    </xf>
    <xf numFmtId="0" fontId="6" fillId="0" borderId="1" xfId="0" applyFont="1" applyBorder="1" applyAlignment="1">
      <alignment wrapText="1"/>
    </xf>
    <xf numFmtId="0" fontId="6" fillId="6" borderId="6" xfId="0" applyFont="1" applyFill="1" applyBorder="1" applyAlignment="1">
      <alignment wrapText="1"/>
    </xf>
    <xf numFmtId="0" fontId="6" fillId="0" borderId="5" xfId="0" applyFont="1" applyBorder="1" applyAlignment="1">
      <alignment wrapText="1"/>
    </xf>
    <xf numFmtId="0" fontId="24" fillId="0" borderId="1" xfId="3" applyFont="1" applyBorder="1" applyAlignment="1">
      <alignment horizontal="left" vertical="center"/>
    </xf>
    <xf numFmtId="2" fontId="20" fillId="11" borderId="1" xfId="0" applyNumberFormat="1" applyFont="1" applyFill="1" applyBorder="1" applyAlignment="1">
      <alignment horizontal="center" vertical="center"/>
    </xf>
    <xf numFmtId="170" fontId="32" fillId="11" borderId="0" xfId="5" applyNumberFormat="1" applyFont="1" applyFill="1"/>
    <xf numFmtId="49" fontId="0" fillId="0" borderId="1" xfId="3" quotePrefix="1" applyNumberFormat="1" applyFont="1" applyBorder="1" applyAlignment="1">
      <alignment horizontal="left" vertical="center" wrapText="1"/>
    </xf>
    <xf numFmtId="0" fontId="32" fillId="11" borderId="0" xfId="7" applyFont="1" applyFill="1" applyAlignment="1">
      <alignment horizontal="left"/>
    </xf>
    <xf numFmtId="0" fontId="4" fillId="0" borderId="1" xfId="0" applyFont="1" applyFill="1" applyBorder="1"/>
    <xf numFmtId="0" fontId="3" fillId="9" borderId="2" xfId="0" applyFont="1" applyFill="1" applyBorder="1" applyAlignment="1">
      <alignment horizontal="center" vertical="center" wrapText="1"/>
    </xf>
    <xf numFmtId="0" fontId="26" fillId="5" borderId="1" xfId="3" quotePrefix="1" applyFont="1" applyFill="1" applyBorder="1" applyAlignment="1">
      <alignment wrapText="1"/>
    </xf>
    <xf numFmtId="0" fontId="3" fillId="9" borderId="2" xfId="26" applyFont="1" applyFill="1" applyBorder="1" applyAlignment="1">
      <alignment horizontal="center" vertical="center"/>
    </xf>
    <xf numFmtId="0" fontId="2" fillId="0" borderId="1" xfId="0" applyFont="1" applyBorder="1"/>
    <xf numFmtId="0" fontId="32" fillId="11" borderId="0" xfId="28" applyFont="1" applyFill="1"/>
    <xf numFmtId="170" fontId="32" fillId="11" borderId="0" xfId="28" applyNumberFormat="1" applyFont="1" applyFill="1"/>
    <xf numFmtId="43" fontId="20" fillId="0" borderId="0" xfId="0" applyNumberFormat="1" applyFont="1"/>
    <xf numFmtId="2" fontId="20" fillId="3" borderId="1" xfId="1" applyNumberFormat="1" applyFont="1" applyFill="1" applyBorder="1" applyAlignment="1">
      <alignment horizontal="center" vertical="center"/>
    </xf>
    <xf numFmtId="2" fontId="36" fillId="10" borderId="0" xfId="0" applyNumberFormat="1" applyFont="1" applyFill="1" applyBorder="1" applyAlignment="1">
      <alignment horizontal="right" vertical="center" wrapText="1"/>
    </xf>
    <xf numFmtId="0" fontId="38" fillId="12" borderId="6" xfId="0" applyFont="1" applyFill="1" applyBorder="1" applyAlignment="1">
      <alignment horizontal="left" wrapText="1"/>
    </xf>
    <xf numFmtId="0" fontId="38" fillId="12" borderId="7" xfId="0" applyFont="1" applyFill="1" applyBorder="1" applyAlignment="1">
      <alignment horizontal="left" wrapText="1"/>
    </xf>
    <xf numFmtId="0" fontId="38" fillId="12" borderId="5" xfId="0" applyFont="1" applyFill="1" applyBorder="1" applyAlignment="1">
      <alignment horizontal="left" wrapText="1"/>
    </xf>
    <xf numFmtId="0" fontId="6" fillId="0" borderId="0" xfId="0" applyFont="1" applyAlignment="1">
      <alignment horizontal="left" wrapText="1"/>
    </xf>
    <xf numFmtId="0" fontId="3" fillId="5" borderId="2" xfId="26" applyFont="1" applyFill="1" applyBorder="1" applyAlignment="1">
      <alignment horizontal="left" vertical="center"/>
    </xf>
    <xf numFmtId="0" fontId="3" fillId="5" borderId="4" xfId="26" applyFont="1" applyFill="1" applyBorder="1" applyAlignment="1">
      <alignment horizontal="left" vertical="center"/>
    </xf>
    <xf numFmtId="164" fontId="20" fillId="0" borderId="11" xfId="0" applyNumberFormat="1" applyFont="1" applyFill="1" applyBorder="1" applyAlignment="1">
      <alignment horizontal="center"/>
    </xf>
    <xf numFmtId="164" fontId="20" fillId="0" borderId="8"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13" xfId="0" applyNumberFormat="1" applyFont="1" applyFill="1" applyBorder="1" applyAlignment="1">
      <alignment horizontal="center"/>
    </xf>
    <xf numFmtId="164" fontId="20" fillId="0" borderId="9" xfId="0" applyNumberFormat="1" applyFont="1" applyFill="1" applyBorder="1" applyAlignment="1">
      <alignment horizontal="center"/>
    </xf>
    <xf numFmtId="164" fontId="20" fillId="0" borderId="10" xfId="0" applyNumberFormat="1" applyFont="1" applyFill="1" applyBorder="1" applyAlignment="1">
      <alignment horizontal="center"/>
    </xf>
    <xf numFmtId="0" fontId="14"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center"/>
    </xf>
    <xf numFmtId="0" fontId="20" fillId="0" borderId="4" xfId="0" applyFont="1" applyBorder="1" applyAlignment="1">
      <alignment horizont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2" xfId="0" applyFont="1" applyBorder="1" applyAlignment="1">
      <alignment horizontal="center"/>
    </xf>
    <xf numFmtId="0" fontId="16" fillId="0" borderId="4" xfId="0" applyFont="1" applyBorder="1" applyAlignment="1">
      <alignment horizontal="center"/>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0" borderId="3" xfId="0" applyFont="1" applyBorder="1" applyAlignment="1">
      <alignment horizontal="center"/>
    </xf>
    <xf numFmtId="0" fontId="18" fillId="0" borderId="2" xfId="0" applyFont="1" applyBorder="1" applyAlignment="1">
      <alignment horizontal="left" vertical="center"/>
    </xf>
    <xf numFmtId="0" fontId="11" fillId="4" borderId="0" xfId="0" applyFont="1" applyFill="1" applyAlignment="1">
      <alignment horizontal="left" wrapText="1"/>
    </xf>
    <xf numFmtId="0" fontId="20" fillId="4" borderId="0" xfId="0" applyFont="1" applyFill="1" applyAlignment="1">
      <alignment horizontal="left" wrapText="1"/>
    </xf>
    <xf numFmtId="0" fontId="36" fillId="9" borderId="11" xfId="0" applyFont="1" applyFill="1" applyBorder="1" applyAlignment="1">
      <alignment horizontal="left"/>
    </xf>
    <xf numFmtId="0" fontId="36" fillId="9" borderId="8" xfId="0" applyFont="1" applyFill="1" applyBorder="1" applyAlignment="1">
      <alignment horizontal="left"/>
    </xf>
    <xf numFmtId="0" fontId="36" fillId="9" borderId="12" xfId="0" applyFont="1" applyFill="1" applyBorder="1" applyAlignment="1">
      <alignment horizontal="left"/>
    </xf>
    <xf numFmtId="0" fontId="34" fillId="9" borderId="11" xfId="0" applyFont="1" applyFill="1" applyBorder="1" applyAlignment="1">
      <alignment horizontal="left"/>
    </xf>
    <xf numFmtId="0" fontId="34" fillId="9" borderId="8" xfId="0" applyFont="1" applyFill="1" applyBorder="1" applyAlignment="1">
      <alignment horizontal="left"/>
    </xf>
    <xf numFmtId="0" fontId="34" fillId="9" borderId="12" xfId="0" applyFont="1" applyFill="1" applyBorder="1" applyAlignment="1">
      <alignment horizontal="left"/>
    </xf>
    <xf numFmtId="0" fontId="40" fillId="9" borderId="13" xfId="0" applyFont="1" applyFill="1" applyBorder="1" applyAlignment="1">
      <alignment horizontal="left" wrapText="1"/>
    </xf>
    <xf numFmtId="0" fontId="40" fillId="9" borderId="9" xfId="0" applyFont="1" applyFill="1" applyBorder="1" applyAlignment="1">
      <alignment horizontal="left" wrapText="1"/>
    </xf>
    <xf numFmtId="0" fontId="40" fillId="9" borderId="10" xfId="0" applyFont="1" applyFill="1" applyBorder="1" applyAlignment="1">
      <alignment horizontal="left" wrapText="1"/>
    </xf>
    <xf numFmtId="0" fontId="39" fillId="9" borderId="13" xfId="0" applyFont="1" applyFill="1" applyBorder="1" applyAlignment="1">
      <alignment horizontal="left" vertical="top" wrapText="1"/>
    </xf>
    <xf numFmtId="0" fontId="39" fillId="9" borderId="9" xfId="0" applyFont="1" applyFill="1" applyBorder="1" applyAlignment="1">
      <alignment horizontal="left" vertical="top" wrapText="1"/>
    </xf>
    <xf numFmtId="0" fontId="39" fillId="9" borderId="10" xfId="0" applyFont="1" applyFill="1" applyBorder="1" applyAlignment="1">
      <alignment horizontal="left" vertical="top" wrapText="1"/>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3" fillId="9" borderId="2" xfId="9" applyFont="1" applyFill="1" applyBorder="1" applyAlignment="1">
      <alignment horizontal="center" vertical="center"/>
    </xf>
    <xf numFmtId="0" fontId="3" fillId="9" borderId="3" xfId="9" applyFont="1" applyFill="1" applyBorder="1" applyAlignment="1">
      <alignment horizontal="center" vertical="center"/>
    </xf>
    <xf numFmtId="0" fontId="3" fillId="9" borderId="4" xfId="9"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Font="1" applyFill="1" applyBorder="1" applyAlignment="1">
      <alignment horizontal="left" vertical="center"/>
    </xf>
    <xf numFmtId="0" fontId="20" fillId="0" borderId="3" xfId="0" applyFont="1" applyBorder="1" applyAlignment="1">
      <alignment horizontal="left" vertical="center"/>
    </xf>
    <xf numFmtId="0" fontId="3" fillId="5" borderId="2" xfId="9" applyFont="1" applyFill="1" applyBorder="1" applyAlignment="1">
      <alignment horizontal="left" vertical="center"/>
    </xf>
    <xf numFmtId="0" fontId="3" fillId="5" borderId="3" xfId="9" applyFont="1" applyFill="1" applyBorder="1" applyAlignment="1">
      <alignment horizontal="left" vertical="center"/>
    </xf>
    <xf numFmtId="0" fontId="3" fillId="5" borderId="4" xfId="9" applyFont="1" applyFill="1" applyBorder="1" applyAlignment="1">
      <alignment horizontal="left" vertical="center"/>
    </xf>
    <xf numFmtId="0" fontId="3" fillId="5" borderId="2" xfId="26" applyFont="1" applyFill="1" applyBorder="1" applyAlignment="1">
      <alignment horizontal="left" vertical="center" wrapText="1"/>
    </xf>
    <xf numFmtId="0" fontId="3" fillId="5" borderId="4" xfId="26" applyFont="1" applyFill="1" applyBorder="1" applyAlignment="1">
      <alignment horizontal="left" vertical="center" wrapText="1"/>
    </xf>
    <xf numFmtId="0" fontId="18" fillId="0" borderId="2" xfId="0" applyFont="1" applyBorder="1" applyAlignment="1">
      <alignment horizontal="center" vertical="center"/>
    </xf>
    <xf numFmtId="0" fontId="20"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4" borderId="0" xfId="0" applyFont="1" applyFill="1" applyAlignment="1">
      <alignment horizontal="left" wrapText="1"/>
    </xf>
    <xf numFmtId="0" fontId="19" fillId="4" borderId="0" xfId="0" applyFont="1" applyFill="1" applyAlignment="1">
      <alignment horizontal="lef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Border="1" applyAlignment="1">
      <alignment horizontal="center"/>
    </xf>
    <xf numFmtId="0" fontId="27" fillId="7" borderId="0" xfId="0" applyFont="1" applyFill="1" applyBorder="1" applyAlignment="1">
      <alignment horizontal="left" vertical="center"/>
    </xf>
    <xf numFmtId="0" fontId="27" fillId="7" borderId="14" xfId="0" applyFont="1" applyFill="1" applyBorder="1" applyAlignment="1">
      <alignment horizontal="left" vertical="center"/>
    </xf>
    <xf numFmtId="0" fontId="12" fillId="9" borderId="13"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20" fillId="9" borderId="4" xfId="0" applyFont="1" applyFill="1" applyBorder="1" applyAlignment="1">
      <alignment horizontal="left" vertical="center"/>
    </xf>
    <xf numFmtId="0" fontId="20" fillId="9" borderId="6" xfId="0" applyFont="1" applyFill="1" applyBorder="1" applyAlignment="1">
      <alignment horizontal="center" vertical="center"/>
    </xf>
    <xf numFmtId="0" fontId="34" fillId="9" borderId="11" xfId="4" applyFont="1" applyFill="1" applyBorder="1" applyAlignment="1">
      <alignment horizontal="left"/>
    </xf>
    <xf numFmtId="0" fontId="34" fillId="9" borderId="8" xfId="4" applyFont="1" applyFill="1" applyBorder="1" applyAlignment="1">
      <alignment horizontal="left"/>
    </xf>
    <xf numFmtId="0" fontId="34" fillId="9" borderId="12" xfId="4" applyFont="1" applyFill="1" applyBorder="1" applyAlignment="1">
      <alignment horizontal="left"/>
    </xf>
    <xf numFmtId="0" fontId="39" fillId="9" borderId="13" xfId="4" applyFont="1" applyFill="1" applyBorder="1" applyAlignment="1">
      <alignment horizontal="left" vertical="top" wrapText="1"/>
    </xf>
    <xf numFmtId="0" fontId="39" fillId="9" borderId="9" xfId="4" applyFont="1" applyFill="1" applyBorder="1" applyAlignment="1">
      <alignment horizontal="left" vertical="top" wrapText="1"/>
    </xf>
    <xf numFmtId="0" fontId="39" fillId="9" borderId="10" xfId="4" applyFont="1" applyFill="1" applyBorder="1" applyAlignment="1">
      <alignment horizontal="left" vertical="top" wrapText="1"/>
    </xf>
    <xf numFmtId="0" fontId="11" fillId="0" borderId="0" xfId="0" applyFont="1" applyAlignment="1">
      <alignment horizontal="left" vertical="top" wrapText="1"/>
    </xf>
    <xf numFmtId="0" fontId="40" fillId="9" borderId="1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32" fillId="5" borderId="1" xfId="5" applyFont="1" applyFill="1" applyBorder="1" applyAlignment="1">
      <alignment vertical="center" wrapText="1"/>
    </xf>
    <xf numFmtId="0" fontId="35" fillId="5" borderId="1" xfId="6" applyFont="1" applyFill="1" applyBorder="1" applyAlignment="1">
      <alignment horizontal="left" wrapText="1"/>
    </xf>
    <xf numFmtId="0" fontId="32" fillId="5" borderId="1" xfId="5" applyFont="1" applyFill="1" applyBorder="1" applyAlignment="1">
      <alignment horizontal="left" wrapText="1"/>
    </xf>
    <xf numFmtId="0" fontId="5" fillId="4" borderId="0" xfId="4" applyFont="1" applyFill="1" applyAlignment="1">
      <alignment horizontal="left" wrapText="1"/>
    </xf>
    <xf numFmtId="0" fontId="21" fillId="4" borderId="0" xfId="4" applyFill="1" applyAlignment="1">
      <alignment horizontal="left" wrapText="1"/>
    </xf>
    <xf numFmtId="0" fontId="32" fillId="9" borderId="1" xfId="5" applyFont="1" applyFill="1" applyBorder="1" applyAlignment="1">
      <alignment horizontal="right"/>
    </xf>
    <xf numFmtId="0" fontId="12" fillId="4" borderId="0" xfId="4" applyFont="1" applyFill="1" applyAlignment="1">
      <alignment horizontal="left" wrapText="1"/>
    </xf>
  </cellXfs>
  <cellStyles count="30">
    <cellStyle name="Calculation 2" xfId="15"/>
    <cellStyle name="Comma" xfId="1" builtinId="3"/>
    <cellStyle name="Comma 14" xfId="18"/>
    <cellStyle name="Comma 2" xfId="14"/>
    <cellStyle name="Comma 3" xfId="19"/>
    <cellStyle name="Comma 4" xfId="25"/>
    <cellStyle name="Comma 5" xfId="10"/>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3" xfId="11"/>
    <cellStyle name="Normal 3" xfId="4"/>
    <cellStyle name="Normal 3 2" xfId="5"/>
    <cellStyle name="Normal 4" xfId="7"/>
    <cellStyle name="Normal 5" xfId="28"/>
    <cellStyle name="Normal 57" xfId="16"/>
    <cellStyle name="Normal 58" xfId="8"/>
    <cellStyle name="Normal 58 2" xfId="22"/>
    <cellStyle name="Normal 6" xfId="29"/>
    <cellStyle name="Normal 7" xfId="9"/>
    <cellStyle name="Percent" xfId="2" builtinId="5"/>
    <cellStyle name="Percent 2" xfId="27"/>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zoomScaleNormal="100" workbookViewId="0"/>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7" customFormat="1" ht="57" customHeight="1" x14ac:dyDescent="0.3">
      <c r="A1" s="136" t="s">
        <v>461</v>
      </c>
      <c r="B1" s="136"/>
      <c r="C1" s="136"/>
    </row>
    <row r="2" spans="1:10" ht="14.25" x14ac:dyDescent="0.45">
      <c r="A2" s="3"/>
      <c r="B2" s="3"/>
      <c r="C2" s="3"/>
      <c r="D2" s="3"/>
      <c r="E2" s="3"/>
      <c r="F2" s="3"/>
      <c r="G2" s="3"/>
      <c r="H2" s="3"/>
      <c r="I2" s="3"/>
    </row>
    <row r="3" spans="1:10" ht="15.4" x14ac:dyDescent="0.45">
      <c r="B3" s="134" t="s">
        <v>480</v>
      </c>
      <c r="C3" s="3"/>
      <c r="D3" s="3"/>
      <c r="E3" s="3"/>
      <c r="F3" s="3"/>
      <c r="G3" s="3"/>
      <c r="H3" s="3"/>
      <c r="I3" s="3"/>
      <c r="J3" s="3"/>
    </row>
    <row r="4" spans="1:10" ht="14.25" x14ac:dyDescent="0.45">
      <c r="B4" s="6"/>
      <c r="C4" s="3"/>
      <c r="D4" s="5"/>
      <c r="E4" s="3"/>
      <c r="F4" s="3"/>
      <c r="G4" s="3"/>
      <c r="H4" s="3"/>
      <c r="I4" s="3"/>
      <c r="J4" s="3"/>
    </row>
    <row r="5" spans="1:10" ht="22.5" customHeight="1" x14ac:dyDescent="0.45">
      <c r="B5" s="165" t="s">
        <v>74</v>
      </c>
      <c r="C5" s="165" t="s">
        <v>75</v>
      </c>
      <c r="D5" s="165" t="s">
        <v>76</v>
      </c>
      <c r="E5" s="3"/>
      <c r="F5" s="3"/>
      <c r="G5" s="3"/>
      <c r="H5" s="3"/>
      <c r="I5" s="3"/>
      <c r="J5" s="3"/>
    </row>
    <row r="6" spans="1:10" ht="14.25" x14ac:dyDescent="0.45">
      <c r="B6" s="135" t="s">
        <v>113</v>
      </c>
      <c r="C6" s="10">
        <v>43349</v>
      </c>
      <c r="D6" s="117" t="s">
        <v>479</v>
      </c>
      <c r="E6" s="3"/>
      <c r="F6" s="3"/>
      <c r="G6" s="3"/>
      <c r="H6" s="3"/>
      <c r="I6" s="3"/>
      <c r="J6" s="3"/>
    </row>
    <row r="7" spans="1:10" ht="128.25" x14ac:dyDescent="0.45">
      <c r="B7" s="139" t="s">
        <v>481</v>
      </c>
      <c r="C7" s="140">
        <v>43410</v>
      </c>
      <c r="D7" s="138" t="s">
        <v>486</v>
      </c>
      <c r="E7" s="3"/>
      <c r="F7" s="3"/>
      <c r="G7" s="3"/>
      <c r="H7" s="3"/>
      <c r="I7" s="3"/>
      <c r="J7" s="3"/>
    </row>
    <row r="8" spans="1:10" ht="72.75" customHeight="1" x14ac:dyDescent="0.45">
      <c r="B8" s="150" t="s">
        <v>498</v>
      </c>
      <c r="C8" s="140">
        <v>43138</v>
      </c>
      <c r="D8" s="151" t="s">
        <v>496</v>
      </c>
      <c r="E8" s="3"/>
      <c r="F8" s="3"/>
      <c r="G8" s="3"/>
      <c r="H8" s="3"/>
      <c r="I8" s="3"/>
      <c r="J8" s="3"/>
    </row>
    <row r="9" spans="1:10" ht="128.25" x14ac:dyDescent="0.45">
      <c r="B9" s="150" t="s">
        <v>497</v>
      </c>
      <c r="C9" s="140">
        <v>43684</v>
      </c>
      <c r="D9" s="168" t="s">
        <v>504</v>
      </c>
      <c r="E9" s="3"/>
      <c r="F9" s="3"/>
      <c r="G9" s="3"/>
      <c r="H9" s="3"/>
      <c r="I9" s="3"/>
      <c r="J9" s="3"/>
    </row>
    <row r="10" spans="1:10" ht="57" x14ac:dyDescent="0.45">
      <c r="B10" s="150" t="s">
        <v>509</v>
      </c>
      <c r="C10" s="140">
        <v>43868</v>
      </c>
      <c r="D10" s="168" t="s">
        <v>537</v>
      </c>
      <c r="E10" s="3"/>
      <c r="F10" s="3"/>
      <c r="G10" s="3"/>
      <c r="H10" s="3"/>
      <c r="I10" s="3"/>
      <c r="J10" s="3"/>
    </row>
    <row r="11" spans="1:10" ht="85.5" x14ac:dyDescent="0.45">
      <c r="B11" s="150" t="s">
        <v>526</v>
      </c>
      <c r="C11" s="140">
        <v>44048</v>
      </c>
      <c r="D11" s="172" t="s">
        <v>539</v>
      </c>
      <c r="E11" s="3"/>
      <c r="F11" s="3"/>
      <c r="G11" s="3"/>
      <c r="H11" s="3"/>
      <c r="I11" s="3"/>
      <c r="J11" s="3"/>
    </row>
    <row r="12" spans="1:10" ht="185.25" x14ac:dyDescent="0.45">
      <c r="B12" s="150" t="s">
        <v>538</v>
      </c>
      <c r="C12" s="140">
        <v>44050</v>
      </c>
      <c r="D12" s="172" t="s">
        <v>540</v>
      </c>
      <c r="E12" s="3"/>
      <c r="F12" s="3"/>
      <c r="G12" s="3"/>
      <c r="H12" s="3"/>
      <c r="I12" s="3"/>
      <c r="J12" s="3"/>
    </row>
    <row r="13" spans="1:10" ht="14.25" x14ac:dyDescent="0.45">
      <c r="B13" s="3"/>
      <c r="C13" s="3"/>
      <c r="D13" s="3"/>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75" x14ac:dyDescent="0.35"/>
  <cols>
    <col min="1" max="1" width="10" style="21" customWidth="1"/>
    <col min="2" max="2" width="47" style="21" customWidth="1"/>
    <col min="3" max="10" width="17.6640625" style="21" customWidth="1"/>
    <col min="11" max="11" width="1.59765625" style="21" customWidth="1"/>
    <col min="12" max="22" width="17.664062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67" t="s">
        <v>507</v>
      </c>
      <c r="C3" s="268"/>
      <c r="D3" s="268"/>
      <c r="E3" s="268"/>
      <c r="F3" s="268"/>
      <c r="G3" s="268"/>
      <c r="H3" s="268"/>
      <c r="I3" s="268"/>
      <c r="J3" s="268"/>
      <c r="K3" s="268"/>
      <c r="L3" s="268"/>
      <c r="M3" s="268"/>
      <c r="N3" s="268"/>
      <c r="O3" s="268"/>
      <c r="P3" s="268"/>
      <c r="Q3" s="268"/>
      <c r="R3" s="268"/>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269"/>
      <c r="C11" s="254" t="s">
        <v>463</v>
      </c>
      <c r="D11" s="255"/>
      <c r="E11" s="255"/>
      <c r="F11" s="255"/>
      <c r="G11" s="255"/>
      <c r="H11" s="255"/>
      <c r="I11" s="255"/>
      <c r="J11" s="256"/>
      <c r="K11" s="82"/>
      <c r="L11" s="254" t="s">
        <v>464</v>
      </c>
      <c r="M11" s="255"/>
      <c r="N11" s="255"/>
      <c r="O11" s="255"/>
      <c r="P11" s="255"/>
      <c r="Q11" s="255"/>
      <c r="R11" s="255"/>
      <c r="S11" s="255"/>
      <c r="T11" s="255"/>
      <c r="U11" s="255"/>
      <c r="V11" s="256"/>
      <c r="W11" s="23"/>
    </row>
    <row r="12" spans="1:27" s="24" customFormat="1" ht="12.75" customHeight="1" x14ac:dyDescent="0.3">
      <c r="A12" s="23"/>
      <c r="B12" s="269"/>
      <c r="C12" s="257" t="s">
        <v>469</v>
      </c>
      <c r="D12" s="258"/>
      <c r="E12" s="258"/>
      <c r="F12" s="258"/>
      <c r="G12" s="258"/>
      <c r="H12" s="258"/>
      <c r="I12" s="258"/>
      <c r="J12" s="259"/>
      <c r="K12" s="82"/>
      <c r="L12" s="257" t="s">
        <v>466</v>
      </c>
      <c r="M12" s="258"/>
      <c r="N12" s="258"/>
      <c r="O12" s="258"/>
      <c r="P12" s="258"/>
      <c r="Q12" s="258"/>
      <c r="R12" s="258"/>
      <c r="S12" s="258"/>
      <c r="T12" s="258"/>
      <c r="U12" s="258"/>
      <c r="V12" s="259"/>
      <c r="W12" s="23"/>
    </row>
    <row r="13" spans="1:27" s="24" customFormat="1" ht="12.4"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3">
      <c r="A14" s="23"/>
      <c r="B14" s="85" t="s">
        <v>145</v>
      </c>
      <c r="C14" s="86" t="s">
        <v>146</v>
      </c>
      <c r="D14" s="86" t="s">
        <v>147</v>
      </c>
      <c r="E14" s="86" t="s">
        <v>148</v>
      </c>
      <c r="F14" s="86" t="s">
        <v>149</v>
      </c>
      <c r="G14" s="86" t="s">
        <v>64</v>
      </c>
      <c r="H14" s="87" t="s">
        <v>65</v>
      </c>
      <c r="I14" s="86" t="s">
        <v>35</v>
      </c>
      <c r="J14" s="86" t="s">
        <v>108</v>
      </c>
      <c r="K14" s="82"/>
      <c r="L14" s="80" t="s">
        <v>414</v>
      </c>
      <c r="M14" s="88" t="s">
        <v>36</v>
      </c>
      <c r="N14" s="88" t="s">
        <v>37</v>
      </c>
      <c r="O14" s="89" t="s">
        <v>38</v>
      </c>
      <c r="P14" s="88" t="s">
        <v>39</v>
      </c>
      <c r="Q14" s="88" t="s">
        <v>40</v>
      </c>
      <c r="R14" s="88" t="s">
        <v>41</v>
      </c>
      <c r="S14" s="88" t="s">
        <v>42</v>
      </c>
      <c r="T14" s="88" t="s">
        <v>43</v>
      </c>
      <c r="U14" s="88" t="s">
        <v>44</v>
      </c>
      <c r="V14" s="88" t="s">
        <v>45</v>
      </c>
      <c r="W14" s="23"/>
    </row>
    <row r="15" spans="1:27" s="24" customFormat="1" ht="12.4" x14ac:dyDescent="0.3">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ht="12.4"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f t="shared" si="1"/>
        <v>108.8</v>
      </c>
      <c r="Q16" s="94" t="str">
        <f t="shared" si="1"/>
        <v>-</v>
      </c>
      <c r="R16" s="94" t="str">
        <f t="shared" si="1"/>
        <v>-</v>
      </c>
      <c r="S16" s="94" t="str">
        <f t="shared" si="1"/>
        <v>-</v>
      </c>
      <c r="T16" s="94" t="str">
        <f t="shared" si="1"/>
        <v>-</v>
      </c>
      <c r="U16" s="94" t="str">
        <f t="shared" si="1"/>
        <v>-</v>
      </c>
      <c r="V16" s="94"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5" t="s">
        <v>70</v>
      </c>
      <c r="C21" s="264" t="s">
        <v>157</v>
      </c>
      <c r="D21" s="264"/>
      <c r="E21" s="264"/>
      <c r="F21" s="264"/>
    </row>
    <row r="22" spans="1:23" s="18" customFormat="1" ht="27.75" customHeight="1" x14ac:dyDescent="0.35">
      <c r="B22" s="95" t="s">
        <v>158</v>
      </c>
      <c r="C22" s="265" t="s">
        <v>159</v>
      </c>
      <c r="D22" s="266"/>
      <c r="E22" s="266"/>
      <c r="F22" s="266"/>
    </row>
    <row r="23" spans="1:23" s="18" customFormat="1" x14ac:dyDescent="0.35"/>
    <row r="24" spans="1:23" s="18" customFormat="1" x14ac:dyDescent="0.35"/>
    <row r="25" spans="1:23" x14ac:dyDescent="0.35">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6" t="s">
        <v>168</v>
      </c>
      <c r="C30" s="96" t="s">
        <v>519</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6" t="s">
        <v>169</v>
      </c>
      <c r="C31" s="96" t="s">
        <v>520</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6" t="s">
        <v>487</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9">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6" t="s">
        <v>488</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6" t="s">
        <v>489</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6" t="s">
        <v>510</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6" t="s">
        <v>511</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6" t="s">
        <v>512</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6" t="s">
        <v>513</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9" t="s">
        <v>490</v>
      </c>
      <c r="C270" s="149">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9" t="s">
        <v>491</v>
      </c>
      <c r="C271" s="149">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9" t="s">
        <v>492</v>
      </c>
      <c r="C272" s="149">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9" t="s">
        <v>493</v>
      </c>
      <c r="C273" s="149">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9" t="s">
        <v>494</v>
      </c>
      <c r="C274" s="149">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9" t="s">
        <v>135</v>
      </c>
      <c r="C275" s="149">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9" t="s">
        <v>499</v>
      </c>
      <c r="C276" s="167">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9" t="s">
        <v>500</v>
      </c>
      <c r="C277" s="167">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9" t="s">
        <v>501</v>
      </c>
      <c r="C278" s="167">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9" t="s">
        <v>502</v>
      </c>
      <c r="C279" s="167">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9" t="s">
        <v>503</v>
      </c>
      <c r="C280" s="167">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9" t="s">
        <v>136</v>
      </c>
      <c r="C281" s="167">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9" t="s">
        <v>514</v>
      </c>
      <c r="C282" s="167">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9" t="s">
        <v>515</v>
      </c>
      <c r="C283" s="167">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9" t="s">
        <v>516</v>
      </c>
      <c r="C284" s="167">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9" t="s">
        <v>517</v>
      </c>
      <c r="C285" s="167">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9" t="s">
        <v>518</v>
      </c>
      <c r="C286" s="167">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9" t="s">
        <v>137</v>
      </c>
      <c r="C287" s="167">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B288" s="175" t="s">
        <v>532</v>
      </c>
      <c r="C288" s="176">
        <v>108.3</v>
      </c>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B289" s="175" t="s">
        <v>533</v>
      </c>
      <c r="C289" s="176">
        <v>108.6</v>
      </c>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B290" s="175" t="s">
        <v>534</v>
      </c>
      <c r="C290" s="176">
        <v>108.6</v>
      </c>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B291" s="175" t="s">
        <v>535</v>
      </c>
      <c r="C291" s="176">
        <v>108.6</v>
      </c>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B292" s="175" t="s">
        <v>536</v>
      </c>
      <c r="C292" s="176">
        <v>108.6</v>
      </c>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B293" s="175" t="s">
        <v>138</v>
      </c>
      <c r="C293" s="176">
        <v>108.8</v>
      </c>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452</v>
      </c>
    </row>
    <row r="3" spans="1:18" s="1" customFormat="1" x14ac:dyDescent="0.45">
      <c r="B3" s="267" t="s">
        <v>506</v>
      </c>
      <c r="C3" s="268"/>
      <c r="D3" s="268"/>
      <c r="E3" s="268"/>
      <c r="F3" s="268"/>
      <c r="G3" s="268"/>
      <c r="H3" s="268"/>
      <c r="I3" s="268"/>
      <c r="J3" s="268"/>
      <c r="K3" s="268"/>
      <c r="L3" s="268"/>
      <c r="M3" s="268"/>
      <c r="N3" s="268"/>
      <c r="O3" s="268"/>
      <c r="P3" s="268"/>
      <c r="Q3" s="268"/>
      <c r="R3" s="268"/>
    </row>
    <row r="4" spans="1:18" x14ac:dyDescent="0.45">
      <c r="A4" s="11"/>
      <c r="B4" s="11"/>
      <c r="C4" s="11"/>
      <c r="D4" s="11"/>
      <c r="E4" s="11"/>
      <c r="F4" s="11"/>
    </row>
    <row r="5" spans="1:18" x14ac:dyDescent="0.45">
      <c r="A5" s="11"/>
      <c r="B5" s="125" t="s">
        <v>12</v>
      </c>
      <c r="C5" s="125" t="s">
        <v>9</v>
      </c>
      <c r="D5" s="125" t="s">
        <v>10</v>
      </c>
      <c r="E5" s="126" t="s">
        <v>455</v>
      </c>
      <c r="F5" s="11"/>
    </row>
    <row r="6" spans="1:18" ht="37.15" x14ac:dyDescent="0.45">
      <c r="A6" s="11"/>
      <c r="B6" s="127" t="s">
        <v>452</v>
      </c>
      <c r="C6" s="127" t="s">
        <v>454</v>
      </c>
      <c r="D6" s="127" t="s">
        <v>19</v>
      </c>
      <c r="E6" s="128">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270" t="s">
        <v>467</v>
      </c>
      <c r="C3" s="268"/>
      <c r="D3" s="268"/>
      <c r="E3" s="268"/>
      <c r="F3" s="268"/>
      <c r="G3" s="268"/>
      <c r="H3" s="268"/>
      <c r="I3" s="268"/>
      <c r="J3" s="268"/>
      <c r="K3" s="268"/>
      <c r="L3" s="268"/>
      <c r="M3" s="268"/>
      <c r="N3" s="268"/>
      <c r="O3" s="268"/>
      <c r="P3" s="268"/>
      <c r="Q3" s="268"/>
      <c r="R3" s="268"/>
      <c r="S3" s="15"/>
      <c r="T3" s="15"/>
      <c r="U3" s="15"/>
      <c r="V3" s="15"/>
      <c r="W3" s="15"/>
      <c r="X3" s="15"/>
      <c r="Y3" s="15"/>
      <c r="Z3" s="15"/>
      <c r="AA3" s="15"/>
    </row>
    <row r="4" spans="1:27" s="13" customFormat="1" ht="12.4" x14ac:dyDescent="0.3"/>
    <row r="5" spans="1:27" s="7" customFormat="1" x14ac:dyDescent="0.45">
      <c r="A5" s="110"/>
      <c r="B5" s="12" t="s">
        <v>7</v>
      </c>
      <c r="C5" s="110"/>
      <c r="D5" s="110"/>
      <c r="E5" s="110"/>
    </row>
    <row r="6" spans="1:27" x14ac:dyDescent="0.45">
      <c r="A6" s="100"/>
      <c r="B6" s="100"/>
      <c r="C6" s="100"/>
      <c r="D6" s="100"/>
      <c r="E6" s="100"/>
    </row>
    <row r="7" spans="1:27" x14ac:dyDescent="0.45">
      <c r="A7" s="100"/>
      <c r="B7" s="100"/>
      <c r="C7" s="101" t="s">
        <v>99</v>
      </c>
      <c r="D7" s="102" t="s">
        <v>100</v>
      </c>
      <c r="E7" s="100"/>
    </row>
    <row r="8" spans="1:27" ht="24.75" x14ac:dyDescent="0.45">
      <c r="A8" s="100"/>
      <c r="B8" s="100"/>
      <c r="C8" s="103" t="s">
        <v>414</v>
      </c>
      <c r="D8" s="104" t="s">
        <v>36</v>
      </c>
      <c r="E8" s="100"/>
    </row>
    <row r="9" spans="1:27" x14ac:dyDescent="0.45">
      <c r="A9" s="100"/>
      <c r="B9" s="48"/>
      <c r="C9" s="100"/>
      <c r="D9" s="100"/>
      <c r="E9" s="100"/>
    </row>
    <row r="10" spans="1:27" x14ac:dyDescent="0.45">
      <c r="A10" s="100"/>
      <c r="B10" s="100" t="s">
        <v>98</v>
      </c>
      <c r="C10" s="100">
        <v>441.7</v>
      </c>
      <c r="D10" s="100">
        <v>617</v>
      </c>
      <c r="E10" s="100"/>
    </row>
    <row r="11" spans="1:27" x14ac:dyDescent="0.45">
      <c r="A11" s="100"/>
      <c r="B11" s="105" t="s">
        <v>101</v>
      </c>
      <c r="C11" s="100" t="e">
        <f>NA()</f>
        <v>#N/A</v>
      </c>
      <c r="D11" s="106">
        <f>(D10-C10)/C10</f>
        <v>0.3968757074937741</v>
      </c>
      <c r="E11" s="100"/>
    </row>
    <row r="12" spans="1:27" x14ac:dyDescent="0.45">
      <c r="A12" s="100"/>
      <c r="B12" s="112" t="s">
        <v>446</v>
      </c>
      <c r="C12" s="107">
        <f>'2c DCC'!K54</f>
        <v>8.5516161549312244</v>
      </c>
      <c r="D12" s="107">
        <f>C12*(1+D$11)</f>
        <v>11.945544866634743</v>
      </c>
      <c r="E12" s="100"/>
    </row>
    <row r="13" spans="1:27" x14ac:dyDescent="0.45">
      <c r="A13" s="100"/>
      <c r="B13" s="112" t="s">
        <v>417</v>
      </c>
      <c r="C13" s="107">
        <f>'2c DCC'!K55</f>
        <v>6.6215397542612262</v>
      </c>
      <c r="D13" s="107">
        <f>C13*(1+D$11)</f>
        <v>9.2494680289318012</v>
      </c>
      <c r="E13" s="100"/>
    </row>
    <row r="14" spans="1:27" x14ac:dyDescent="0.45">
      <c r="A14" s="100"/>
      <c r="B14" s="108" t="s">
        <v>2</v>
      </c>
      <c r="C14" s="109">
        <f>SUM(C12:C13)</f>
        <v>15.173155909192451</v>
      </c>
      <c r="D14" s="109">
        <f>SUM(D12:D13)</f>
        <v>21.195012895566542</v>
      </c>
      <c r="E14" s="100"/>
    </row>
    <row r="15" spans="1:27" x14ac:dyDescent="0.45">
      <c r="A15" s="100"/>
      <c r="B15" s="100"/>
      <c r="C15" s="100"/>
      <c r="D15" s="100"/>
      <c r="E15" s="100"/>
    </row>
    <row r="16" spans="1:27" x14ac:dyDescent="0.45">
      <c r="A16" s="100"/>
      <c r="B16" s="100"/>
      <c r="C16" s="100"/>
      <c r="D16" s="100"/>
      <c r="E16" s="100"/>
    </row>
    <row r="17" spans="1:10" x14ac:dyDescent="0.45">
      <c r="A17" s="100"/>
      <c r="B17" s="100"/>
      <c r="C17" s="100"/>
      <c r="D17" s="100"/>
      <c r="E17" s="100"/>
    </row>
    <row r="18" spans="1:10" s="7" customFormat="1" x14ac:dyDescent="0.45">
      <c r="A18" s="110"/>
      <c r="B18" s="12" t="s">
        <v>8</v>
      </c>
      <c r="C18" s="110"/>
      <c r="D18" s="110"/>
      <c r="E18" s="110"/>
    </row>
    <row r="19" spans="1:10" x14ac:dyDescent="0.45">
      <c r="A19" s="100"/>
      <c r="B19" s="100"/>
      <c r="C19" s="100"/>
      <c r="D19" s="100"/>
      <c r="E19" s="100"/>
    </row>
    <row r="20" spans="1:10" x14ac:dyDescent="0.45">
      <c r="A20" s="100"/>
      <c r="B20" s="100"/>
      <c r="C20" s="101" t="s">
        <v>99</v>
      </c>
      <c r="D20" s="102" t="s">
        <v>100</v>
      </c>
      <c r="E20" s="100"/>
    </row>
    <row r="21" spans="1:10" ht="24.75" x14ac:dyDescent="0.45">
      <c r="A21" s="100"/>
      <c r="B21" s="100"/>
      <c r="C21" s="103" t="s">
        <v>414</v>
      </c>
      <c r="D21" s="104" t="s">
        <v>36</v>
      </c>
      <c r="E21" s="100"/>
    </row>
    <row r="22" spans="1:10" x14ac:dyDescent="0.45">
      <c r="A22" s="100"/>
      <c r="B22" s="100" t="s">
        <v>102</v>
      </c>
      <c r="C22" s="100">
        <v>106</v>
      </c>
      <c r="D22" s="100">
        <v>107</v>
      </c>
      <c r="E22" s="100"/>
    </row>
    <row r="23" spans="1:10" x14ac:dyDescent="0.45">
      <c r="A23" s="100"/>
      <c r="B23" s="105" t="s">
        <v>103</v>
      </c>
      <c r="C23" s="100" t="e">
        <f>NA()</f>
        <v>#N/A</v>
      </c>
      <c r="D23" s="106">
        <f>1-(C22/D22)</f>
        <v>9.3457943925233655E-3</v>
      </c>
      <c r="E23" s="100"/>
    </row>
    <row r="24" spans="1:10" x14ac:dyDescent="0.45">
      <c r="A24" s="100"/>
      <c r="B24" s="112" t="s">
        <v>446</v>
      </c>
      <c r="C24" s="107">
        <f>'2b SEGB'!K33</f>
        <v>1.0458017167360125</v>
      </c>
      <c r="D24" s="107">
        <f>C24*(1+D$23)</f>
        <v>1.0555755645559755</v>
      </c>
      <c r="E24" s="100"/>
    </row>
    <row r="25" spans="1:10" x14ac:dyDescent="0.45">
      <c r="A25" s="100"/>
      <c r="B25" s="112" t="s">
        <v>417</v>
      </c>
      <c r="C25" s="107">
        <f>'2b SEGB'!K34</f>
        <v>1.0458017167360125</v>
      </c>
      <c r="D25" s="107">
        <f>C25*(1+D$23)</f>
        <v>1.0555755645559755</v>
      </c>
      <c r="E25" s="100"/>
    </row>
    <row r="26" spans="1:10" x14ac:dyDescent="0.45">
      <c r="A26" s="100"/>
      <c r="B26" s="108" t="s">
        <v>2</v>
      </c>
      <c r="C26" s="109">
        <f>SUM(C24:C25)</f>
        <v>2.091603433472025</v>
      </c>
      <c r="D26" s="109">
        <f>SUM(D24:D25)</f>
        <v>2.1111511291119509</v>
      </c>
      <c r="E26" s="100"/>
      <c r="J26" s="148"/>
    </row>
    <row r="27" spans="1:10" x14ac:dyDescent="0.45">
      <c r="A27" s="100"/>
      <c r="B27" s="100"/>
      <c r="C27" s="100"/>
      <c r="D27" s="100"/>
      <c r="E27" s="100"/>
    </row>
    <row r="28" spans="1:10" x14ac:dyDescent="0.45">
      <c r="A28" s="100"/>
      <c r="B28" s="100"/>
      <c r="C28" s="100"/>
      <c r="D28" s="100"/>
      <c r="E28" s="100"/>
    </row>
    <row r="29" spans="1:10" x14ac:dyDescent="0.45">
      <c r="A29" s="100"/>
      <c r="B29" s="100"/>
      <c r="C29" s="100"/>
      <c r="D29" s="100"/>
      <c r="E29" s="100"/>
    </row>
    <row r="30" spans="1:10" x14ac:dyDescent="0.45">
      <c r="A30" s="100"/>
      <c r="B30" s="100"/>
      <c r="C30" s="100"/>
      <c r="D30" s="100"/>
      <c r="E30" s="100"/>
    </row>
    <row r="31" spans="1:10" x14ac:dyDescent="0.45">
      <c r="A31" s="100"/>
      <c r="B31" s="100"/>
      <c r="C31" s="100"/>
      <c r="D31" s="100"/>
      <c r="E31" s="100"/>
    </row>
    <row r="32" spans="1:10" s="7" customFormat="1" x14ac:dyDescent="0.45">
      <c r="A32" s="110"/>
      <c r="B32" s="12" t="s">
        <v>69</v>
      </c>
      <c r="C32" s="110"/>
      <c r="D32" s="110"/>
      <c r="E32" s="110"/>
    </row>
    <row r="33" spans="1:5" s="2" customFormat="1" x14ac:dyDescent="0.45">
      <c r="A33" s="100"/>
      <c r="B33" s="100"/>
      <c r="C33" s="100"/>
      <c r="D33" s="100"/>
      <c r="E33" s="100"/>
    </row>
    <row r="34" spans="1:5" x14ac:dyDescent="0.45">
      <c r="A34" s="100"/>
      <c r="B34" s="100"/>
      <c r="C34" s="101" t="s">
        <v>99</v>
      </c>
      <c r="D34" s="102" t="s">
        <v>100</v>
      </c>
      <c r="E34" s="100"/>
    </row>
    <row r="35" spans="1:5" ht="24.75" x14ac:dyDescent="0.45">
      <c r="A35" s="100"/>
      <c r="B35" s="100"/>
      <c r="C35" s="103" t="s">
        <v>414</v>
      </c>
      <c r="D35" s="104" t="s">
        <v>36</v>
      </c>
      <c r="E35" s="100"/>
    </row>
    <row r="36" spans="1:5" x14ac:dyDescent="0.45">
      <c r="A36" s="100"/>
      <c r="B36" s="100" t="s">
        <v>102</v>
      </c>
      <c r="C36" s="100">
        <v>106</v>
      </c>
      <c r="D36" s="100">
        <v>107</v>
      </c>
      <c r="E36" s="100"/>
    </row>
    <row r="37" spans="1:5" x14ac:dyDescent="0.45">
      <c r="A37" s="100"/>
      <c r="B37" s="105" t="s">
        <v>103</v>
      </c>
      <c r="C37" s="100" t="e">
        <f>NA()</f>
        <v>#N/A</v>
      </c>
      <c r="D37" s="106">
        <f>1-(C36/D36)</f>
        <v>9.3457943925233655E-3</v>
      </c>
      <c r="E37" s="100"/>
    </row>
    <row r="38" spans="1:5" x14ac:dyDescent="0.45">
      <c r="A38" s="100"/>
      <c r="B38" s="112" t="s">
        <v>446</v>
      </c>
      <c r="C38" s="111">
        <f>'2d SMICoP'!K18</f>
        <v>4.8255095738109948E-3</v>
      </c>
      <c r="D38" s="107">
        <f>C38*(1+D$37)</f>
        <v>4.8706077941269863E-3</v>
      </c>
      <c r="E38" s="100"/>
    </row>
    <row r="39" spans="1:5" x14ac:dyDescent="0.45">
      <c r="A39" s="100"/>
      <c r="B39" s="112" t="s">
        <v>417</v>
      </c>
      <c r="C39" s="111">
        <f>'2d SMICoP'!K19</f>
        <v>4.8255095738109948E-3</v>
      </c>
      <c r="D39" s="107">
        <f>C39*(1+D$37)</f>
        <v>4.8706077941269863E-3</v>
      </c>
      <c r="E39" s="100"/>
    </row>
    <row r="40" spans="1:5" x14ac:dyDescent="0.45">
      <c r="A40" s="100"/>
      <c r="B40" s="108" t="s">
        <v>2</v>
      </c>
      <c r="C40" s="109">
        <f>SUM(C38:C39)</f>
        <v>9.6510191476219895E-3</v>
      </c>
      <c r="D40" s="109">
        <f>SUM(D38:D39)</f>
        <v>9.7412155882539726E-3</v>
      </c>
      <c r="E40" s="100"/>
    </row>
    <row r="41" spans="1:5" x14ac:dyDescent="0.45">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zoomScaleNormal="100" workbookViewId="0"/>
  </sheetViews>
  <sheetFormatPr defaultRowHeight="14.25" x14ac:dyDescent="0.45"/>
  <cols>
    <col min="2" max="2" width="26.3984375" customWidth="1"/>
    <col min="3" max="3" width="21.1328125" customWidth="1"/>
    <col min="4" max="4" width="87.59765625" customWidth="1"/>
  </cols>
  <sheetData>
    <row r="2" spans="2:7" s="12" customFormat="1" ht="12.4" x14ac:dyDescent="0.3">
      <c r="B2" s="12" t="s">
        <v>12</v>
      </c>
    </row>
    <row r="3" spans="2:7" s="153" customFormat="1" ht="12.4" x14ac:dyDescent="0.3"/>
    <row r="4" spans="2:7" s="153" customFormat="1" ht="12.4" x14ac:dyDescent="0.3">
      <c r="B4" s="153" t="s">
        <v>473</v>
      </c>
    </row>
    <row r="5" spans="2:7" s="153" customFormat="1" ht="12.4" x14ac:dyDescent="0.3"/>
    <row r="6" spans="2:7" s="153" customFormat="1" ht="12.4" x14ac:dyDescent="0.3">
      <c r="B6" s="153" t="s">
        <v>472</v>
      </c>
    </row>
    <row r="7" spans="2:7" s="153" customFormat="1" ht="12.4" x14ac:dyDescent="0.3"/>
    <row r="8" spans="2:7" s="153" customFormat="1" ht="12.75" customHeight="1" x14ac:dyDescent="0.3"/>
    <row r="9" spans="2:7" s="153" customFormat="1" ht="12.4" x14ac:dyDescent="0.3">
      <c r="B9" s="154"/>
      <c r="C9" s="155" t="s">
        <v>114</v>
      </c>
      <c r="D9" s="156"/>
    </row>
    <row r="10" spans="2:7" s="153" customFormat="1" ht="12.4" x14ac:dyDescent="0.3">
      <c r="B10" s="157"/>
      <c r="C10" s="155" t="s">
        <v>115</v>
      </c>
      <c r="D10" s="156"/>
      <c r="E10" s="158"/>
      <c r="F10" s="158"/>
      <c r="G10" s="158"/>
    </row>
    <row r="11" spans="2:7" s="153" customFormat="1" ht="12.4" x14ac:dyDescent="0.3">
      <c r="B11" s="158"/>
      <c r="C11" s="158"/>
      <c r="D11" s="158"/>
      <c r="E11" s="158"/>
      <c r="F11" s="158"/>
      <c r="G11" s="158"/>
    </row>
    <row r="12" spans="2:7" s="153" customFormat="1" ht="12.4" x14ac:dyDescent="0.3">
      <c r="B12" s="158" t="s">
        <v>474</v>
      </c>
      <c r="C12" s="159"/>
      <c r="D12" s="159"/>
      <c r="E12" s="158"/>
      <c r="F12" s="158"/>
      <c r="G12" s="158"/>
    </row>
    <row r="13" spans="2:7" s="153" customFormat="1" ht="12.4" x14ac:dyDescent="0.3"/>
    <row r="14" spans="2:7" s="12" customFormat="1" ht="12.4" x14ac:dyDescent="0.3">
      <c r="B14" s="12" t="s">
        <v>119</v>
      </c>
    </row>
    <row r="15" spans="2:7" s="153" customFormat="1" ht="12.4" x14ac:dyDescent="0.3"/>
    <row r="16" spans="2:7" s="153" customFormat="1" ht="12.4" x14ac:dyDescent="0.3">
      <c r="B16" s="160" t="s">
        <v>77</v>
      </c>
      <c r="C16" s="160" t="s">
        <v>78</v>
      </c>
      <c r="D16" s="160" t="s">
        <v>12</v>
      </c>
    </row>
    <row r="17" spans="2:4" s="153" customFormat="1" ht="12.4" x14ac:dyDescent="0.3">
      <c r="B17" s="161" t="s">
        <v>79</v>
      </c>
      <c r="C17" s="161" t="s">
        <v>80</v>
      </c>
      <c r="D17" s="162" t="s">
        <v>81</v>
      </c>
    </row>
    <row r="18" spans="2:4" s="153" customFormat="1" ht="12.4" x14ac:dyDescent="0.3">
      <c r="B18" s="161" t="s">
        <v>82</v>
      </c>
      <c r="C18" s="161" t="s">
        <v>80</v>
      </c>
      <c r="D18" s="162" t="s">
        <v>83</v>
      </c>
    </row>
    <row r="19" spans="2:4" s="153" customFormat="1" ht="12.4" x14ac:dyDescent="0.3">
      <c r="B19" s="180" t="s">
        <v>117</v>
      </c>
      <c r="C19" s="181"/>
      <c r="D19" s="182"/>
    </row>
    <row r="20" spans="2:4" s="153" customFormat="1" ht="12.4" x14ac:dyDescent="0.3">
      <c r="B20" s="161" t="s">
        <v>116</v>
      </c>
      <c r="C20" s="161" t="s">
        <v>85</v>
      </c>
      <c r="D20" s="162" t="s">
        <v>468</v>
      </c>
    </row>
    <row r="21" spans="2:4" s="153" customFormat="1" ht="12.4" x14ac:dyDescent="0.3">
      <c r="B21" s="180" t="s">
        <v>401</v>
      </c>
      <c r="C21" s="181"/>
      <c r="D21" s="182"/>
    </row>
    <row r="22" spans="2:4" s="153" customFormat="1" ht="24.75" x14ac:dyDescent="0.3">
      <c r="B22" s="161" t="s">
        <v>407</v>
      </c>
      <c r="C22" s="161" t="s">
        <v>84</v>
      </c>
      <c r="D22" s="161" t="s">
        <v>415</v>
      </c>
    </row>
    <row r="23" spans="2:4" s="153" customFormat="1" ht="24.75" x14ac:dyDescent="0.3">
      <c r="B23" s="161" t="s">
        <v>403</v>
      </c>
      <c r="C23" s="161" t="s">
        <v>84</v>
      </c>
      <c r="D23" s="162" t="s">
        <v>120</v>
      </c>
    </row>
    <row r="24" spans="2:4" s="153" customFormat="1" ht="24.75" x14ac:dyDescent="0.3">
      <c r="B24" s="161" t="s">
        <v>404</v>
      </c>
      <c r="C24" s="161" t="s">
        <v>84</v>
      </c>
      <c r="D24" s="162" t="s">
        <v>86</v>
      </c>
    </row>
    <row r="25" spans="2:4" s="153" customFormat="1" ht="24.75" x14ac:dyDescent="0.3">
      <c r="B25" s="161" t="s">
        <v>405</v>
      </c>
      <c r="C25" s="161" t="s">
        <v>84</v>
      </c>
      <c r="D25" s="162" t="s">
        <v>121</v>
      </c>
    </row>
    <row r="26" spans="2:4" s="153" customFormat="1" ht="24.75" x14ac:dyDescent="0.3">
      <c r="B26" s="163" t="s">
        <v>406</v>
      </c>
      <c r="C26" s="161" t="s">
        <v>84</v>
      </c>
      <c r="D26" s="164" t="s">
        <v>411</v>
      </c>
    </row>
    <row r="27" spans="2:4" s="153" customFormat="1" ht="24.75" x14ac:dyDescent="0.3">
      <c r="B27" s="163" t="s">
        <v>460</v>
      </c>
      <c r="C27" s="161" t="s">
        <v>84</v>
      </c>
      <c r="D27" s="164" t="s">
        <v>459</v>
      </c>
    </row>
    <row r="28" spans="2:4" s="153" customFormat="1" ht="12.4" x14ac:dyDescent="0.3">
      <c r="B28" s="180" t="s">
        <v>118</v>
      </c>
      <c r="C28" s="181"/>
      <c r="D28" s="182"/>
    </row>
    <row r="29" spans="2:4" s="153" customFormat="1" ht="24.75" x14ac:dyDescent="0.3">
      <c r="B29" s="161" t="s">
        <v>104</v>
      </c>
      <c r="C29" s="161" t="s">
        <v>84</v>
      </c>
      <c r="D29" s="162" t="s">
        <v>412</v>
      </c>
    </row>
    <row r="30" spans="2:4" s="153" customFormat="1" ht="12.4" x14ac:dyDescent="0.3"/>
    <row r="31" spans="2:4" s="12" customFormat="1" ht="12.4" x14ac:dyDescent="0.3">
      <c r="B31" s="12" t="s">
        <v>408</v>
      </c>
    </row>
    <row r="32" spans="2:4" s="153" customFormat="1" ht="12.4" x14ac:dyDescent="0.3"/>
    <row r="33" spans="2:10" s="153" customFormat="1" ht="53.25" customHeight="1" x14ac:dyDescent="0.3">
      <c r="B33" s="183" t="s">
        <v>416</v>
      </c>
      <c r="C33" s="183"/>
      <c r="D33" s="183"/>
      <c r="E33" s="183"/>
      <c r="F33" s="183"/>
      <c r="G33" s="183"/>
      <c r="H33" s="183"/>
      <c r="I33" s="183"/>
      <c r="J33" s="183"/>
    </row>
    <row r="35" spans="2:10" s="12" customFormat="1" ht="12.4" x14ac:dyDescent="0.3">
      <c r="B35" s="12" t="s">
        <v>495</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53"/>
  <sheetViews>
    <sheetView showGridLines="0" zoomScaleNormal="100" workbookViewId="0"/>
  </sheetViews>
  <sheetFormatPr defaultColWidth="0" defaultRowHeight="13.5" zeroHeight="1" x14ac:dyDescent="0.35"/>
  <cols>
    <col min="1" max="1" width="9" style="31" customWidth="1"/>
    <col min="2" max="2" width="20" style="31" customWidth="1"/>
    <col min="3" max="3" width="46.53125" style="31" bestFit="1" customWidth="1"/>
    <col min="4" max="4" width="48.59765625" style="31" customWidth="1"/>
    <col min="5" max="5" width="28.1328125" style="31" customWidth="1"/>
    <col min="6" max="6" width="32.1328125" style="31" customWidth="1"/>
    <col min="7" max="10" width="16.59765625" style="31" customWidth="1"/>
    <col min="11" max="11" width="1.1328125" style="31" customWidth="1"/>
    <col min="12" max="22" width="16.59765625" style="41" customWidth="1"/>
    <col min="23" max="23" width="9" style="31" customWidth="1"/>
    <col min="24" max="30" width="0" style="31" hidden="1" customWidth="1"/>
    <col min="31" max="16384" width="9" style="31" hidden="1"/>
  </cols>
  <sheetData>
    <row r="1" spans="2:30" s="29" customFormat="1" ht="12.75" customHeight="1" x14ac:dyDescent="0.35">
      <c r="L1" s="33"/>
      <c r="M1" s="33"/>
      <c r="N1" s="33"/>
      <c r="O1" s="33"/>
      <c r="P1" s="33"/>
      <c r="Q1" s="33"/>
      <c r="R1" s="33"/>
      <c r="S1" s="33"/>
      <c r="T1" s="33"/>
      <c r="U1" s="33"/>
      <c r="V1" s="33"/>
    </row>
    <row r="2" spans="2:30" s="29" customFormat="1" ht="18.75" customHeight="1" x14ac:dyDescent="0.45">
      <c r="B2" s="8" t="s">
        <v>112</v>
      </c>
      <c r="C2" s="8"/>
      <c r="D2" s="8"/>
      <c r="E2" s="8"/>
      <c r="F2" s="8"/>
      <c r="G2" s="8"/>
      <c r="H2" s="8"/>
      <c r="I2" s="8"/>
      <c r="J2" s="8"/>
      <c r="K2" s="8"/>
      <c r="L2" s="33"/>
      <c r="M2" s="33"/>
      <c r="N2" s="33"/>
      <c r="O2" s="33"/>
      <c r="P2" s="33"/>
      <c r="Q2" s="33"/>
      <c r="R2" s="33"/>
      <c r="S2" s="57"/>
      <c r="T2" s="33"/>
      <c r="U2" s="33"/>
      <c r="V2" s="33"/>
    </row>
    <row r="3" spans="2:30" s="33" customFormat="1" ht="51" customHeight="1" x14ac:dyDescent="0.3">
      <c r="B3" s="207" t="s">
        <v>475</v>
      </c>
      <c r="C3" s="207"/>
      <c r="D3" s="208"/>
      <c r="E3" s="208"/>
      <c r="F3" s="208"/>
      <c r="G3" s="208"/>
      <c r="H3" s="208"/>
      <c r="I3" s="208"/>
      <c r="J3" s="208"/>
      <c r="K3" s="208"/>
      <c r="L3" s="208"/>
      <c r="M3" s="208"/>
      <c r="N3" s="32"/>
      <c r="O3" s="32"/>
      <c r="P3" s="32"/>
      <c r="Q3" s="32"/>
      <c r="R3" s="32"/>
      <c r="S3" s="32"/>
      <c r="T3" s="32"/>
      <c r="U3" s="32"/>
      <c r="V3" s="32"/>
      <c r="W3" s="32"/>
      <c r="X3" s="32"/>
      <c r="Y3" s="32"/>
      <c r="Z3" s="32"/>
      <c r="AA3" s="32"/>
      <c r="AB3" s="32"/>
      <c r="AC3" s="32"/>
      <c r="AD3" s="32"/>
    </row>
    <row r="4" spans="2:30" s="33" customFormat="1" ht="12.75" customHeight="1" x14ac:dyDescent="0.3"/>
    <row r="5" spans="2:30" s="34" customFormat="1" ht="12.75" customHeight="1" x14ac:dyDescent="0.3"/>
    <row r="6" spans="2:30" s="34" customFormat="1" ht="12.75" customHeight="1" x14ac:dyDescent="0.3">
      <c r="B6" s="46" t="s">
        <v>471</v>
      </c>
      <c r="C6" s="46"/>
    </row>
    <row r="7" spans="2:30" s="34" customFormat="1" ht="12.4" x14ac:dyDescent="0.3"/>
    <row r="8" spans="2:30" s="34" customFormat="1" ht="12" customHeight="1" x14ac:dyDescent="0.3">
      <c r="B8" s="228" t="s">
        <v>63</v>
      </c>
      <c r="C8" s="224" t="s">
        <v>527</v>
      </c>
      <c r="D8" s="228" t="s">
        <v>12</v>
      </c>
      <c r="E8" s="221" t="s">
        <v>10</v>
      </c>
      <c r="F8" s="227"/>
      <c r="G8" s="209" t="s">
        <v>463</v>
      </c>
      <c r="H8" s="210"/>
      <c r="I8" s="210"/>
      <c r="J8" s="211"/>
      <c r="K8" s="35"/>
      <c r="L8" s="212" t="s">
        <v>464</v>
      </c>
      <c r="M8" s="213"/>
      <c r="N8" s="213"/>
      <c r="O8" s="213"/>
      <c r="P8" s="213"/>
      <c r="Q8" s="213"/>
      <c r="R8" s="213"/>
      <c r="S8" s="213"/>
      <c r="T8" s="213"/>
      <c r="U8" s="213"/>
      <c r="V8" s="214"/>
    </row>
    <row r="9" spans="2:30" s="34" customFormat="1" ht="54.75" customHeight="1" x14ac:dyDescent="0.3">
      <c r="B9" s="228"/>
      <c r="C9" s="225"/>
      <c r="D9" s="228"/>
      <c r="E9" s="222"/>
      <c r="F9" s="227"/>
      <c r="G9" s="215" t="s">
        <v>465</v>
      </c>
      <c r="H9" s="216"/>
      <c r="I9" s="216"/>
      <c r="J9" s="217"/>
      <c r="K9" s="35"/>
      <c r="L9" s="218" t="s">
        <v>466</v>
      </c>
      <c r="M9" s="219"/>
      <c r="N9" s="219"/>
      <c r="O9" s="219"/>
      <c r="P9" s="219"/>
      <c r="Q9" s="219"/>
      <c r="R9" s="219"/>
      <c r="S9" s="219"/>
      <c r="T9" s="219"/>
      <c r="U9" s="219"/>
      <c r="V9" s="220"/>
    </row>
    <row r="10" spans="2:30" s="56" customFormat="1" ht="27" customHeight="1" x14ac:dyDescent="0.3">
      <c r="B10" s="228"/>
      <c r="C10" s="225"/>
      <c r="D10" s="228"/>
      <c r="E10" s="222"/>
      <c r="F10" s="55" t="s">
        <v>145</v>
      </c>
      <c r="G10" s="37" t="s">
        <v>64</v>
      </c>
      <c r="H10" s="37" t="s">
        <v>65</v>
      </c>
      <c r="I10" s="37" t="s">
        <v>35</v>
      </c>
      <c r="J10" s="37" t="s">
        <v>108</v>
      </c>
      <c r="K10" s="35"/>
      <c r="L10" s="80" t="s">
        <v>414</v>
      </c>
      <c r="M10" s="37" t="s">
        <v>36</v>
      </c>
      <c r="N10" s="37" t="s">
        <v>37</v>
      </c>
      <c r="O10" s="37" t="s">
        <v>38</v>
      </c>
      <c r="P10" s="37" t="s">
        <v>39</v>
      </c>
      <c r="Q10" s="37" t="s">
        <v>40</v>
      </c>
      <c r="R10" s="37" t="s">
        <v>41</v>
      </c>
      <c r="S10" s="37" t="s">
        <v>42</v>
      </c>
      <c r="T10" s="37" t="s">
        <v>43</v>
      </c>
      <c r="U10" s="37" t="s">
        <v>44</v>
      </c>
      <c r="V10" s="37" t="s">
        <v>45</v>
      </c>
    </row>
    <row r="11" spans="2:30" s="41" customFormat="1" ht="17.25" customHeight="1" x14ac:dyDescent="0.3">
      <c r="B11" s="228"/>
      <c r="C11" s="225"/>
      <c r="D11" s="228"/>
      <c r="E11" s="222"/>
      <c r="F11" s="50" t="s">
        <v>11</v>
      </c>
      <c r="G11" s="39" t="s">
        <v>66</v>
      </c>
      <c r="H11" s="39" t="s">
        <v>67</v>
      </c>
      <c r="I11" s="39" t="s">
        <v>46</v>
      </c>
      <c r="J11" s="40" t="s">
        <v>106</v>
      </c>
      <c r="K11" s="35"/>
      <c r="L11" s="116" t="s">
        <v>155</v>
      </c>
      <c r="M11" s="39" t="s">
        <v>47</v>
      </c>
      <c r="N11" s="39" t="s">
        <v>48</v>
      </c>
      <c r="O11" s="39" t="s">
        <v>49</v>
      </c>
      <c r="P11" s="39" t="s">
        <v>50</v>
      </c>
      <c r="Q11" s="39" t="s">
        <v>51</v>
      </c>
      <c r="R11" s="39" t="s">
        <v>52</v>
      </c>
      <c r="S11" s="39" t="s">
        <v>53</v>
      </c>
      <c r="T11" s="39" t="s">
        <v>54</v>
      </c>
      <c r="U11" s="39" t="s">
        <v>55</v>
      </c>
      <c r="V11" s="39" t="s">
        <v>56</v>
      </c>
    </row>
    <row r="12" spans="2:30" s="41" customFormat="1" ht="19.5" customHeight="1" x14ac:dyDescent="0.3">
      <c r="B12" s="228"/>
      <c r="C12" s="226"/>
      <c r="D12" s="228"/>
      <c r="E12" s="223"/>
      <c r="F12" s="50"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2:30" s="41" customFormat="1" ht="12.4" x14ac:dyDescent="0.3">
      <c r="B13" s="206" t="s">
        <v>420</v>
      </c>
      <c r="C13" s="230" t="s">
        <v>528</v>
      </c>
      <c r="D13" s="43" t="s">
        <v>394</v>
      </c>
      <c r="E13" s="113" t="s">
        <v>418</v>
      </c>
      <c r="F13" s="196"/>
      <c r="G13" s="53">
        <f>IF('2c DCC'!F54=0,"-",'2c DCC'!F54)</f>
        <v>5.9060216182828906</v>
      </c>
      <c r="H13" s="53">
        <f>IF('2c DCC'!G54=0,"-",'2c DCC'!G54)</f>
        <v>5.7860216182828905</v>
      </c>
      <c r="I13" s="53">
        <f>IF('2c DCC'!H54=0,"-",'2c DCC'!H54)</f>
        <v>8.4153693638048175</v>
      </c>
      <c r="J13" s="53">
        <f>IF('2c DCC'!I54=0,"-",'2c DCC'!I54)</f>
        <v>8.5516161549312244</v>
      </c>
      <c r="K13" s="35"/>
      <c r="L13" s="53">
        <f>IF('2c DCC'!K54=0,"-",'2c DCC'!K54)</f>
        <v>8.5516161549312244</v>
      </c>
      <c r="M13" s="53">
        <f>IF('2c DCC'!L54=0,"-",'2c DCC'!L54)</f>
        <v>11.104851878142561</v>
      </c>
      <c r="N13" s="53">
        <f>IF('2c DCC'!M54=0,"-",'2c DCC'!M54)</f>
        <v>11.012800642584216</v>
      </c>
      <c r="O13" s="53">
        <f>IF('2c DCC'!N54=0,"-",'2c DCC'!N54)</f>
        <v>13.662374482953824</v>
      </c>
      <c r="P13" s="53">
        <f>IF('2c DCC'!O54=0,"-",'2c DCC'!O54)</f>
        <v>12.80454002319885</v>
      </c>
      <c r="Q13" s="53" t="str">
        <f>IF('2c DCC'!P54=0,"-",'2c DCC'!P54)</f>
        <v>-</v>
      </c>
      <c r="R13" s="53" t="str">
        <f>IF('2c DCC'!Q54=0,"-",'2c DCC'!Q54)</f>
        <v>-</v>
      </c>
      <c r="S13" s="53" t="str">
        <f>IF('2c DCC'!R54=0,"-",'2c DCC'!R54)</f>
        <v>-</v>
      </c>
      <c r="T13" s="53" t="str">
        <f>IF('2c DCC'!S54=0,"-",'2c DCC'!S54)</f>
        <v>-</v>
      </c>
      <c r="U13" s="53" t="str">
        <f>IF('2c DCC'!T54=0,"-",'2c DCC'!T54)</f>
        <v>-</v>
      </c>
      <c r="V13" s="53" t="str">
        <f>IF('2c DCC'!U54=0,"-",'2c DCC'!U54)</f>
        <v>-</v>
      </c>
    </row>
    <row r="14" spans="2:30" s="41" customFormat="1" ht="12.4" x14ac:dyDescent="0.3">
      <c r="B14" s="229"/>
      <c r="C14" s="231"/>
      <c r="D14" s="43" t="s">
        <v>395</v>
      </c>
      <c r="E14" s="113" t="s">
        <v>418</v>
      </c>
      <c r="F14" s="205"/>
      <c r="G14" s="53">
        <f>IF('2b SEGB'!F33=0,"-",'2b SEGB'!F33)</f>
        <v>0.9765661704349663</v>
      </c>
      <c r="H14" s="53">
        <f>IF('2b SEGB'!G33=0,"-",'2b SEGB'!G33)</f>
        <v>0.99422403336222409</v>
      </c>
      <c r="I14" s="53">
        <f>IF('2b SEGB'!H33=0,"-",'2b SEGB'!H33)</f>
        <v>1.0458017167360125</v>
      </c>
      <c r="J14" s="53">
        <f>IF('2b SEGB'!I33=0,"-",'2b SEGB'!I33)</f>
        <v>1.0458017167360125</v>
      </c>
      <c r="K14" s="35"/>
      <c r="L14" s="53">
        <f>IF('2b SEGB'!K33=0,"-",'2b SEGB'!K33)</f>
        <v>1.0458017167360125</v>
      </c>
      <c r="M14" s="53">
        <f>IF('2b SEGB'!L33=0,"-",'2b SEGB'!L33)</f>
        <v>0.99308334451494196</v>
      </c>
      <c r="N14" s="53">
        <f>IF('2b SEGB'!M33=0,"-",'2b SEGB'!M33)</f>
        <v>1.0019685420102336</v>
      </c>
      <c r="O14" s="53">
        <f>IF('2b SEGB'!N33=0,"-",'2b SEGB'!N33)</f>
        <v>0.73849263586365788</v>
      </c>
      <c r="P14" s="53">
        <f>IF('2b SEGB'!O33=0,"-",'2b SEGB'!O33)</f>
        <v>0.73849263586365788</v>
      </c>
      <c r="Q14" s="53" t="str">
        <f>IF('2b SEGB'!P33=0,"-",'2b SEGB'!P33)</f>
        <v>-</v>
      </c>
      <c r="R14" s="53" t="str">
        <f>IF('2b SEGB'!Q33=0,"-",'2b SEGB'!Q33)</f>
        <v>-</v>
      </c>
      <c r="S14" s="53" t="str">
        <f>IF('2b SEGB'!R33=0,"-",'2b SEGB'!R33)</f>
        <v>-</v>
      </c>
      <c r="T14" s="53" t="str">
        <f>IF('2b SEGB'!S33=0,"-",'2b SEGB'!S33)</f>
        <v>-</v>
      </c>
      <c r="U14" s="53" t="str">
        <f>IF('2b SEGB'!T33=0,"-",'2b SEGB'!T33)</f>
        <v>-</v>
      </c>
      <c r="V14" s="53" t="str">
        <f>IF('2b SEGB'!U33=0,"-",'2b SEGB'!U33)</f>
        <v>-</v>
      </c>
    </row>
    <row r="15" spans="2:30" s="41" customFormat="1" ht="12.4" x14ac:dyDescent="0.3">
      <c r="B15" s="229"/>
      <c r="C15" s="231"/>
      <c r="D15" s="43" t="s">
        <v>396</v>
      </c>
      <c r="E15" s="113" t="s">
        <v>418</v>
      </c>
      <c r="F15" s="205"/>
      <c r="G15" s="53">
        <f>IF('2d SMICoP'!F18=0,"-",'2d SMICoP'!F18)</f>
        <v>4.8255095738109948E-3</v>
      </c>
      <c r="H15" s="53">
        <f>IF('2d SMICoP'!G18=0,"-",'2d SMICoP'!G18)</f>
        <v>4.8255095738109948E-3</v>
      </c>
      <c r="I15" s="53">
        <f>IF('2d SMICoP'!H18=0,"-",'2d SMICoP'!H18)</f>
        <v>4.8255095738109948E-3</v>
      </c>
      <c r="J15" s="53">
        <f>IF('2d SMICoP'!I18=0,"-",'2d SMICoP'!I18)</f>
        <v>4.8255095738109948E-3</v>
      </c>
      <c r="K15" s="35"/>
      <c r="L15" s="53">
        <f>IF('2d SMICoP'!K18=0,"-",'2d SMICoP'!K18)</f>
        <v>4.8255095738109948E-3</v>
      </c>
      <c r="M15" s="53">
        <f>IF('2d SMICoP'!L18=0,"-",'2d SMICoP'!L18)</f>
        <v>4.792117924437885E-3</v>
      </c>
      <c r="N15" s="53">
        <f>IF('2d SMICoP'!M18=0,"-",'2d SMICoP'!M18)</f>
        <v>4.792117924437885E-3</v>
      </c>
      <c r="O15" s="53">
        <f>IF('2d SMICoP'!N18=0,"-",'2d SMICoP'!N18)</f>
        <v>4.7547499952452499E-3</v>
      </c>
      <c r="P15" s="53">
        <f>IF('2d SMICoP'!O18=0,"-",'2d SMICoP'!O18)</f>
        <v>4.7547499952452499E-3</v>
      </c>
      <c r="Q15" s="53" t="str">
        <f>IF('2d SMICoP'!P18=0,"-",'2d SMICoP'!P18)</f>
        <v>-</v>
      </c>
      <c r="R15" s="53" t="str">
        <f>IF('2d SMICoP'!Q18=0,"-",'2d SMICoP'!Q18)</f>
        <v>-</v>
      </c>
      <c r="S15" s="53" t="str">
        <f>IF('2d SMICoP'!R18=0,"-",'2d SMICoP'!R18)</f>
        <v>-</v>
      </c>
      <c r="T15" s="53" t="str">
        <f>IF('2d SMICoP'!S18=0,"-",'2d SMICoP'!S18)</f>
        <v>-</v>
      </c>
      <c r="U15" s="53" t="str">
        <f>IF('2d SMICoP'!T18=0,"-",'2d SMICoP'!T18)</f>
        <v>-</v>
      </c>
      <c r="V15" s="53" t="str">
        <f>IF('2d SMICoP'!U18=0,"-",'2d SMICoP'!U18)</f>
        <v>-</v>
      </c>
    </row>
    <row r="16" spans="2:30" s="41" customFormat="1" ht="12.4" x14ac:dyDescent="0.3">
      <c r="B16" s="229"/>
      <c r="C16" s="231"/>
      <c r="D16" s="79" t="s">
        <v>413</v>
      </c>
      <c r="E16" s="113" t="s">
        <v>418</v>
      </c>
      <c r="F16" s="205"/>
      <c r="G16" s="53">
        <f>IF(G13="-","-",SUM(G13:G15))</f>
        <v>6.8874132982916683</v>
      </c>
      <c r="H16" s="53">
        <f>IF(H13="-","-",SUM(H13:H15))</f>
        <v>6.7850711612189256</v>
      </c>
      <c r="I16" s="53">
        <f>IF(I13="-","-",SUM(I13:I15))</f>
        <v>9.4659965901146403</v>
      </c>
      <c r="J16" s="53">
        <f>IF(J13="-","-",SUM(J13:J15))</f>
        <v>9.6022433812410473</v>
      </c>
      <c r="K16" s="35"/>
      <c r="L16" s="53">
        <f t="shared" ref="L16:V16" si="0">IF(L13="-","-",SUM(L13:L15))</f>
        <v>9.6022433812410473</v>
      </c>
      <c r="M16" s="53">
        <f t="shared" si="0"/>
        <v>12.102727340581941</v>
      </c>
      <c r="N16" s="53">
        <f t="shared" si="0"/>
        <v>12.019561302518888</v>
      </c>
      <c r="O16" s="53">
        <f>IF(O13="-","-",SUM(O13:O15))</f>
        <v>14.405621868812727</v>
      </c>
      <c r="P16" s="53">
        <f t="shared" si="0"/>
        <v>13.547787409057753</v>
      </c>
      <c r="Q16" s="53" t="str">
        <f t="shared" si="0"/>
        <v>-</v>
      </c>
      <c r="R16" s="53" t="str">
        <f t="shared" si="0"/>
        <v>-</v>
      </c>
      <c r="S16" s="53" t="str">
        <f t="shared" si="0"/>
        <v>-</v>
      </c>
      <c r="T16" s="53" t="str">
        <f t="shared" si="0"/>
        <v>-</v>
      </c>
      <c r="U16" s="53" t="str">
        <f t="shared" si="0"/>
        <v>-</v>
      </c>
      <c r="V16" s="53" t="str">
        <f t="shared" si="0"/>
        <v>-</v>
      </c>
    </row>
    <row r="17" spans="2:22" s="41" customFormat="1" ht="12.4" x14ac:dyDescent="0.3">
      <c r="B17" s="229"/>
      <c r="C17" s="231"/>
      <c r="D17" s="45" t="s">
        <v>392</v>
      </c>
      <c r="E17" s="45" t="s">
        <v>393</v>
      </c>
      <c r="F17" s="205"/>
      <c r="G17" s="53">
        <f>IFERROR('2e CPIH'!G16/'2e CPIH'!$C$9,"-")</f>
        <v>1</v>
      </c>
      <c r="H17" s="53">
        <f>IFERROR('2e CPIH'!H16/'2e CPIH'!$C$9,"-")</f>
        <v>1.0127201565557731</v>
      </c>
      <c r="I17" s="53">
        <f>IFERROR('2e CPIH'!I16/'2e CPIH'!$C$9,"-")</f>
        <v>1.0273972602739725</v>
      </c>
      <c r="J17" s="53">
        <f>IFERROR('2e CPIH'!J16/'2e CPIH'!$C$9,"-")</f>
        <v>1.0362035225048924</v>
      </c>
      <c r="K17" s="35"/>
      <c r="L17" s="53">
        <f>IFERROR('2e CPIH'!L16/'2e CPIH'!$C$9,"-")</f>
        <v>1.0362035225048924</v>
      </c>
      <c r="M17" s="53">
        <f>IFERROR('2e CPIH'!M16/'2e CPIH'!$C$9,"-")</f>
        <v>1.047945205479452</v>
      </c>
      <c r="N17" s="53">
        <f>IFERROR('2e CPIH'!N16/'2e CPIH'!$C$9,"-")</f>
        <v>1.0557729941291585</v>
      </c>
      <c r="O17" s="53">
        <f>IFERROR('2e CPIH'!O16/'2e CPIH'!$C$9,"-")</f>
        <v>1.0616438356164384</v>
      </c>
      <c r="P17" s="53">
        <f>IFERROR('2e CPIH'!P16/'2e CPIH'!$C$9,"-")</f>
        <v>1.0645792563600782</v>
      </c>
      <c r="Q17" s="53" t="str">
        <f>IFERROR('2e CPIH'!Q16/'2e CPIH'!$C$9,"-")</f>
        <v>-</v>
      </c>
      <c r="R17" s="53" t="str">
        <f>IFERROR('2e CPIH'!R16/'2e CPIH'!$C$9,"-")</f>
        <v>-</v>
      </c>
      <c r="S17" s="53" t="str">
        <f>IFERROR('2e CPIH'!S16/'2e CPIH'!$C$9,"-")</f>
        <v>-</v>
      </c>
      <c r="T17" s="53" t="str">
        <f>IFERROR('2e CPIH'!T16/'2e CPIH'!$C$9,"-")</f>
        <v>-</v>
      </c>
      <c r="U17" s="53" t="str">
        <f>IFERROR('2e CPIH'!U16/'2e CPIH'!$C$9,"-")</f>
        <v>-</v>
      </c>
      <c r="V17" s="53" t="str">
        <f>IFERROR('2e CPIH'!V16/'2e CPIH'!$C$9,"-")</f>
        <v>-</v>
      </c>
    </row>
    <row r="18" spans="2:22" s="41" customFormat="1" ht="12.4" x14ac:dyDescent="0.3">
      <c r="B18" s="195"/>
      <c r="C18" s="232"/>
      <c r="D18" s="45" t="s">
        <v>397</v>
      </c>
      <c r="E18" s="113" t="s">
        <v>418</v>
      </c>
      <c r="F18" s="205"/>
      <c r="G18" s="53">
        <f>IF(G16="-","-",G16-($G$16*G17))</f>
        <v>0</v>
      </c>
      <c r="H18" s="53">
        <f t="shared" ref="H18:L18" si="1">IF(H16="-","-",H16-($G$16*H17))</f>
        <v>-0.18995111249132623</v>
      </c>
      <c r="I18" s="53">
        <f t="shared" si="1"/>
        <v>2.3898870370752556</v>
      </c>
      <c r="J18" s="53">
        <f t="shared" si="1"/>
        <v>2.4654814606041811</v>
      </c>
      <c r="K18" s="35"/>
      <c r="L18" s="53">
        <f t="shared" si="1"/>
        <v>2.4654814606041811</v>
      </c>
      <c r="M18" s="53">
        <f t="shared" ref="M18" si="2">IF(M16="-","-",M16-($G$16*M17))</f>
        <v>4.8850955964817686</v>
      </c>
      <c r="N18" s="53">
        <f t="shared" ref="N18" si="3">IF(N16="-","-",N16-($G$16*N17))</f>
        <v>4.7480163427765101</v>
      </c>
      <c r="O18" s="53">
        <f>IF(O16="-","-",O16-($G$16*O17))</f>
        <v>7.093641997338695</v>
      </c>
      <c r="P18" s="53">
        <f t="shared" ref="P18" si="4">IF(P16="-","-",P16-($G$16*P17))</f>
        <v>6.2155900817178944</v>
      </c>
      <c r="Q18" s="53" t="str">
        <f t="shared" ref="Q18" si="5">IF(Q16="-","-",Q16-($G$16*Q17))</f>
        <v>-</v>
      </c>
      <c r="R18" s="53" t="str">
        <f t="shared" ref="R18" si="6">IF(R16="-","-",R16-($G$16*R17))</f>
        <v>-</v>
      </c>
      <c r="S18" s="53" t="str">
        <f t="shared" ref="S18" si="7">IF(S16="-","-",S16-($G$16*S17))</f>
        <v>-</v>
      </c>
      <c r="T18" s="53" t="str">
        <f t="shared" ref="T18" si="8">IF(T16="-","-",T16-($G$16*T17))</f>
        <v>-</v>
      </c>
      <c r="U18" s="53" t="str">
        <f t="shared" ref="U18" si="9">IF(U16="-","-",U16-($G$16*U17))</f>
        <v>-</v>
      </c>
      <c r="V18" s="53" t="str">
        <f t="shared" ref="V18" si="10">IF(V16="-","-",V16-($G$16*V17))</f>
        <v>-</v>
      </c>
    </row>
    <row r="19" spans="2:22" s="41" customFormat="1" ht="12.4" x14ac:dyDescent="0.3">
      <c r="B19" s="194" t="s">
        <v>0</v>
      </c>
      <c r="C19" s="230" t="s">
        <v>528</v>
      </c>
      <c r="D19" s="43" t="s">
        <v>394</v>
      </c>
      <c r="E19" s="113" t="s">
        <v>418</v>
      </c>
      <c r="F19" s="205"/>
      <c r="G19" s="53">
        <f>IF('2c DCC'!F55=0,"-",'2c DCC'!F55)</f>
        <v>4.5260216182828907</v>
      </c>
      <c r="H19" s="53">
        <f>IF('2c DCC'!G55=0,"-",'2c DCC'!G55)</f>
        <v>4.4300216182828898</v>
      </c>
      <c r="I19" s="53">
        <f>IF('2c DCC'!H55=0,"-",'2c DCC'!H55)</f>
        <v>6.5073693638048171</v>
      </c>
      <c r="J19" s="53">
        <f>IF('2c DCC'!I55=0,"-",'2c DCC'!I55)</f>
        <v>6.6215397542612262</v>
      </c>
      <c r="K19" s="35"/>
      <c r="L19" s="53">
        <f>IF('2c DCC'!K55=0,"-",'2c DCC'!K55)</f>
        <v>6.6215397542612262</v>
      </c>
      <c r="M19" s="53">
        <f>IF('2c DCC'!L55=0,"-",'2c DCC'!L55)</f>
        <v>8.705416394354847</v>
      </c>
      <c r="N19" s="53">
        <f>IF('2c DCC'!M55=0,"-",'2c DCC'!M55)</f>
        <v>8.4956047001320023</v>
      </c>
      <c r="O19" s="53">
        <f>IF('2c DCC'!N55=0,"-",'2c DCC'!N55)</f>
        <v>10.500573436950896</v>
      </c>
      <c r="P19" s="53">
        <f>IF('2c DCC'!O55=0,"-",'2c DCC'!O55)</f>
        <v>9.8035943577862135</v>
      </c>
      <c r="Q19" s="53" t="str">
        <f>IF('2c DCC'!P55=0,"-",'2c DCC'!P55)</f>
        <v>-</v>
      </c>
      <c r="R19" s="53" t="str">
        <f>IF('2c DCC'!Q55=0,"-",'2c DCC'!Q55)</f>
        <v>-</v>
      </c>
      <c r="S19" s="53" t="str">
        <f>IF('2c DCC'!R55=0,"-",'2c DCC'!R55)</f>
        <v>-</v>
      </c>
      <c r="T19" s="53" t="str">
        <f>IF('2c DCC'!S55=0,"-",'2c DCC'!S55)</f>
        <v>-</v>
      </c>
      <c r="U19" s="53" t="str">
        <f>IF('2c DCC'!T55=0,"-",'2c DCC'!T55)</f>
        <v>-</v>
      </c>
      <c r="V19" s="53" t="str">
        <f>IF('2c DCC'!U55=0,"-",'2c DCC'!U55)</f>
        <v>-</v>
      </c>
    </row>
    <row r="20" spans="2:22" s="41" customFormat="1" ht="12.4" x14ac:dyDescent="0.3">
      <c r="B20" s="229"/>
      <c r="C20" s="231"/>
      <c r="D20" s="43" t="s">
        <v>395</v>
      </c>
      <c r="E20" s="113" t="s">
        <v>418</v>
      </c>
      <c r="F20" s="205"/>
      <c r="G20" s="53">
        <f>IF('2b SEGB'!F34=0,"-",'2b SEGB'!F34)</f>
        <v>0.9765661704349663</v>
      </c>
      <c r="H20" s="53">
        <f>IF('2b SEGB'!G34=0,"-",'2b SEGB'!G34)</f>
        <v>0.9942240333622242</v>
      </c>
      <c r="I20" s="53">
        <f>IF('2b SEGB'!H34=0,"-",'2b SEGB'!H34)</f>
        <v>1.0458017167360125</v>
      </c>
      <c r="J20" s="53">
        <f>IF('2b SEGB'!I34=0,"-",'2b SEGB'!I34)</f>
        <v>1.0458017167360125</v>
      </c>
      <c r="K20" s="35"/>
      <c r="L20" s="53">
        <f>IF('2b SEGB'!K34=0,"-",'2b SEGB'!K34)</f>
        <v>1.0458017167360125</v>
      </c>
      <c r="M20" s="53">
        <f>IF('2b SEGB'!L34=0,"-",'2b SEGB'!L34)</f>
        <v>1.0019685420102333</v>
      </c>
      <c r="N20" s="53">
        <f>IF('2b SEGB'!M34=0,"-",'2b SEGB'!M34)</f>
        <v>1.0019685420102333</v>
      </c>
      <c r="O20" s="53">
        <f>IF('2b SEGB'!N34=0,"-",'2b SEGB'!N34)</f>
        <v>0.7384926358636581</v>
      </c>
      <c r="P20" s="53">
        <f>IF('2b SEGB'!O34=0,"-",'2b SEGB'!O34)</f>
        <v>0.7384926358636581</v>
      </c>
      <c r="Q20" s="53" t="str">
        <f>IF('2b SEGB'!P34=0,"-",'2b SEGB'!P34)</f>
        <v>-</v>
      </c>
      <c r="R20" s="53" t="str">
        <f>IF('2b SEGB'!Q34=0,"-",'2b SEGB'!Q34)</f>
        <v>-</v>
      </c>
      <c r="S20" s="53" t="str">
        <f>IF('2b SEGB'!R34=0,"-",'2b SEGB'!R34)</f>
        <v>-</v>
      </c>
      <c r="T20" s="53" t="str">
        <f>IF('2b SEGB'!S34=0,"-",'2b SEGB'!S34)</f>
        <v>-</v>
      </c>
      <c r="U20" s="53" t="str">
        <f>IF('2b SEGB'!T34=0,"-",'2b SEGB'!T34)</f>
        <v>-</v>
      </c>
      <c r="V20" s="53" t="str">
        <f>IF('2b SEGB'!U34=0,"-",'2b SEGB'!U34)</f>
        <v>-</v>
      </c>
    </row>
    <row r="21" spans="2:22" s="41" customFormat="1" ht="12.4" x14ac:dyDescent="0.3">
      <c r="B21" s="229"/>
      <c r="C21" s="231"/>
      <c r="D21" s="43" t="s">
        <v>396</v>
      </c>
      <c r="E21" s="113" t="s">
        <v>418</v>
      </c>
      <c r="F21" s="205"/>
      <c r="G21" s="53">
        <f>IF('2d SMICoP'!F19=0,"-",'2d SMICoP'!F19)</f>
        <v>4.8255095738109948E-3</v>
      </c>
      <c r="H21" s="53">
        <f>IF('2d SMICoP'!G19=0,"-",'2d SMICoP'!G19)</f>
        <v>4.8255095738109948E-3</v>
      </c>
      <c r="I21" s="53">
        <f>IF('2d SMICoP'!H19=0,"-",'2d SMICoP'!H19)</f>
        <v>4.8255095738109948E-3</v>
      </c>
      <c r="J21" s="53">
        <f>IF('2d SMICoP'!I19=0,"-",'2d SMICoP'!I19)</f>
        <v>4.8255095738109948E-3</v>
      </c>
      <c r="K21" s="35"/>
      <c r="L21" s="53">
        <f>IF('2d SMICoP'!K19=0,"-",'2d SMICoP'!K19)</f>
        <v>4.8255095738109948E-3</v>
      </c>
      <c r="M21" s="53">
        <f>IF('2d SMICoP'!L19=0,"-",'2d SMICoP'!L19)</f>
        <v>4.792117924437885E-3</v>
      </c>
      <c r="N21" s="53">
        <f>IF('2d SMICoP'!M19=0,"-",'2d SMICoP'!M19)</f>
        <v>4.792117924437885E-3</v>
      </c>
      <c r="O21" s="53">
        <f>IF('2d SMICoP'!N19=0,"-",'2d SMICoP'!N19)</f>
        <v>4.7547499952452499E-3</v>
      </c>
      <c r="P21" s="53">
        <f>IF('2d SMICoP'!O19=0,"-",'2d SMICoP'!O19)</f>
        <v>4.7547499952452499E-3</v>
      </c>
      <c r="Q21" s="53" t="str">
        <f>IF('2d SMICoP'!P19=0,"-",'2d SMICoP'!P19)</f>
        <v>-</v>
      </c>
      <c r="R21" s="53" t="str">
        <f>IF('2d SMICoP'!Q19=0,"-",'2d SMICoP'!Q19)</f>
        <v>-</v>
      </c>
      <c r="S21" s="53" t="str">
        <f>IF('2d SMICoP'!R19=0,"-",'2d SMICoP'!R19)</f>
        <v>-</v>
      </c>
      <c r="T21" s="53" t="str">
        <f>IF('2d SMICoP'!S19=0,"-",'2d SMICoP'!S19)</f>
        <v>-</v>
      </c>
      <c r="U21" s="53" t="str">
        <f>IF('2d SMICoP'!T19=0,"-",'2d SMICoP'!T19)</f>
        <v>-</v>
      </c>
      <c r="V21" s="53" t="str">
        <f>IF('2d SMICoP'!U19=0,"-",'2d SMICoP'!U19)</f>
        <v>-</v>
      </c>
    </row>
    <row r="22" spans="2:22" s="41" customFormat="1" ht="12.4" x14ac:dyDescent="0.3">
      <c r="B22" s="229"/>
      <c r="C22" s="231"/>
      <c r="D22" s="79" t="s">
        <v>413</v>
      </c>
      <c r="E22" s="113" t="s">
        <v>418</v>
      </c>
      <c r="F22" s="205"/>
      <c r="G22" s="53">
        <f>IF(SUM(G19:G21)=0,"-",SUM(G19:G21))</f>
        <v>5.5074132982916684</v>
      </c>
      <c r="H22" s="53">
        <f t="shared" ref="H22:L22" si="11">IF(SUM(H19:H21)=0,"-",SUM(H19:H21))</f>
        <v>5.4290711612189249</v>
      </c>
      <c r="I22" s="53">
        <f t="shared" si="11"/>
        <v>7.5579965901146409</v>
      </c>
      <c r="J22" s="53">
        <f t="shared" si="11"/>
        <v>7.67216698057105</v>
      </c>
      <c r="K22" s="35"/>
      <c r="L22" s="53">
        <f t="shared" si="11"/>
        <v>7.67216698057105</v>
      </c>
      <c r="M22" s="53">
        <f t="shared" ref="M22" si="12">IF(SUM(M19:M21)=0,"-",SUM(M19:M21))</f>
        <v>9.7121770542895192</v>
      </c>
      <c r="N22" s="53">
        <f t="shared" ref="N22" si="13">IF(SUM(N19:N21)=0,"-",SUM(N19:N21))</f>
        <v>9.5023653600666744</v>
      </c>
      <c r="O22" s="53">
        <f>IF(SUM(O19:O21)=0,"-",SUM(O19:O21))</f>
        <v>11.243820822809798</v>
      </c>
      <c r="P22" s="53">
        <f t="shared" ref="P22" si="14">IF(SUM(P19:P21)=0,"-",SUM(P19:P21))</f>
        <v>10.546841743645116</v>
      </c>
      <c r="Q22" s="53" t="str">
        <f t="shared" ref="Q22" si="15">IF(SUM(Q19:Q21)=0,"-",SUM(Q19:Q21))</f>
        <v>-</v>
      </c>
      <c r="R22" s="53" t="str">
        <f t="shared" ref="R22" si="16">IF(SUM(R19:R21)=0,"-",SUM(R19:R21))</f>
        <v>-</v>
      </c>
      <c r="S22" s="53" t="str">
        <f t="shared" ref="S22" si="17">IF(SUM(S19:S21)=0,"-",SUM(S19:S21))</f>
        <v>-</v>
      </c>
      <c r="T22" s="53" t="str">
        <f t="shared" ref="T22" si="18">IF(SUM(T19:T21)=0,"-",SUM(T19:T21))</f>
        <v>-</v>
      </c>
      <c r="U22" s="53" t="str">
        <f t="shared" ref="U22" si="19">IF(SUM(U19:U21)=0,"-",SUM(U19:U21))</f>
        <v>-</v>
      </c>
      <c r="V22" s="53" t="str">
        <f t="shared" ref="V22" si="20">IF(SUM(V19:V21)=0,"-",SUM(V19:V21))</f>
        <v>-</v>
      </c>
    </row>
    <row r="23" spans="2:22" s="41" customFormat="1" ht="12.4" x14ac:dyDescent="0.3">
      <c r="B23" s="229"/>
      <c r="C23" s="231"/>
      <c r="D23" s="45" t="s">
        <v>392</v>
      </c>
      <c r="E23" s="45" t="s">
        <v>393</v>
      </c>
      <c r="F23" s="205"/>
      <c r="G23" s="53">
        <f>G17</f>
        <v>1</v>
      </c>
      <c r="H23" s="53">
        <f t="shared" ref="H23:V23" si="21">H17</f>
        <v>1.0127201565557731</v>
      </c>
      <c r="I23" s="53">
        <f t="shared" si="21"/>
        <v>1.0273972602739725</v>
      </c>
      <c r="J23" s="53">
        <f t="shared" si="21"/>
        <v>1.0362035225048924</v>
      </c>
      <c r="K23" s="35"/>
      <c r="L23" s="53">
        <f t="shared" si="21"/>
        <v>1.0362035225048924</v>
      </c>
      <c r="M23" s="53">
        <f t="shared" si="21"/>
        <v>1.047945205479452</v>
      </c>
      <c r="N23" s="53">
        <f t="shared" si="21"/>
        <v>1.0557729941291585</v>
      </c>
      <c r="O23" s="53">
        <f>O17</f>
        <v>1.0616438356164384</v>
      </c>
      <c r="P23" s="53">
        <f t="shared" si="21"/>
        <v>1.0645792563600782</v>
      </c>
      <c r="Q23" s="53" t="str">
        <f t="shared" si="21"/>
        <v>-</v>
      </c>
      <c r="R23" s="53" t="str">
        <f t="shared" si="21"/>
        <v>-</v>
      </c>
      <c r="S23" s="53" t="str">
        <f t="shared" si="21"/>
        <v>-</v>
      </c>
      <c r="T23" s="53" t="str">
        <f t="shared" si="21"/>
        <v>-</v>
      </c>
      <c r="U23" s="53" t="str">
        <f t="shared" si="21"/>
        <v>-</v>
      </c>
      <c r="V23" s="53" t="str">
        <f t="shared" si="21"/>
        <v>-</v>
      </c>
    </row>
    <row r="24" spans="2:22" s="41" customFormat="1" ht="12.4" x14ac:dyDescent="0.3">
      <c r="B24" s="195"/>
      <c r="C24" s="232"/>
      <c r="D24" s="45" t="s">
        <v>397</v>
      </c>
      <c r="E24" s="113" t="s">
        <v>418</v>
      </c>
      <c r="F24" s="197"/>
      <c r="G24" s="53">
        <f>IF(G22="-","-",G22-($G$22*G23))</f>
        <v>0</v>
      </c>
      <c r="H24" s="53">
        <f t="shared" ref="H24:J24" si="22">IF(H22="-","-",H22-($G$22*H23))</f>
        <v>-0.14839729644435984</v>
      </c>
      <c r="I24" s="53">
        <f t="shared" si="22"/>
        <v>1.899695256253338</v>
      </c>
      <c r="J24" s="53">
        <f t="shared" si="22"/>
        <v>1.9653659209909353</v>
      </c>
      <c r="K24" s="35"/>
      <c r="L24" s="53">
        <f>IF(L22="-","-",L22-($G$22*L23))</f>
        <v>1.9653659209909353</v>
      </c>
      <c r="M24" s="53">
        <f t="shared" ref="M24" si="23">IF(M22="-","-",M22-($G$22*M23))</f>
        <v>3.94070969375099</v>
      </c>
      <c r="N24" s="53">
        <f t="shared" ref="N24" si="24">IF(N22="-","-",N22-($G$22*N23))</f>
        <v>3.6877871322225353</v>
      </c>
      <c r="O24" s="53">
        <f>IF(O22="-","-",O22-($G$22*O23))</f>
        <v>5.396909444486452</v>
      </c>
      <c r="P24" s="53">
        <f t="shared" ref="P24" si="25">IF(P22="-","-",P22-($G$22*P23))</f>
        <v>4.6837637900821658</v>
      </c>
      <c r="Q24" s="53" t="str">
        <f t="shared" ref="Q24" si="26">IF(Q22="-","-",Q22-($G$22*Q23))</f>
        <v>-</v>
      </c>
      <c r="R24" s="53" t="str">
        <f t="shared" ref="R24" si="27">IF(R22="-","-",R22-($G$22*R23))</f>
        <v>-</v>
      </c>
      <c r="S24" s="53" t="str">
        <f t="shared" ref="S24" si="28">IF(S22="-","-",S22-($G$22*S23))</f>
        <v>-</v>
      </c>
      <c r="T24" s="53" t="str">
        <f t="shared" ref="T24" si="29">IF(T22="-","-",T22-($G$22*T23))</f>
        <v>-</v>
      </c>
      <c r="U24" s="53" t="str">
        <f t="shared" ref="U24" si="30">IF(U22="-","-",U22-($G$22*U23))</f>
        <v>-</v>
      </c>
      <c r="V24" s="53" t="str">
        <f t="shared" ref="V24" si="31">IF(V22="-","-",V22-($G$22*V23))</f>
        <v>-</v>
      </c>
    </row>
    <row r="25" spans="2:22" s="41" customFormat="1" ht="12.4" x14ac:dyDescent="0.3"/>
    <row r="26" spans="2:22" s="41" customFormat="1" ht="12.4" x14ac:dyDescent="0.3">
      <c r="B26" s="46" t="s">
        <v>476</v>
      </c>
      <c r="C26" s="46"/>
    </row>
    <row r="27" spans="2:22" s="41" customFormat="1" ht="12.4" x14ac:dyDescent="0.3">
      <c r="B27" s="46"/>
      <c r="C27" s="46"/>
    </row>
    <row r="28" spans="2:22" s="34" customFormat="1" ht="25.5" customHeight="1" x14ac:dyDescent="0.3">
      <c r="B28" s="54" t="s">
        <v>63</v>
      </c>
      <c r="C28" s="173" t="s">
        <v>527</v>
      </c>
      <c r="D28" s="54" t="s">
        <v>12</v>
      </c>
      <c r="E28" s="54" t="s">
        <v>10</v>
      </c>
      <c r="F28" s="54" t="s">
        <v>145</v>
      </c>
      <c r="G28" s="202"/>
      <c r="H28" s="203"/>
      <c r="I28" s="204"/>
      <c r="J28" s="42" t="s">
        <v>108</v>
      </c>
      <c r="K28" s="35"/>
      <c r="L28" s="81" t="s">
        <v>414</v>
      </c>
      <c r="M28" s="42" t="s">
        <v>36</v>
      </c>
      <c r="N28" s="42" t="s">
        <v>37</v>
      </c>
      <c r="O28" s="42" t="s">
        <v>38</v>
      </c>
      <c r="P28" s="42" t="s">
        <v>39</v>
      </c>
      <c r="Q28" s="42" t="s">
        <v>40</v>
      </c>
      <c r="R28" s="42" t="s">
        <v>41</v>
      </c>
      <c r="S28" s="42" t="s">
        <v>42</v>
      </c>
      <c r="T28" s="42" t="s">
        <v>43</v>
      </c>
      <c r="U28" s="42" t="s">
        <v>44</v>
      </c>
      <c r="V28" s="42" t="s">
        <v>45</v>
      </c>
    </row>
    <row r="29" spans="2:22" s="41" customFormat="1" ht="12.4" x14ac:dyDescent="0.3">
      <c r="B29" s="113" t="s">
        <v>420</v>
      </c>
      <c r="C29" s="184" t="s">
        <v>529</v>
      </c>
      <c r="D29" s="206" t="s">
        <v>419</v>
      </c>
      <c r="E29" s="194" t="s">
        <v>418</v>
      </c>
      <c r="F29" s="196"/>
      <c r="G29" s="186"/>
      <c r="H29" s="187"/>
      <c r="I29" s="188"/>
      <c r="J29" s="78">
        <f>IF('2a Non pass-through costs'!G7=0,"-",'2a Non pass-through costs'!G7)</f>
        <v>9.02</v>
      </c>
      <c r="K29" s="35"/>
      <c r="L29" s="78">
        <f>IF('2a Non pass-through costs'!I7=0,"-",'2a Non pass-through costs'!I7)</f>
        <v>9.02</v>
      </c>
      <c r="M29" s="78">
        <f>IF('2a Non pass-through costs'!J7=0,"-",'2a Non pass-through costs'!J7)</f>
        <v>9.02</v>
      </c>
      <c r="N29" s="78">
        <f>IF('2a Non pass-through costs'!K7=0,"-",'2a Non pass-through costs'!K7)</f>
        <v>9.26</v>
      </c>
      <c r="O29" s="78">
        <f>IF('2a Non pass-through costs'!L7=0,"-",'2a Non pass-through costs'!L7)</f>
        <v>9.4986124349857892</v>
      </c>
      <c r="P29" s="78">
        <f>IF('2a Non pass-through costs'!M7=0,"-",'2a Non pass-through costs'!M7)</f>
        <v>10.64014630951915</v>
      </c>
      <c r="Q29" s="78">
        <f>IF('2a Non pass-through costs'!N7=0,"-",'2a Non pass-through costs'!N7)</f>
        <v>10.64014630951915</v>
      </c>
      <c r="R29" s="78">
        <f>IF('2a Non pass-through costs'!O7=0,"-",'2a Non pass-through costs'!O7)</f>
        <v>7.6944793033569141</v>
      </c>
      <c r="S29" s="78">
        <f>IF('2a Non pass-through costs'!P7=0,"-",'2a Non pass-through costs'!P7)</f>
        <v>7.9018139478292184</v>
      </c>
      <c r="T29" s="78">
        <f>IF('2a Non pass-through costs'!Q7=0,"-",'2a Non pass-through costs'!Q7)</f>
        <v>8.3507132953021515</v>
      </c>
      <c r="U29" s="78">
        <f>IF('2a Non pass-through costs'!R7=0,"-",'2a Non pass-through costs'!R7)</f>
        <v>8.7996126427750845</v>
      </c>
      <c r="V29" s="78">
        <f>IF('2a Non pass-through costs'!S7=0,"-",'2a Non pass-through costs'!S7)</f>
        <v>8.7996126427750845</v>
      </c>
    </row>
    <row r="30" spans="2:22" s="41" customFormat="1" ht="12.4" x14ac:dyDescent="0.3">
      <c r="B30" s="43" t="s">
        <v>0</v>
      </c>
      <c r="C30" s="185"/>
      <c r="D30" s="195"/>
      <c r="E30" s="195"/>
      <c r="F30" s="197"/>
      <c r="G30" s="189"/>
      <c r="H30" s="190"/>
      <c r="I30" s="191"/>
      <c r="J30" s="78">
        <f>IF('2a Non pass-through costs'!G8=0,"-",'2a Non pass-through costs'!G8)</f>
        <v>10.7</v>
      </c>
      <c r="K30" s="35"/>
      <c r="L30" s="78">
        <f>IF('2a Non pass-through costs'!I8=0,"-",'2a Non pass-through costs'!I8)</f>
        <v>10.7</v>
      </c>
      <c r="M30" s="78">
        <f>IF('2a Non pass-through costs'!J8=0,"-",'2a Non pass-through costs'!J8)</f>
        <v>10.7</v>
      </c>
      <c r="N30" s="78">
        <f>IF('2a Non pass-through costs'!K8=0,"-",'2a Non pass-through costs'!K8)</f>
        <v>11.24</v>
      </c>
      <c r="O30" s="78">
        <f>IF('2a Non pass-through costs'!L8=0,"-",'2a Non pass-through costs'!L8)</f>
        <v>11.773847615869055</v>
      </c>
      <c r="P30" s="78">
        <f>IF('2a Non pass-through costs'!M8=0,"-",'2a Non pass-through costs'!M8)</f>
        <v>6.4812260764723026</v>
      </c>
      <c r="Q30" s="78">
        <f>IF('2a Non pass-through costs'!N8=0,"-",'2a Non pass-through costs'!N8)</f>
        <v>6.4812260764723026</v>
      </c>
      <c r="R30" s="78">
        <f>IF('2a Non pass-through costs'!O8=0,"-",'2a Non pass-through costs'!O8)</f>
        <v>3.6788065445918017</v>
      </c>
      <c r="S30" s="78">
        <f>IF('2a Non pass-through costs'!P8=0,"-",'2a Non pass-through costs'!P8)</f>
        <v>3.2535172151475695</v>
      </c>
      <c r="T30" s="78">
        <f>IF('2a Non pass-through costs'!Q8=0,"-",'2a Non pass-through costs'!Q8)</f>
        <v>3.0409903107005687</v>
      </c>
      <c r="U30" s="78">
        <f>IF('2a Non pass-through costs'!R8=0,"-",'2a Non pass-through costs'!R8)</f>
        <v>2.8284634062535678</v>
      </c>
      <c r="V30" s="78">
        <f>IF('2a Non pass-through costs'!S8=0,"-",'2a Non pass-through costs'!S8)</f>
        <v>2.8284634062535678</v>
      </c>
    </row>
    <row r="31" spans="2:22" s="41" customFormat="1" ht="12.4" x14ac:dyDescent="0.3">
      <c r="B31" s="113" t="s">
        <v>420</v>
      </c>
      <c r="C31" s="184" t="s">
        <v>530</v>
      </c>
      <c r="D31" s="206" t="s">
        <v>419</v>
      </c>
      <c r="E31" s="194" t="s">
        <v>418</v>
      </c>
      <c r="F31" s="196"/>
      <c r="G31" s="186"/>
      <c r="H31" s="187"/>
      <c r="I31" s="188"/>
      <c r="J31" s="78" t="str">
        <f>IF('2a Non pass-through costs'!G9="","-",'2a Non pass-through costs'!G9)</f>
        <v>-</v>
      </c>
      <c r="K31" s="35"/>
      <c r="L31" s="78" t="str">
        <f>IF('2a Non pass-through costs'!I9="","-",'2a Non pass-through costs'!I9)</f>
        <v>-</v>
      </c>
      <c r="M31" s="78" t="str">
        <f>IF('2a Non pass-through costs'!J9="","-",'2a Non pass-through costs'!J9)</f>
        <v>-</v>
      </c>
      <c r="N31" s="78" t="str">
        <f>IF('2a Non pass-through costs'!K9="","-",'2a Non pass-through costs'!K9)</f>
        <v>-</v>
      </c>
      <c r="O31" s="78" t="str">
        <f>IF('2a Non pass-through costs'!L9="","-",'2a Non pass-through costs'!L9)</f>
        <v>-</v>
      </c>
      <c r="P31" s="78">
        <f>IF('2a Non pass-through costs'!M9="","-",'2a Non pass-through costs'!M9)</f>
        <v>0</v>
      </c>
      <c r="Q31" s="78">
        <f>IF('2a Non pass-through costs'!N9="","-",'2a Non pass-through costs'!N9)</f>
        <v>0</v>
      </c>
      <c r="R31" s="78" t="str">
        <f>IF('2a Non pass-through costs'!O9="","-",'2a Non pass-through costs'!O9)</f>
        <v>-</v>
      </c>
      <c r="S31" s="78" t="str">
        <f>IF('2a Non pass-through costs'!P9="","-",'2a Non pass-through costs'!P9)</f>
        <v>-</v>
      </c>
      <c r="T31" s="78" t="str">
        <f>IF('2a Non pass-through costs'!Q9="","-",'2a Non pass-through costs'!Q9)</f>
        <v>-</v>
      </c>
      <c r="U31" s="78" t="str">
        <f>IF('2a Non pass-through costs'!R9="","-",'2a Non pass-through costs'!R9)</f>
        <v>-</v>
      </c>
      <c r="V31" s="78" t="str">
        <f>IF('2a Non pass-through costs'!S9="","-",'2a Non pass-through costs'!S9)</f>
        <v>-</v>
      </c>
    </row>
    <row r="32" spans="2:22" s="41" customFormat="1" ht="12.4" x14ac:dyDescent="0.3">
      <c r="B32" s="43" t="s">
        <v>0</v>
      </c>
      <c r="C32" s="185"/>
      <c r="D32" s="195"/>
      <c r="E32" s="195"/>
      <c r="F32" s="197"/>
      <c r="G32" s="189"/>
      <c r="H32" s="190"/>
      <c r="I32" s="191"/>
      <c r="J32" s="78" t="str">
        <f>IF('2a Non pass-through costs'!G10="","-",'2a Non pass-through costs'!G10)</f>
        <v>-</v>
      </c>
      <c r="K32" s="35"/>
      <c r="L32" s="78" t="str">
        <f>IF('2a Non pass-through costs'!I10="","-",'2a Non pass-through costs'!I10)</f>
        <v>-</v>
      </c>
      <c r="M32" s="78" t="str">
        <f>IF('2a Non pass-through costs'!J10="","-",'2a Non pass-through costs'!J10)</f>
        <v>-</v>
      </c>
      <c r="N32" s="78" t="str">
        <f>IF('2a Non pass-through costs'!K10="","-",'2a Non pass-through costs'!K10)</f>
        <v>-</v>
      </c>
      <c r="O32" s="78" t="str">
        <f>IF('2a Non pass-through costs'!L10="","-",'2a Non pass-through costs'!L10)</f>
        <v>-</v>
      </c>
      <c r="P32" s="78">
        <f>IF('2a Non pass-through costs'!M10="","-",'2a Non pass-through costs'!M10)</f>
        <v>0</v>
      </c>
      <c r="Q32" s="78">
        <f>IF('2a Non pass-through costs'!N10="","-",'2a Non pass-through costs'!N10)</f>
        <v>0</v>
      </c>
      <c r="R32" s="78" t="str">
        <f>IF('2a Non pass-through costs'!O10="","-",'2a Non pass-through costs'!O10)</f>
        <v>-</v>
      </c>
      <c r="S32" s="78" t="str">
        <f>IF('2a Non pass-through costs'!P10="","-",'2a Non pass-through costs'!P10)</f>
        <v>-</v>
      </c>
      <c r="T32" s="78" t="str">
        <f>IF('2a Non pass-through costs'!Q10="","-",'2a Non pass-through costs'!Q10)</f>
        <v>-</v>
      </c>
      <c r="U32" s="78" t="str">
        <f>IF('2a Non pass-through costs'!R10="","-",'2a Non pass-through costs'!R10)</f>
        <v>-</v>
      </c>
      <c r="V32" s="78" t="str">
        <f>IF('2a Non pass-through costs'!S10="","-",'2a Non pass-through costs'!S10)</f>
        <v>-</v>
      </c>
    </row>
    <row r="33" spans="2:22" s="41" customFormat="1" ht="12.4" x14ac:dyDescent="0.3"/>
    <row r="34" spans="2:22" s="41" customFormat="1" ht="12.4" x14ac:dyDescent="0.3"/>
    <row r="35" spans="2:22" s="41" customFormat="1" ht="12.4" x14ac:dyDescent="0.3">
      <c r="B35" s="48" t="s">
        <v>457</v>
      </c>
      <c r="C35" s="48"/>
    </row>
    <row r="36" spans="2:22" s="41" customFormat="1" ht="12.4" x14ac:dyDescent="0.3">
      <c r="B36" s="48"/>
      <c r="C36" s="48"/>
    </row>
    <row r="37" spans="2:22" s="34" customFormat="1" ht="31.5" customHeight="1" x14ac:dyDescent="0.3">
      <c r="B37" s="54" t="s">
        <v>63</v>
      </c>
      <c r="C37" s="173" t="s">
        <v>527</v>
      </c>
      <c r="D37" s="54" t="s">
        <v>12</v>
      </c>
      <c r="E37" s="49" t="s">
        <v>10</v>
      </c>
      <c r="F37" s="49" t="s">
        <v>145</v>
      </c>
      <c r="G37" s="42" t="s">
        <v>64</v>
      </c>
      <c r="H37" s="42" t="s">
        <v>65</v>
      </c>
      <c r="I37" s="42" t="s">
        <v>35</v>
      </c>
      <c r="J37" s="42" t="s">
        <v>108</v>
      </c>
      <c r="K37" s="35"/>
      <c r="L37" s="81" t="s">
        <v>414</v>
      </c>
      <c r="M37" s="42" t="s">
        <v>36</v>
      </c>
      <c r="N37" s="42" t="s">
        <v>37</v>
      </c>
      <c r="O37" s="42" t="s">
        <v>38</v>
      </c>
      <c r="P37" s="42" t="s">
        <v>39</v>
      </c>
      <c r="Q37" s="42" t="s">
        <v>40</v>
      </c>
      <c r="R37" s="42" t="s">
        <v>41</v>
      </c>
      <c r="S37" s="42" t="s">
        <v>42</v>
      </c>
      <c r="T37" s="42" t="s">
        <v>43</v>
      </c>
      <c r="U37" s="42" t="s">
        <v>44</v>
      </c>
      <c r="V37" s="42" t="s">
        <v>45</v>
      </c>
    </row>
    <row r="38" spans="2:22" s="41" customFormat="1" ht="12.4" x14ac:dyDescent="0.3">
      <c r="B38" s="113" t="s">
        <v>420</v>
      </c>
      <c r="C38" s="184" t="s">
        <v>529</v>
      </c>
      <c r="D38" s="192" t="s">
        <v>456</v>
      </c>
      <c r="E38" s="194" t="s">
        <v>418</v>
      </c>
      <c r="F38" s="196"/>
      <c r="G38" s="51">
        <f>IFERROR((G18+G29),"-")</f>
        <v>0</v>
      </c>
      <c r="H38" s="53">
        <f t="shared" ref="H38:J38" si="32">IFERROR((H18+H29),"-")</f>
        <v>-0.18995111249132623</v>
      </c>
      <c r="I38" s="53">
        <f t="shared" si="32"/>
        <v>2.3898870370752556</v>
      </c>
      <c r="J38" s="53">
        <f t="shared" si="32"/>
        <v>11.485481460604181</v>
      </c>
      <c r="K38" s="35"/>
      <c r="L38" s="53">
        <f t="shared" ref="L38:V38" si="33">IFERROR((L18+L29),"-")</f>
        <v>11.485481460604181</v>
      </c>
      <c r="M38" s="53">
        <f t="shared" si="33"/>
        <v>13.905095596481768</v>
      </c>
      <c r="N38" s="53">
        <f t="shared" si="33"/>
        <v>14.008016342776511</v>
      </c>
      <c r="O38" s="53">
        <f>IFERROR((O18+O29),"-")</f>
        <v>16.592254432324484</v>
      </c>
      <c r="P38" s="53">
        <f t="shared" si="33"/>
        <v>16.855736391237045</v>
      </c>
      <c r="Q38" s="53" t="str">
        <f t="shared" si="33"/>
        <v>-</v>
      </c>
      <c r="R38" s="53" t="str">
        <f t="shared" si="33"/>
        <v>-</v>
      </c>
      <c r="S38" s="53" t="str">
        <f t="shared" si="33"/>
        <v>-</v>
      </c>
      <c r="T38" s="53" t="str">
        <f t="shared" si="33"/>
        <v>-</v>
      </c>
      <c r="U38" s="53" t="str">
        <f t="shared" si="33"/>
        <v>-</v>
      </c>
      <c r="V38" s="53" t="str">
        <f t="shared" si="33"/>
        <v>-</v>
      </c>
    </row>
    <row r="39" spans="2:22" s="41" customFormat="1" ht="12.4" x14ac:dyDescent="0.3">
      <c r="B39" s="43" t="s">
        <v>0</v>
      </c>
      <c r="C39" s="185"/>
      <c r="D39" s="193"/>
      <c r="E39" s="195"/>
      <c r="F39" s="197"/>
      <c r="G39" s="51">
        <f>IFERROR(G24+G30,"-")</f>
        <v>0</v>
      </c>
      <c r="H39" s="53">
        <f t="shared" ref="H39:V39" si="34">IFERROR(H24+H30,"-")</f>
        <v>-0.14839729644435984</v>
      </c>
      <c r="I39" s="53">
        <f t="shared" si="34"/>
        <v>1.899695256253338</v>
      </c>
      <c r="J39" s="53">
        <f t="shared" si="34"/>
        <v>12.665365920990935</v>
      </c>
      <c r="K39" s="35"/>
      <c r="L39" s="53">
        <f t="shared" si="34"/>
        <v>12.665365920990935</v>
      </c>
      <c r="M39" s="53">
        <f t="shared" si="34"/>
        <v>14.640709693750988</v>
      </c>
      <c r="N39" s="53">
        <f t="shared" si="34"/>
        <v>14.927787132222536</v>
      </c>
      <c r="O39" s="53">
        <f>IFERROR(O24+O30,"-")</f>
        <v>17.170757060355506</v>
      </c>
      <c r="P39" s="53">
        <f t="shared" si="34"/>
        <v>11.164989866554468</v>
      </c>
      <c r="Q39" s="53" t="str">
        <f t="shared" si="34"/>
        <v>-</v>
      </c>
      <c r="R39" s="53" t="str">
        <f t="shared" si="34"/>
        <v>-</v>
      </c>
      <c r="S39" s="53" t="str">
        <f t="shared" si="34"/>
        <v>-</v>
      </c>
      <c r="T39" s="53" t="str">
        <f t="shared" si="34"/>
        <v>-</v>
      </c>
      <c r="U39" s="53" t="str">
        <f t="shared" si="34"/>
        <v>-</v>
      </c>
      <c r="V39" s="53" t="str">
        <f t="shared" si="34"/>
        <v>-</v>
      </c>
    </row>
    <row r="40" spans="2:22" s="41" customFormat="1" ht="12.4" x14ac:dyDescent="0.3">
      <c r="B40" s="113" t="s">
        <v>420</v>
      </c>
      <c r="C40" s="184" t="s">
        <v>530</v>
      </c>
      <c r="D40" s="192" t="s">
        <v>456</v>
      </c>
      <c r="E40" s="194" t="s">
        <v>418</v>
      </c>
      <c r="F40" s="196"/>
      <c r="G40" s="178">
        <f>IFERROR((G18+G31),G18)</f>
        <v>0</v>
      </c>
      <c r="H40" s="178">
        <f t="shared" ref="H40:J40" si="35">IFERROR((H18+H31),H18)</f>
        <v>-0.18995111249132623</v>
      </c>
      <c r="I40" s="178">
        <f t="shared" si="35"/>
        <v>2.3898870370752556</v>
      </c>
      <c r="J40" s="178">
        <f t="shared" si="35"/>
        <v>2.4654814606041811</v>
      </c>
      <c r="K40" s="179">
        <f t="shared" ref="K40" si="36">IFERROR((K18+K31),"-")</f>
        <v>0</v>
      </c>
      <c r="L40" s="53">
        <f>IFERROR((L18+L31),L18)</f>
        <v>2.4654814606041811</v>
      </c>
      <c r="M40" s="53">
        <f t="shared" ref="M40:V40" si="37">IFERROR((M18+M31),M18)</f>
        <v>4.8850955964817686</v>
      </c>
      <c r="N40" s="53">
        <f t="shared" si="37"/>
        <v>4.7480163427765101</v>
      </c>
      <c r="O40" s="53">
        <f t="shared" si="37"/>
        <v>7.093641997338695</v>
      </c>
      <c r="P40" s="53">
        <f t="shared" si="37"/>
        <v>6.2155900817178944</v>
      </c>
      <c r="Q40" s="53" t="str">
        <f t="shared" si="37"/>
        <v>-</v>
      </c>
      <c r="R40" s="53" t="str">
        <f t="shared" si="37"/>
        <v>-</v>
      </c>
      <c r="S40" s="53" t="str">
        <f t="shared" si="37"/>
        <v>-</v>
      </c>
      <c r="T40" s="53" t="str">
        <f t="shared" si="37"/>
        <v>-</v>
      </c>
      <c r="U40" s="53" t="str">
        <f t="shared" si="37"/>
        <v>-</v>
      </c>
      <c r="V40" s="53" t="str">
        <f t="shared" si="37"/>
        <v>-</v>
      </c>
    </row>
    <row r="41" spans="2:22" s="41" customFormat="1" ht="12.4" x14ac:dyDescent="0.3">
      <c r="B41" s="43" t="s">
        <v>0</v>
      </c>
      <c r="C41" s="185"/>
      <c r="D41" s="193"/>
      <c r="E41" s="195"/>
      <c r="F41" s="197"/>
      <c r="G41" s="178">
        <f t="shared" ref="G41:I41" si="38">IFERROR((G24+G32),G24)</f>
        <v>0</v>
      </c>
      <c r="H41" s="178">
        <f t="shared" si="38"/>
        <v>-0.14839729644435984</v>
      </c>
      <c r="I41" s="178">
        <f t="shared" si="38"/>
        <v>1.899695256253338</v>
      </c>
      <c r="J41" s="178">
        <f>IFERROR((J24+J32),J24)</f>
        <v>1.9653659209909353</v>
      </c>
      <c r="K41" s="179">
        <f t="shared" ref="K41" si="39">IFERROR(K24+K32,"-")</f>
        <v>0</v>
      </c>
      <c r="L41" s="53">
        <f>IFERROR(L24+L32,L24)</f>
        <v>1.9653659209909353</v>
      </c>
      <c r="M41" s="53">
        <f t="shared" ref="M41:V41" si="40">IFERROR(M24+M32,M24)</f>
        <v>3.94070969375099</v>
      </c>
      <c r="N41" s="53">
        <f t="shared" si="40"/>
        <v>3.6877871322225353</v>
      </c>
      <c r="O41" s="53">
        <f t="shared" si="40"/>
        <v>5.396909444486452</v>
      </c>
      <c r="P41" s="53">
        <f t="shared" si="40"/>
        <v>4.6837637900821658</v>
      </c>
      <c r="Q41" s="53" t="str">
        <f t="shared" si="40"/>
        <v>-</v>
      </c>
      <c r="R41" s="53" t="str">
        <f t="shared" si="40"/>
        <v>-</v>
      </c>
      <c r="S41" s="53" t="str">
        <f t="shared" si="40"/>
        <v>-</v>
      </c>
      <c r="T41" s="53" t="str">
        <f t="shared" si="40"/>
        <v>-</v>
      </c>
      <c r="U41" s="53" t="str">
        <f t="shared" si="40"/>
        <v>-</v>
      </c>
      <c r="V41" s="53" t="str">
        <f t="shared" si="40"/>
        <v>-</v>
      </c>
    </row>
    <row r="42" spans="2:22" s="41" customFormat="1" ht="12.4" x14ac:dyDescent="0.3"/>
    <row r="43" spans="2:22" s="41" customFormat="1" ht="12.4" x14ac:dyDescent="0.3">
      <c r="B43" s="118" t="s">
        <v>458</v>
      </c>
      <c r="C43" s="118"/>
      <c r="D43" s="119"/>
      <c r="E43" s="119"/>
      <c r="F43" s="119"/>
      <c r="G43" s="119"/>
      <c r="H43" s="119"/>
      <c r="I43" s="119"/>
      <c r="J43" s="119"/>
      <c r="K43" s="119"/>
      <c r="L43" s="119"/>
      <c r="M43" s="119"/>
      <c r="N43" s="119"/>
      <c r="O43" s="119"/>
      <c r="P43" s="119"/>
      <c r="Q43" s="119"/>
      <c r="R43" s="119"/>
      <c r="S43" s="119"/>
      <c r="T43" s="119"/>
      <c r="U43" s="119"/>
      <c r="V43" s="119"/>
    </row>
    <row r="44" spans="2:22" s="41" customFormat="1" ht="12.4" x14ac:dyDescent="0.3">
      <c r="B44" s="118"/>
      <c r="C44" s="118"/>
      <c r="D44" s="119"/>
      <c r="E44" s="119"/>
      <c r="F44" s="119"/>
      <c r="G44" s="119"/>
      <c r="H44" s="119"/>
      <c r="I44" s="119"/>
      <c r="J44" s="119"/>
      <c r="K44" s="119"/>
      <c r="L44" s="119"/>
      <c r="M44" s="119"/>
      <c r="N44" s="119"/>
      <c r="O44" s="119"/>
      <c r="P44" s="119"/>
      <c r="Q44" s="119"/>
      <c r="R44" s="119"/>
      <c r="S44" s="119"/>
      <c r="T44" s="119"/>
      <c r="U44" s="119"/>
      <c r="V44" s="119"/>
    </row>
    <row r="45" spans="2:22" s="41" customFormat="1" ht="24.75" x14ac:dyDescent="0.3">
      <c r="B45" s="120" t="s">
        <v>452</v>
      </c>
      <c r="C45" s="120"/>
      <c r="D45" s="131" t="s">
        <v>462</v>
      </c>
      <c r="E45" s="121">
        <f>'2f Scaling factor'!E6</f>
        <v>0.69</v>
      </c>
      <c r="F45" s="119"/>
      <c r="G45" s="119"/>
      <c r="H45" s="119"/>
      <c r="I45" s="119"/>
      <c r="J45" s="119"/>
      <c r="K45" s="119"/>
      <c r="L45" s="119"/>
      <c r="M45" s="119"/>
      <c r="N45" s="119"/>
      <c r="O45" s="119"/>
      <c r="P45" s="119"/>
      <c r="Q45" s="119"/>
      <c r="R45" s="119"/>
      <c r="S45" s="119"/>
      <c r="T45" s="119"/>
      <c r="U45" s="119"/>
      <c r="V45" s="119"/>
    </row>
    <row r="46" spans="2:22" s="41" customFormat="1" ht="12.4" x14ac:dyDescent="0.3">
      <c r="B46" s="119"/>
      <c r="C46" s="119"/>
      <c r="D46" s="119"/>
      <c r="E46" s="119"/>
      <c r="F46" s="119"/>
      <c r="G46" s="119"/>
      <c r="H46" s="119"/>
      <c r="I46" s="119"/>
      <c r="J46" s="119"/>
      <c r="K46" s="119"/>
      <c r="L46" s="119"/>
      <c r="M46" s="119"/>
      <c r="N46" s="119"/>
      <c r="O46" s="119"/>
      <c r="P46" s="119"/>
      <c r="Q46" s="119"/>
      <c r="R46" s="119"/>
      <c r="S46" s="119"/>
      <c r="T46" s="119"/>
      <c r="U46" s="119"/>
      <c r="V46" s="119"/>
    </row>
    <row r="47" spans="2:22" s="41" customFormat="1" ht="24.75" x14ac:dyDescent="0.3">
      <c r="B47" s="122" t="s">
        <v>63</v>
      </c>
      <c r="C47" s="173" t="s">
        <v>527</v>
      </c>
      <c r="D47" s="122" t="s">
        <v>12</v>
      </c>
      <c r="E47" s="120" t="s">
        <v>10</v>
      </c>
      <c r="F47" s="120" t="s">
        <v>145</v>
      </c>
      <c r="G47" s="123" t="s">
        <v>64</v>
      </c>
      <c r="H47" s="123" t="s">
        <v>65</v>
      </c>
      <c r="I47" s="123" t="s">
        <v>35</v>
      </c>
      <c r="J47" s="123" t="s">
        <v>108</v>
      </c>
      <c r="K47" s="35"/>
      <c r="L47" s="130" t="s">
        <v>414</v>
      </c>
      <c r="M47" s="123" t="s">
        <v>36</v>
      </c>
      <c r="N47" s="123" t="s">
        <v>37</v>
      </c>
      <c r="O47" s="123" t="s">
        <v>38</v>
      </c>
      <c r="P47" s="123" t="s">
        <v>39</v>
      </c>
      <c r="Q47" s="123" t="s">
        <v>40</v>
      </c>
      <c r="R47" s="123" t="s">
        <v>41</v>
      </c>
      <c r="S47" s="123" t="s">
        <v>42</v>
      </c>
      <c r="T47" s="123" t="s">
        <v>43</v>
      </c>
      <c r="U47" s="123" t="s">
        <v>44</v>
      </c>
      <c r="V47" s="123" t="s">
        <v>45</v>
      </c>
    </row>
    <row r="48" spans="2:22" s="41" customFormat="1" ht="12.4" x14ac:dyDescent="0.3">
      <c r="B48" s="124" t="s">
        <v>420</v>
      </c>
      <c r="C48" s="184" t="s">
        <v>529</v>
      </c>
      <c r="D48" s="192" t="s">
        <v>458</v>
      </c>
      <c r="E48" s="198" t="s">
        <v>453</v>
      </c>
      <c r="F48" s="200"/>
      <c r="G48" s="129">
        <f>IFERROR(G38*$E$45,"-")</f>
        <v>0</v>
      </c>
      <c r="H48" s="129">
        <f t="shared" ref="H48:J48" si="41">IFERROR(H38*$E$45,"-")</f>
        <v>-0.1310662676190151</v>
      </c>
      <c r="I48" s="129">
        <f t="shared" si="41"/>
        <v>1.6490220555819262</v>
      </c>
      <c r="J48" s="129">
        <f t="shared" si="41"/>
        <v>7.9249822078168837</v>
      </c>
      <c r="K48" s="35"/>
      <c r="L48" s="129">
        <f>IFERROR(L38*$E$45,"-")</f>
        <v>7.9249822078168837</v>
      </c>
      <c r="M48" s="129">
        <f t="shared" ref="M48:V48" si="42">IFERROR(M38*$E$45,"-")</f>
        <v>9.5945159615724194</v>
      </c>
      <c r="N48" s="129">
        <f t="shared" si="42"/>
        <v>9.6655312765157912</v>
      </c>
      <c r="O48" s="129">
        <f>IFERROR(O38*$E$45,"-")</f>
        <v>11.448655558303892</v>
      </c>
      <c r="P48" s="129">
        <f t="shared" si="42"/>
        <v>11.63045810995356</v>
      </c>
      <c r="Q48" s="129" t="str">
        <f t="shared" si="42"/>
        <v>-</v>
      </c>
      <c r="R48" s="129" t="str">
        <f>IFERROR(R38*$E$45,"-")</f>
        <v>-</v>
      </c>
      <c r="S48" s="129" t="str">
        <f t="shared" si="42"/>
        <v>-</v>
      </c>
      <c r="T48" s="129" t="str">
        <f t="shared" si="42"/>
        <v>-</v>
      </c>
      <c r="U48" s="129" t="str">
        <f t="shared" si="42"/>
        <v>-</v>
      </c>
      <c r="V48" s="129" t="str">
        <f t="shared" si="42"/>
        <v>-</v>
      </c>
    </row>
    <row r="49" spans="2:22" x14ac:dyDescent="0.35">
      <c r="B49" s="124" t="s">
        <v>0</v>
      </c>
      <c r="C49" s="185"/>
      <c r="D49" s="193"/>
      <c r="E49" s="199"/>
      <c r="F49" s="201"/>
      <c r="G49" s="129">
        <f>IFERROR(G39*$E$45,"-")</f>
        <v>0</v>
      </c>
      <c r="H49" s="129">
        <f t="shared" ref="H49:J49" si="43">IFERROR(H39*$E$45,"-")</f>
        <v>-0.10239413454660828</v>
      </c>
      <c r="I49" s="129">
        <f t="shared" si="43"/>
        <v>1.3107897268148032</v>
      </c>
      <c r="J49" s="129">
        <f t="shared" si="43"/>
        <v>8.7391024854837447</v>
      </c>
      <c r="K49" s="35"/>
      <c r="L49" s="129">
        <f>IFERROR(L39*$E$45,"-")</f>
        <v>8.7391024854837447</v>
      </c>
      <c r="M49" s="129">
        <f t="shared" ref="M49:V49" si="44">IFERROR(M39*$E$45,"-")</f>
        <v>10.102089688688181</v>
      </c>
      <c r="N49" s="129">
        <f t="shared" si="44"/>
        <v>10.300173121233549</v>
      </c>
      <c r="O49" s="129">
        <f>IFERROR(O39*$E$45,"-")</f>
        <v>11.847822371645298</v>
      </c>
      <c r="P49" s="129">
        <f t="shared" si="44"/>
        <v>7.7038430079225817</v>
      </c>
      <c r="Q49" s="129" t="str">
        <f t="shared" si="44"/>
        <v>-</v>
      </c>
      <c r="R49" s="129" t="str">
        <f t="shared" si="44"/>
        <v>-</v>
      </c>
      <c r="S49" s="129" t="str">
        <f t="shared" si="44"/>
        <v>-</v>
      </c>
      <c r="T49" s="129" t="str">
        <f t="shared" si="44"/>
        <v>-</v>
      </c>
      <c r="U49" s="129" t="str">
        <f t="shared" si="44"/>
        <v>-</v>
      </c>
      <c r="V49" s="129" t="str">
        <f t="shared" si="44"/>
        <v>-</v>
      </c>
    </row>
    <row r="50" spans="2:22" s="41" customFormat="1" ht="12.4" x14ac:dyDescent="0.3">
      <c r="B50" s="124" t="s">
        <v>420</v>
      </c>
      <c r="C50" s="184" t="s">
        <v>530</v>
      </c>
      <c r="D50" s="192" t="s">
        <v>458</v>
      </c>
      <c r="E50" s="198" t="s">
        <v>453</v>
      </c>
      <c r="F50" s="200"/>
      <c r="G50" s="129">
        <f>IFERROR(G40*$E$45,"-")</f>
        <v>0</v>
      </c>
      <c r="H50" s="129">
        <f t="shared" ref="H50:J50" si="45">IFERROR(H40*$E$45,"-")</f>
        <v>-0.1310662676190151</v>
      </c>
      <c r="I50" s="129">
        <f t="shared" si="45"/>
        <v>1.6490220555819262</v>
      </c>
      <c r="J50" s="129">
        <f t="shared" si="45"/>
        <v>1.7011822078168848</v>
      </c>
      <c r="K50" s="35"/>
      <c r="L50" s="129">
        <f>IFERROR(L40*$E$45,"-")</f>
        <v>1.7011822078168848</v>
      </c>
      <c r="M50" s="129">
        <f t="shared" ref="M50:N50" si="46">IFERROR(M40*$E$45,"-")</f>
        <v>3.37071596157242</v>
      </c>
      <c r="N50" s="129">
        <f t="shared" si="46"/>
        <v>3.2761312765157915</v>
      </c>
      <c r="O50" s="129">
        <f>IFERROR(O40*$E$45,"-")</f>
        <v>4.8946129781636989</v>
      </c>
      <c r="P50" s="129">
        <f t="shared" ref="P50:Q50" si="47">IFERROR(P40*$E$45,"-")</f>
        <v>4.2887571563853468</v>
      </c>
      <c r="Q50" s="129" t="str">
        <f t="shared" si="47"/>
        <v>-</v>
      </c>
      <c r="R50" s="129" t="str">
        <f>IFERROR(R40*$E$45,"-")</f>
        <v>-</v>
      </c>
      <c r="S50" s="129" t="str">
        <f t="shared" ref="S50:V50" si="48">IFERROR(S40*$E$45,"-")</f>
        <v>-</v>
      </c>
      <c r="T50" s="129" t="str">
        <f t="shared" si="48"/>
        <v>-</v>
      </c>
      <c r="U50" s="129" t="str">
        <f t="shared" si="48"/>
        <v>-</v>
      </c>
      <c r="V50" s="129" t="str">
        <f t="shared" si="48"/>
        <v>-</v>
      </c>
    </row>
    <row r="51" spans="2:22" x14ac:dyDescent="0.35">
      <c r="B51" s="124" t="s">
        <v>0</v>
      </c>
      <c r="C51" s="185"/>
      <c r="D51" s="193"/>
      <c r="E51" s="199"/>
      <c r="F51" s="201"/>
      <c r="G51" s="129">
        <f>IFERROR(G41*$E$45,"-")</f>
        <v>0</v>
      </c>
      <c r="H51" s="129">
        <f t="shared" ref="H51:J51" si="49">IFERROR(H41*$E$45,"-")</f>
        <v>-0.10239413454660828</v>
      </c>
      <c r="I51" s="129">
        <f t="shared" si="49"/>
        <v>1.3107897268148032</v>
      </c>
      <c r="J51" s="129">
        <f t="shared" si="49"/>
        <v>1.3561024854837453</v>
      </c>
      <c r="K51" s="35"/>
      <c r="L51" s="129">
        <f>IFERROR(L41*$E$45,"-")</f>
        <v>1.3561024854837453</v>
      </c>
      <c r="M51" s="129">
        <f t="shared" ref="M51:N51" si="50">IFERROR(M41*$E$45,"-")</f>
        <v>2.7190896886881828</v>
      </c>
      <c r="N51" s="129">
        <f t="shared" si="50"/>
        <v>2.5445731212335492</v>
      </c>
      <c r="O51" s="129">
        <f>IFERROR(O41*$E$45,"-")</f>
        <v>3.7238675166956514</v>
      </c>
      <c r="P51" s="129">
        <f t="shared" ref="P51:V51" si="51">IFERROR(P41*$E$45,"-")</f>
        <v>3.2317970151566944</v>
      </c>
      <c r="Q51" s="129" t="str">
        <f t="shared" si="51"/>
        <v>-</v>
      </c>
      <c r="R51" s="129" t="str">
        <f t="shared" si="51"/>
        <v>-</v>
      </c>
      <c r="S51" s="129" t="str">
        <f t="shared" si="51"/>
        <v>-</v>
      </c>
      <c r="T51" s="129" t="str">
        <f t="shared" si="51"/>
        <v>-</v>
      </c>
      <c r="U51" s="129" t="str">
        <f t="shared" si="51"/>
        <v>-</v>
      </c>
      <c r="V51" s="129" t="str">
        <f t="shared" si="51"/>
        <v>-</v>
      </c>
    </row>
    <row r="52" spans="2:22" x14ac:dyDescent="0.35"/>
    <row r="53" spans="2:22" x14ac:dyDescent="0.35"/>
  </sheetData>
  <mergeCells count="42">
    <mergeCell ref="B13:B18"/>
    <mergeCell ref="B19:B24"/>
    <mergeCell ref="C13:C18"/>
    <mergeCell ref="C19:C24"/>
    <mergeCell ref="D31:D32"/>
    <mergeCell ref="B3:M3"/>
    <mergeCell ref="G8:J8"/>
    <mergeCell ref="L8:V8"/>
    <mergeCell ref="G9:J9"/>
    <mergeCell ref="L9:V9"/>
    <mergeCell ref="E8:E12"/>
    <mergeCell ref="C8:C12"/>
    <mergeCell ref="F8:F9"/>
    <mergeCell ref="B8:B12"/>
    <mergeCell ref="D8:D12"/>
    <mergeCell ref="G29:I30"/>
    <mergeCell ref="G28:I28"/>
    <mergeCell ref="F13:F24"/>
    <mergeCell ref="F29:F30"/>
    <mergeCell ref="D29:D30"/>
    <mergeCell ref="E29:E30"/>
    <mergeCell ref="G31:I32"/>
    <mergeCell ref="D40:D41"/>
    <mergeCell ref="E40:E41"/>
    <mergeCell ref="F40:F41"/>
    <mergeCell ref="D50:D51"/>
    <mergeCell ref="E50:E51"/>
    <mergeCell ref="F50:F51"/>
    <mergeCell ref="D48:D49"/>
    <mergeCell ref="E48:E49"/>
    <mergeCell ref="F48:F49"/>
    <mergeCell ref="E38:E39"/>
    <mergeCell ref="F38:F39"/>
    <mergeCell ref="D38:D39"/>
    <mergeCell ref="E31:E32"/>
    <mergeCell ref="F31:F32"/>
    <mergeCell ref="C50:C51"/>
    <mergeCell ref="C29:C30"/>
    <mergeCell ref="C31:C32"/>
    <mergeCell ref="C38:C39"/>
    <mergeCell ref="C40:C41"/>
    <mergeCell ref="C48:C4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zoomScaleNormal="100" workbookViewId="0"/>
  </sheetViews>
  <sheetFormatPr defaultColWidth="0" defaultRowHeight="14.25" zeroHeight="1" x14ac:dyDescent="0.45"/>
  <cols>
    <col min="1" max="1" width="9" style="11" customWidth="1"/>
    <col min="2" max="2" width="12.3984375" style="11" customWidth="1"/>
    <col min="3" max="3" width="19.59765625" style="11" customWidth="1"/>
    <col min="4" max="4" width="74.86328125" style="11" customWidth="1"/>
    <col min="5" max="5" width="16.1328125" style="11" customWidth="1"/>
    <col min="6" max="6" width="32" style="11" customWidth="1"/>
    <col min="7" max="7" width="16.59765625" style="11" customWidth="1"/>
    <col min="8" max="8" width="2.1328125" style="11" customWidth="1"/>
    <col min="9" max="19" width="16.59765625" style="11" customWidth="1"/>
    <col min="20" max="20" width="9" style="11" customWidth="1"/>
    <col min="21" max="30" width="0" style="11" hidden="1" customWidth="1"/>
    <col min="31" max="16384" width="9" style="11" hidden="1"/>
  </cols>
  <sheetData>
    <row r="1" spans="2:27" s="1" customFormat="1" ht="12.75" customHeight="1" x14ac:dyDescent="0.45"/>
    <row r="2" spans="2:27" s="1" customFormat="1" ht="18.75" customHeight="1" x14ac:dyDescent="0.45">
      <c r="B2" s="8" t="s">
        <v>409</v>
      </c>
      <c r="C2" s="8"/>
      <c r="D2" s="8"/>
      <c r="E2" s="8"/>
      <c r="F2" s="8"/>
      <c r="G2" s="8"/>
      <c r="H2" s="8"/>
      <c r="P2" s="8"/>
    </row>
    <row r="3" spans="2:27" s="1" customFormat="1" ht="21.75" customHeight="1" x14ac:dyDescent="0.45">
      <c r="B3" s="240" t="s">
        <v>505</v>
      </c>
      <c r="C3" s="240"/>
      <c r="D3" s="241"/>
      <c r="E3" s="241"/>
      <c r="F3" s="241"/>
      <c r="G3" s="241"/>
      <c r="H3" s="241"/>
      <c r="I3" s="241"/>
      <c r="J3" s="241"/>
      <c r="K3" s="9"/>
      <c r="L3" s="9"/>
      <c r="M3" s="9"/>
      <c r="N3" s="9"/>
      <c r="O3" s="9"/>
      <c r="P3" s="9"/>
      <c r="Q3" s="9"/>
      <c r="R3" s="9"/>
      <c r="S3" s="9"/>
      <c r="T3" s="9"/>
      <c r="U3" s="9"/>
      <c r="V3" s="9"/>
      <c r="W3" s="9"/>
      <c r="X3" s="9"/>
      <c r="Y3" s="9"/>
      <c r="Z3" s="9"/>
      <c r="AA3" s="9"/>
    </row>
    <row r="4" spans="2:27" s="1" customFormat="1" ht="12.75" customHeight="1" x14ac:dyDescent="0.45"/>
    <row r="5" spans="2:27" x14ac:dyDescent="0.45"/>
    <row r="6" spans="2:27" s="34" customFormat="1" ht="29.25" customHeight="1" x14ac:dyDescent="0.3">
      <c r="B6" s="54" t="s">
        <v>63</v>
      </c>
      <c r="C6" s="171" t="s">
        <v>527</v>
      </c>
      <c r="D6" s="58" t="s">
        <v>12</v>
      </c>
      <c r="E6" s="54" t="s">
        <v>10</v>
      </c>
      <c r="F6" s="54" t="s">
        <v>145</v>
      </c>
      <c r="G6" s="42" t="s">
        <v>108</v>
      </c>
      <c r="H6" s="35"/>
      <c r="I6" s="81" t="s">
        <v>414</v>
      </c>
      <c r="J6" s="42" t="s">
        <v>36</v>
      </c>
      <c r="K6" s="42" t="s">
        <v>37</v>
      </c>
      <c r="L6" s="42" t="s">
        <v>38</v>
      </c>
      <c r="M6" s="42" t="s">
        <v>39</v>
      </c>
      <c r="N6" s="42" t="s">
        <v>40</v>
      </c>
      <c r="O6" s="42" t="s">
        <v>41</v>
      </c>
      <c r="P6" s="42" t="s">
        <v>42</v>
      </c>
      <c r="Q6" s="42" t="s">
        <v>43</v>
      </c>
      <c r="R6" s="42" t="s">
        <v>44</v>
      </c>
      <c r="S6" s="42" t="s">
        <v>45</v>
      </c>
      <c r="T6" s="60"/>
    </row>
    <row r="7" spans="2:27" s="41" customFormat="1" ht="68" customHeight="1" x14ac:dyDescent="0.3">
      <c r="B7" s="114" t="s">
        <v>420</v>
      </c>
      <c r="C7" s="233" t="s">
        <v>529</v>
      </c>
      <c r="D7" s="237" t="s">
        <v>525</v>
      </c>
      <c r="E7" s="235" t="s">
        <v>418</v>
      </c>
      <c r="F7" s="196"/>
      <c r="G7" s="61">
        <v>9.02</v>
      </c>
      <c r="H7" s="35"/>
      <c r="I7" s="61">
        <v>9.02</v>
      </c>
      <c r="J7" s="61">
        <v>9.02</v>
      </c>
      <c r="K7" s="166">
        <v>9.26</v>
      </c>
      <c r="L7" s="166">
        <v>9.4986124349857892</v>
      </c>
      <c r="M7" s="166">
        <v>10.64014630951915</v>
      </c>
      <c r="N7" s="166">
        <v>10.64014630951915</v>
      </c>
      <c r="O7" s="166">
        <v>7.6944793033569141</v>
      </c>
      <c r="P7" s="166">
        <v>7.9018139478292184</v>
      </c>
      <c r="Q7" s="166">
        <v>8.3507132953021515</v>
      </c>
      <c r="R7" s="166">
        <v>8.7996126427750845</v>
      </c>
      <c r="S7" s="166">
        <v>8.7996126427750845</v>
      </c>
      <c r="T7" s="60"/>
    </row>
    <row r="8" spans="2:27" s="41" customFormat="1" ht="68" customHeight="1" x14ac:dyDescent="0.3">
      <c r="B8" s="59" t="s">
        <v>0</v>
      </c>
      <c r="C8" s="234"/>
      <c r="D8" s="238"/>
      <c r="E8" s="236"/>
      <c r="F8" s="197"/>
      <c r="G8" s="61">
        <v>10.7</v>
      </c>
      <c r="H8" s="35"/>
      <c r="I8" s="61">
        <v>10.7</v>
      </c>
      <c r="J8" s="61">
        <v>10.7</v>
      </c>
      <c r="K8" s="166">
        <v>11.24</v>
      </c>
      <c r="L8" s="166">
        <v>11.773847615869055</v>
      </c>
      <c r="M8" s="166">
        <v>6.4812260764723026</v>
      </c>
      <c r="N8" s="166">
        <v>6.4812260764723026</v>
      </c>
      <c r="O8" s="166">
        <v>3.6788065445918017</v>
      </c>
      <c r="P8" s="166">
        <v>3.2535172151475695</v>
      </c>
      <c r="Q8" s="166">
        <v>3.0409903107005687</v>
      </c>
      <c r="R8" s="166">
        <v>2.8284634062535678</v>
      </c>
      <c r="S8" s="166">
        <v>2.8284634062535678</v>
      </c>
      <c r="T8" s="60"/>
    </row>
    <row r="9" spans="2:27" s="41" customFormat="1" ht="68" customHeight="1" x14ac:dyDescent="0.3">
      <c r="B9" s="114" t="s">
        <v>420</v>
      </c>
      <c r="C9" s="233" t="s">
        <v>530</v>
      </c>
      <c r="D9" s="238"/>
      <c r="E9" s="235" t="s">
        <v>418</v>
      </c>
      <c r="F9" s="196"/>
      <c r="G9" s="61"/>
      <c r="H9" s="35"/>
      <c r="I9" s="61"/>
      <c r="J9" s="61"/>
      <c r="K9" s="166"/>
      <c r="L9" s="166"/>
      <c r="M9" s="166">
        <v>0</v>
      </c>
      <c r="N9" s="166">
        <v>0</v>
      </c>
      <c r="O9" s="47"/>
      <c r="P9" s="47"/>
      <c r="Q9" s="47"/>
      <c r="R9" s="47"/>
      <c r="S9" s="47"/>
      <c r="T9" s="60"/>
    </row>
    <row r="10" spans="2:27" s="41" customFormat="1" ht="68" customHeight="1" x14ac:dyDescent="0.3">
      <c r="B10" s="59" t="s">
        <v>0</v>
      </c>
      <c r="C10" s="234"/>
      <c r="D10" s="239"/>
      <c r="E10" s="236"/>
      <c r="F10" s="197"/>
      <c r="G10" s="61"/>
      <c r="H10" s="35"/>
      <c r="I10" s="61"/>
      <c r="J10" s="61"/>
      <c r="K10" s="166"/>
      <c r="L10" s="166"/>
      <c r="M10" s="166">
        <v>0</v>
      </c>
      <c r="N10" s="166">
        <v>0</v>
      </c>
      <c r="O10" s="47"/>
      <c r="P10" s="47"/>
      <c r="Q10" s="47"/>
      <c r="R10" s="47"/>
      <c r="S10" s="47"/>
      <c r="T10" s="60"/>
    </row>
    <row r="11" spans="2:27" x14ac:dyDescent="0.45"/>
    <row r="12" spans="2:27" x14ac:dyDescent="0.45"/>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207" t="s">
        <v>477</v>
      </c>
      <c r="C3" s="241"/>
      <c r="D3" s="241"/>
      <c r="E3" s="241"/>
      <c r="F3" s="241"/>
      <c r="G3" s="241"/>
      <c r="H3" s="241"/>
      <c r="I3" s="241"/>
      <c r="J3" s="241"/>
      <c r="K3" s="241"/>
      <c r="L3" s="241"/>
      <c r="M3" s="30"/>
      <c r="N3" s="30"/>
      <c r="O3" s="30"/>
      <c r="P3" s="30"/>
      <c r="AB3" s="30"/>
    </row>
    <row r="4" spans="2:28" s="29" customFormat="1" ht="12.75" customHeight="1" x14ac:dyDescent="0.35"/>
    <row r="5" spans="2:28" ht="15" customHeight="1" x14ac:dyDescent="0.35"/>
    <row r="6" spans="2:28" s="41" customFormat="1" ht="12"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8" s="41" customFormat="1" ht="29.25" customHeight="1" x14ac:dyDescent="0.3">
      <c r="B7" s="251"/>
      <c r="C7" s="251"/>
      <c r="D7" s="251"/>
      <c r="E7" s="253"/>
      <c r="F7" s="247" t="s">
        <v>469</v>
      </c>
      <c r="G7" s="248"/>
      <c r="H7" s="248"/>
      <c r="I7" s="249"/>
      <c r="J7" s="35"/>
      <c r="K7" s="257" t="s">
        <v>466</v>
      </c>
      <c r="L7" s="258"/>
      <c r="M7" s="258"/>
      <c r="N7" s="258"/>
      <c r="O7" s="258"/>
      <c r="P7" s="258"/>
      <c r="Q7" s="258"/>
      <c r="R7" s="258"/>
      <c r="S7" s="258"/>
      <c r="T7" s="258"/>
      <c r="U7" s="259"/>
    </row>
    <row r="8" spans="2:28" s="41" customFormat="1"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52"/>
      <c r="C10" s="252"/>
      <c r="D10" s="252"/>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8" s="41" customFormat="1" ht="12.4" x14ac:dyDescent="0.3">
      <c r="B12" s="43" t="s">
        <v>4</v>
      </c>
      <c r="C12" s="43" t="s">
        <v>13</v>
      </c>
      <c r="D12" s="43" t="s">
        <v>14</v>
      </c>
      <c r="E12" s="141"/>
      <c r="F12" s="63">
        <v>39190950</v>
      </c>
      <c r="G12" s="63">
        <v>39190950</v>
      </c>
      <c r="H12" s="63">
        <v>39951368</v>
      </c>
      <c r="I12" s="63">
        <v>39951368</v>
      </c>
      <c r="J12" s="35"/>
      <c r="K12" s="63">
        <v>39951368</v>
      </c>
      <c r="L12" s="63">
        <v>37970642</v>
      </c>
      <c r="M12" s="63">
        <v>37970642</v>
      </c>
      <c r="N12" s="63">
        <v>27204000</v>
      </c>
      <c r="O12" s="63">
        <v>27204000</v>
      </c>
      <c r="P12" s="63"/>
      <c r="Q12" s="63"/>
      <c r="R12" s="63"/>
      <c r="S12" s="63"/>
      <c r="T12" s="63"/>
      <c r="U12" s="63"/>
    </row>
    <row r="13" spans="2:28" s="41" customFormat="1" ht="12.4" x14ac:dyDescent="0.3">
      <c r="B13" s="43" t="s">
        <v>5</v>
      </c>
      <c r="C13" s="43" t="s">
        <v>13</v>
      </c>
      <c r="D13" s="43" t="s">
        <v>14</v>
      </c>
      <c r="E13" s="141"/>
      <c r="F13" s="63">
        <v>1221160</v>
      </c>
      <c r="G13" s="63">
        <v>1221160</v>
      </c>
      <c r="H13" s="63">
        <v>1176500</v>
      </c>
      <c r="I13" s="63">
        <v>1176500</v>
      </c>
      <c r="J13" s="35"/>
      <c r="K13" s="63">
        <v>1176500</v>
      </c>
      <c r="L13" s="63">
        <v>836246</v>
      </c>
      <c r="M13" s="63">
        <v>836246</v>
      </c>
      <c r="N13" s="63">
        <v>1549000</v>
      </c>
      <c r="O13" s="63">
        <v>1549000</v>
      </c>
      <c r="P13" s="63"/>
      <c r="Q13" s="63"/>
      <c r="R13" s="63"/>
      <c r="S13" s="63"/>
      <c r="T13" s="63"/>
      <c r="U13" s="63"/>
    </row>
    <row r="14" spans="2:28" s="41" customFormat="1" ht="12.4" x14ac:dyDescent="0.3">
      <c r="B14" s="43" t="s">
        <v>6</v>
      </c>
      <c r="C14" s="43" t="s">
        <v>13</v>
      </c>
      <c r="D14" s="43" t="s">
        <v>14</v>
      </c>
      <c r="E14" s="141"/>
      <c r="F14" s="63">
        <v>8054877</v>
      </c>
      <c r="G14" s="63">
        <v>8054877</v>
      </c>
      <c r="H14" s="63">
        <v>8985436</v>
      </c>
      <c r="I14" s="63">
        <v>8985436</v>
      </c>
      <c r="J14" s="35"/>
      <c r="K14" s="63">
        <v>8985436</v>
      </c>
      <c r="L14" s="63">
        <v>9626765</v>
      </c>
      <c r="M14" s="63">
        <v>9626765</v>
      </c>
      <c r="N14" s="63">
        <v>7912000</v>
      </c>
      <c r="O14" s="63">
        <v>7912000</v>
      </c>
      <c r="P14" s="63"/>
      <c r="Q14" s="63"/>
      <c r="R14" s="63"/>
      <c r="S14" s="63"/>
      <c r="T14" s="63"/>
      <c r="U14" s="63"/>
    </row>
    <row r="15" spans="2:28" s="41" customFormat="1" ht="12.4" x14ac:dyDescent="0.3">
      <c r="B15" s="45" t="s">
        <v>422</v>
      </c>
      <c r="C15" s="43" t="s">
        <v>89</v>
      </c>
      <c r="D15" s="43" t="s">
        <v>22</v>
      </c>
      <c r="E15" s="141"/>
      <c r="F15" s="63">
        <v>28094000</v>
      </c>
      <c r="G15" s="63">
        <v>28094000</v>
      </c>
      <c r="H15" s="63">
        <v>28094000</v>
      </c>
      <c r="I15" s="63">
        <v>28094000</v>
      </c>
      <c r="J15" s="35"/>
      <c r="K15" s="63">
        <v>28094000</v>
      </c>
      <c r="L15" s="63">
        <v>28254000</v>
      </c>
      <c r="M15" s="63">
        <v>28254000</v>
      </c>
      <c r="N15" s="63">
        <v>28402000</v>
      </c>
      <c r="O15" s="63">
        <v>28402000</v>
      </c>
      <c r="P15" s="63"/>
      <c r="Q15" s="63"/>
      <c r="R15" s="63"/>
      <c r="S15" s="63"/>
      <c r="T15" s="63"/>
      <c r="U15" s="63"/>
    </row>
    <row r="16" spans="2:28" s="41" customFormat="1" ht="12.4" x14ac:dyDescent="0.3">
      <c r="B16" s="45" t="s">
        <v>16</v>
      </c>
      <c r="C16" s="43" t="s">
        <v>89</v>
      </c>
      <c r="D16" s="43" t="s">
        <v>22</v>
      </c>
      <c r="E16" s="141"/>
      <c r="F16" s="63">
        <v>23714000</v>
      </c>
      <c r="G16" s="63">
        <v>23714000</v>
      </c>
      <c r="H16" s="63">
        <v>23714000</v>
      </c>
      <c r="I16" s="63">
        <v>23714000</v>
      </c>
      <c r="J16" s="35"/>
      <c r="K16" s="63">
        <v>23714000</v>
      </c>
      <c r="L16" s="63">
        <v>23915000</v>
      </c>
      <c r="M16" s="63">
        <v>23915000</v>
      </c>
      <c r="N16" s="63">
        <v>24177000</v>
      </c>
      <c r="O16" s="63">
        <v>24177000</v>
      </c>
      <c r="P16" s="63"/>
      <c r="Q16" s="63"/>
      <c r="R16" s="63"/>
      <c r="S16" s="63"/>
      <c r="T16" s="63"/>
      <c r="U16" s="63"/>
    </row>
    <row r="17" spans="2:21" s="41" customFormat="1" ht="12.4" x14ac:dyDescent="0.3">
      <c r="B17" s="142" t="s">
        <v>483</v>
      </c>
      <c r="C17" s="146" t="s">
        <v>482</v>
      </c>
      <c r="D17" s="143" t="s">
        <v>19</v>
      </c>
      <c r="E17" s="141"/>
      <c r="F17" s="145">
        <v>0.95</v>
      </c>
      <c r="G17" s="145">
        <v>0.93</v>
      </c>
      <c r="H17" s="145">
        <v>0.91</v>
      </c>
      <c r="I17" s="145">
        <v>0.91</v>
      </c>
      <c r="J17" s="35"/>
      <c r="K17" s="145">
        <v>0.91</v>
      </c>
      <c r="L17" s="145">
        <v>0.92</v>
      </c>
      <c r="M17" s="145">
        <v>0.91</v>
      </c>
      <c r="N17" s="145">
        <v>0.93</v>
      </c>
      <c r="O17" s="145">
        <v>0.93</v>
      </c>
      <c r="P17" s="145"/>
      <c r="Q17" s="145"/>
      <c r="R17" s="145"/>
      <c r="S17" s="145"/>
      <c r="T17" s="145"/>
      <c r="U17" s="145"/>
    </row>
    <row r="18" spans="2:21" s="41" customFormat="1" ht="12.4" x14ac:dyDescent="0.3">
      <c r="B18" s="142" t="s">
        <v>484</v>
      </c>
      <c r="C18" s="146" t="s">
        <v>482</v>
      </c>
      <c r="D18" s="143" t="s">
        <v>19</v>
      </c>
      <c r="E18" s="141"/>
      <c r="F18" s="145">
        <v>0.95</v>
      </c>
      <c r="G18" s="145">
        <v>0.93</v>
      </c>
      <c r="H18" s="145">
        <v>0.91</v>
      </c>
      <c r="I18" s="145">
        <v>0.91</v>
      </c>
      <c r="J18" s="35"/>
      <c r="K18" s="145">
        <v>0.91</v>
      </c>
      <c r="L18" s="145">
        <v>0.91</v>
      </c>
      <c r="M18" s="145">
        <v>0.91</v>
      </c>
      <c r="N18" s="145">
        <v>0.93</v>
      </c>
      <c r="O18" s="145">
        <v>0.93</v>
      </c>
      <c r="P18" s="145"/>
      <c r="Q18" s="145"/>
      <c r="R18" s="145"/>
      <c r="S18" s="145"/>
      <c r="T18" s="145"/>
      <c r="U18" s="145"/>
    </row>
    <row r="19" spans="2:21" s="41" customFormat="1" ht="12.4" x14ac:dyDescent="0.3">
      <c r="B19" s="245" t="s">
        <v>399</v>
      </c>
      <c r="C19" s="245"/>
      <c r="D19" s="245"/>
      <c r="E19" s="245"/>
      <c r="F19" s="245"/>
      <c r="G19" s="245"/>
      <c r="H19" s="245"/>
      <c r="I19" s="245"/>
      <c r="J19" s="245"/>
      <c r="K19" s="245"/>
      <c r="L19" s="245"/>
      <c r="M19" s="245"/>
      <c r="N19" s="245"/>
      <c r="O19" s="245"/>
      <c r="P19" s="245"/>
      <c r="Q19" s="245"/>
      <c r="R19" s="245"/>
      <c r="S19" s="245"/>
      <c r="T19" s="245"/>
      <c r="U19" s="246"/>
    </row>
    <row r="20" spans="2:21" s="41" customFormat="1" ht="12.4" x14ac:dyDescent="0.3">
      <c r="B20" s="72" t="s">
        <v>423</v>
      </c>
      <c r="C20" s="205"/>
      <c r="D20" s="43" t="s">
        <v>22</v>
      </c>
      <c r="E20" s="141"/>
      <c r="F20" s="144">
        <f>F15*F17</f>
        <v>26689300</v>
      </c>
      <c r="G20" s="144">
        <f>G15*G17</f>
        <v>26127420</v>
      </c>
      <c r="H20" s="144">
        <f t="shared" ref="H20:I20" si="0">H15*H17</f>
        <v>25565540</v>
      </c>
      <c r="I20" s="144">
        <f t="shared" si="0"/>
        <v>25565540</v>
      </c>
      <c r="J20" s="35"/>
      <c r="K20" s="144">
        <f>K15*K17</f>
        <v>25565540</v>
      </c>
      <c r="L20" s="144">
        <f t="shared" ref="L20:U20" si="1">L15*L17</f>
        <v>25993680</v>
      </c>
      <c r="M20" s="144">
        <f t="shared" si="1"/>
        <v>25711140</v>
      </c>
      <c r="N20" s="144">
        <f>N15*N17</f>
        <v>26413860</v>
      </c>
      <c r="O20" s="144">
        <f t="shared" si="1"/>
        <v>26413860</v>
      </c>
      <c r="P20" s="144">
        <f t="shared" si="1"/>
        <v>0</v>
      </c>
      <c r="Q20" s="144">
        <f t="shared" si="1"/>
        <v>0</v>
      </c>
      <c r="R20" s="144">
        <f t="shared" si="1"/>
        <v>0</v>
      </c>
      <c r="S20" s="144">
        <f t="shared" si="1"/>
        <v>0</v>
      </c>
      <c r="T20" s="144">
        <f t="shared" si="1"/>
        <v>0</v>
      </c>
      <c r="U20" s="144">
        <f t="shared" si="1"/>
        <v>0</v>
      </c>
    </row>
    <row r="21" spans="2:21" s="41" customFormat="1" ht="12.4" x14ac:dyDescent="0.3">
      <c r="B21" s="147" t="s">
        <v>485</v>
      </c>
      <c r="C21" s="205"/>
      <c r="D21" s="43" t="s">
        <v>22</v>
      </c>
      <c r="E21" s="141"/>
      <c r="F21" s="144">
        <f>F16*F18</f>
        <v>22528300</v>
      </c>
      <c r="G21" s="144">
        <f>G16*G18</f>
        <v>22054020</v>
      </c>
      <c r="H21" s="144">
        <f t="shared" ref="H21:I21" si="2">H16*H18</f>
        <v>21579740</v>
      </c>
      <c r="I21" s="144">
        <f t="shared" si="2"/>
        <v>21579740</v>
      </c>
      <c r="J21" s="35"/>
      <c r="K21" s="144">
        <f>K16*K18</f>
        <v>21579740</v>
      </c>
      <c r="L21" s="144">
        <f t="shared" ref="L21:U21" si="3">L16*L18</f>
        <v>21762650</v>
      </c>
      <c r="M21" s="144">
        <f t="shared" si="3"/>
        <v>21762650</v>
      </c>
      <c r="N21" s="144">
        <f>N16*N18</f>
        <v>22484610</v>
      </c>
      <c r="O21" s="144">
        <f t="shared" si="3"/>
        <v>22484610</v>
      </c>
      <c r="P21" s="144">
        <f t="shared" si="3"/>
        <v>0</v>
      </c>
      <c r="Q21" s="144">
        <f t="shared" si="3"/>
        <v>0</v>
      </c>
      <c r="R21" s="144">
        <f t="shared" si="3"/>
        <v>0</v>
      </c>
      <c r="S21" s="144">
        <f t="shared" si="3"/>
        <v>0</v>
      </c>
      <c r="T21" s="144">
        <f t="shared" si="3"/>
        <v>0</v>
      </c>
      <c r="U21" s="144">
        <f t="shared" si="3"/>
        <v>0</v>
      </c>
    </row>
    <row r="22" spans="2:21" s="41" customFormat="1" ht="12.4" x14ac:dyDescent="0.3">
      <c r="B22" s="43" t="s">
        <v>3</v>
      </c>
      <c r="C22" s="205"/>
      <c r="D22" s="43" t="s">
        <v>14</v>
      </c>
      <c r="E22" s="244"/>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28753000</v>
      </c>
      <c r="P22" s="73">
        <f t="shared" si="4"/>
        <v>0</v>
      </c>
      <c r="Q22" s="73">
        <f t="shared" si="4"/>
        <v>0</v>
      </c>
      <c r="R22" s="73">
        <f t="shared" si="4"/>
        <v>0</v>
      </c>
      <c r="S22" s="73">
        <f t="shared" si="4"/>
        <v>0</v>
      </c>
      <c r="T22" s="73">
        <f t="shared" si="4"/>
        <v>0</v>
      </c>
      <c r="U22" s="73">
        <f t="shared" si="4"/>
        <v>0</v>
      </c>
    </row>
    <row r="23" spans="2:21" s="41" customFormat="1" ht="12.4" x14ac:dyDescent="0.3">
      <c r="B23" s="43" t="s">
        <v>1</v>
      </c>
      <c r="C23" s="205"/>
      <c r="D23" s="43" t="s">
        <v>14</v>
      </c>
      <c r="E23" s="244"/>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7912000</v>
      </c>
      <c r="P23" s="73">
        <f t="shared" si="5"/>
        <v>0</v>
      </c>
      <c r="Q23" s="73">
        <f t="shared" si="5"/>
        <v>0</v>
      </c>
      <c r="R23" s="73">
        <f t="shared" si="5"/>
        <v>0</v>
      </c>
      <c r="S23" s="73">
        <f t="shared" si="5"/>
        <v>0</v>
      </c>
      <c r="T23" s="73">
        <f t="shared" si="5"/>
        <v>0</v>
      </c>
      <c r="U23" s="73">
        <f t="shared" si="5"/>
        <v>0</v>
      </c>
    </row>
    <row r="24" spans="2:21" s="41" customFormat="1" ht="12.4" x14ac:dyDescent="0.3">
      <c r="B24" s="43" t="s">
        <v>424</v>
      </c>
      <c r="C24" s="205"/>
      <c r="D24" s="43" t="s">
        <v>19</v>
      </c>
      <c r="E24" s="244"/>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f t="shared" si="6"/>
        <v>0.54017763745982239</v>
      </c>
      <c r="P24" s="69" t="str">
        <f t="shared" si="6"/>
        <v/>
      </c>
      <c r="Q24" s="69" t="str">
        <f t="shared" si="6"/>
        <v/>
      </c>
      <c r="R24" s="69" t="str">
        <f t="shared" si="6"/>
        <v/>
      </c>
      <c r="S24" s="69" t="str">
        <f t="shared" si="6"/>
        <v/>
      </c>
      <c r="T24" s="69" t="str">
        <f t="shared" si="6"/>
        <v/>
      </c>
      <c r="U24" s="69" t="str">
        <f t="shared" si="6"/>
        <v/>
      </c>
    </row>
    <row r="25" spans="2:21" s="41" customFormat="1" ht="12.4" x14ac:dyDescent="0.3">
      <c r="B25" s="43" t="s">
        <v>18</v>
      </c>
      <c r="C25" s="205"/>
      <c r="D25" s="43" t="s">
        <v>19</v>
      </c>
      <c r="E25" s="244"/>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f t="shared" si="7"/>
        <v>0.45982236254017766</v>
      </c>
      <c r="P25" s="69" t="str">
        <f t="shared" si="7"/>
        <v/>
      </c>
      <c r="Q25" s="69" t="str">
        <f t="shared" si="7"/>
        <v/>
      </c>
      <c r="R25" s="69" t="str">
        <f t="shared" si="7"/>
        <v/>
      </c>
      <c r="S25" s="69" t="str">
        <f t="shared" si="7"/>
        <v/>
      </c>
      <c r="T25" s="69" t="str">
        <f t="shared" si="7"/>
        <v/>
      </c>
      <c r="U25" s="69" t="str">
        <f t="shared" si="7"/>
        <v/>
      </c>
    </row>
    <row r="26" spans="2:21" s="41" customFormat="1" ht="12.4" x14ac:dyDescent="0.3">
      <c r="B26" s="43" t="s">
        <v>425</v>
      </c>
      <c r="C26" s="205"/>
      <c r="D26" s="43" t="s">
        <v>14</v>
      </c>
      <c r="E26" s="244"/>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0.58801430801413623</v>
      </c>
      <c r="P26" s="52">
        <f t="shared" si="8"/>
        <v>0</v>
      </c>
      <c r="Q26" s="52">
        <f t="shared" si="8"/>
        <v>0</v>
      </c>
      <c r="R26" s="52">
        <f t="shared" si="8"/>
        <v>0</v>
      </c>
      <c r="S26" s="52">
        <f t="shared" si="8"/>
        <v>0</v>
      </c>
      <c r="T26" s="52">
        <f t="shared" si="8"/>
        <v>0</v>
      </c>
      <c r="U26" s="52">
        <f t="shared" si="8"/>
        <v>0</v>
      </c>
    </row>
    <row r="27" spans="2:21" s="41" customFormat="1" ht="12.4" x14ac:dyDescent="0.3">
      <c r="B27" s="43" t="s">
        <v>426</v>
      </c>
      <c r="C27" s="205"/>
      <c r="D27" s="43" t="s">
        <v>14</v>
      </c>
      <c r="E27" s="244"/>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0.1504783278495217</v>
      </c>
      <c r="P27" s="52">
        <f t="shared" si="9"/>
        <v>0</v>
      </c>
      <c r="Q27" s="52">
        <f t="shared" si="9"/>
        <v>0</v>
      </c>
      <c r="R27" s="52">
        <f t="shared" si="9"/>
        <v>0</v>
      </c>
      <c r="S27" s="52">
        <f t="shared" si="9"/>
        <v>0</v>
      </c>
      <c r="T27" s="52">
        <f t="shared" si="9"/>
        <v>0</v>
      </c>
      <c r="U27" s="52">
        <f t="shared" si="9"/>
        <v>0</v>
      </c>
    </row>
    <row r="28" spans="2:21" s="41" customFormat="1" ht="12.4" x14ac:dyDescent="0.3">
      <c r="B28" s="43" t="s">
        <v>32</v>
      </c>
      <c r="C28" s="205"/>
      <c r="D28" s="43" t="s">
        <v>14</v>
      </c>
      <c r="E28" s="244"/>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0.58801430801413634</v>
      </c>
      <c r="P28" s="52">
        <f t="shared" si="10"/>
        <v>0</v>
      </c>
      <c r="Q28" s="52">
        <f t="shared" si="10"/>
        <v>0</v>
      </c>
      <c r="R28" s="52">
        <f t="shared" si="10"/>
        <v>0</v>
      </c>
      <c r="S28" s="52">
        <f t="shared" si="10"/>
        <v>0</v>
      </c>
      <c r="T28" s="52">
        <f t="shared" si="10"/>
        <v>0</v>
      </c>
      <c r="U28" s="52">
        <f t="shared" si="10"/>
        <v>0</v>
      </c>
    </row>
    <row r="29" spans="2:21" s="41" customFormat="1" ht="12.4" x14ac:dyDescent="0.3">
      <c r="B29" s="43" t="s">
        <v>88</v>
      </c>
      <c r="C29" s="205"/>
      <c r="D29" s="43" t="s">
        <v>14</v>
      </c>
      <c r="E29" s="244"/>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0.15047832784952167</v>
      </c>
      <c r="P29" s="52">
        <f t="shared" si="11"/>
        <v>0</v>
      </c>
      <c r="Q29" s="52">
        <f t="shared" si="11"/>
        <v>0</v>
      </c>
      <c r="R29" s="52">
        <f t="shared" si="11"/>
        <v>0</v>
      </c>
      <c r="S29" s="52">
        <f t="shared" si="11"/>
        <v>0</v>
      </c>
      <c r="T29" s="52">
        <f t="shared" si="11"/>
        <v>0</v>
      </c>
      <c r="U29" s="52">
        <f t="shared" si="11"/>
        <v>0</v>
      </c>
    </row>
    <row r="30" spans="2:21" s="41" customFormat="1" ht="12.4" x14ac:dyDescent="0.3">
      <c r="B30" s="43" t="s">
        <v>427</v>
      </c>
      <c r="C30" s="205"/>
      <c r="D30" s="43" t="s">
        <v>14</v>
      </c>
      <c r="E30" s="244"/>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20974667.84379961</v>
      </c>
      <c r="P30" s="51">
        <f t="shared" si="13"/>
        <v>0</v>
      </c>
      <c r="Q30" s="51">
        <f t="shared" si="13"/>
        <v>0</v>
      </c>
      <c r="R30" s="51">
        <f t="shared" si="13"/>
        <v>0</v>
      </c>
      <c r="S30" s="51">
        <f t="shared" si="13"/>
        <v>0</v>
      </c>
      <c r="T30" s="51">
        <f t="shared" si="13"/>
        <v>0</v>
      </c>
      <c r="U30" s="51">
        <f t="shared" si="13"/>
        <v>0</v>
      </c>
    </row>
    <row r="31" spans="2:21" s="41" customFormat="1" ht="12.4" x14ac:dyDescent="0.3">
      <c r="B31" s="43" t="s">
        <v>17</v>
      </c>
      <c r="C31" s="205"/>
      <c r="D31" s="43" t="s">
        <v>14</v>
      </c>
      <c r="E31" s="244"/>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17854536.457275663</v>
      </c>
      <c r="P31" s="51">
        <f t="shared" si="14"/>
        <v>0</v>
      </c>
      <c r="Q31" s="51">
        <f t="shared" si="14"/>
        <v>0</v>
      </c>
      <c r="R31" s="51">
        <f t="shared" si="14"/>
        <v>0</v>
      </c>
      <c r="S31" s="51">
        <f t="shared" si="14"/>
        <v>0</v>
      </c>
      <c r="T31" s="51">
        <f t="shared" si="14"/>
        <v>0</v>
      </c>
      <c r="U31" s="51">
        <f t="shared" si="14"/>
        <v>0</v>
      </c>
    </row>
    <row r="32" spans="2:21" s="41" customFormat="1" ht="12.4" x14ac:dyDescent="0.3">
      <c r="B32" s="43" t="s">
        <v>2</v>
      </c>
      <c r="C32" s="205"/>
      <c r="D32" s="43" t="s">
        <v>14</v>
      </c>
      <c r="E32" s="244"/>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38829204.301075272</v>
      </c>
      <c r="P32" s="51">
        <f t="shared" si="15"/>
        <v>0</v>
      </c>
      <c r="Q32" s="51">
        <f t="shared" si="15"/>
        <v>0</v>
      </c>
      <c r="R32" s="51">
        <f t="shared" si="15"/>
        <v>0</v>
      </c>
      <c r="S32" s="51">
        <f t="shared" si="15"/>
        <v>0</v>
      </c>
      <c r="T32" s="51">
        <f t="shared" si="15"/>
        <v>0</v>
      </c>
      <c r="U32" s="51">
        <f t="shared" si="15"/>
        <v>0</v>
      </c>
    </row>
    <row r="33" spans="2:21" s="41" customFormat="1" ht="12.4" x14ac:dyDescent="0.3">
      <c r="B33" s="113" t="s">
        <v>421</v>
      </c>
      <c r="C33" s="205"/>
      <c r="D33" s="43" t="s">
        <v>14</v>
      </c>
      <c r="E33" s="244"/>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0.73849263586365788</v>
      </c>
      <c r="P33" s="52">
        <f t="shared" si="17"/>
        <v>0</v>
      </c>
      <c r="Q33" s="52">
        <f t="shared" si="17"/>
        <v>0</v>
      </c>
      <c r="R33" s="52">
        <f t="shared" si="17"/>
        <v>0</v>
      </c>
      <c r="S33" s="52">
        <f t="shared" si="17"/>
        <v>0</v>
      </c>
      <c r="T33" s="52">
        <f t="shared" si="17"/>
        <v>0</v>
      </c>
      <c r="U33" s="52">
        <f t="shared" si="17"/>
        <v>0</v>
      </c>
    </row>
    <row r="34" spans="2:21" s="41" customFormat="1" ht="12.4" x14ac:dyDescent="0.3">
      <c r="B34" s="43" t="s">
        <v>33</v>
      </c>
      <c r="C34" s="197"/>
      <c r="D34" s="43" t="s">
        <v>14</v>
      </c>
      <c r="E34" s="244"/>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0.7384926358636581</v>
      </c>
      <c r="P34" s="52">
        <f t="shared" si="18"/>
        <v>0</v>
      </c>
      <c r="Q34" s="52">
        <f t="shared" si="18"/>
        <v>0</v>
      </c>
      <c r="R34" s="52">
        <f t="shared" si="18"/>
        <v>0</v>
      </c>
      <c r="S34" s="52">
        <f t="shared" si="18"/>
        <v>0</v>
      </c>
      <c r="T34" s="52">
        <f t="shared" si="18"/>
        <v>0</v>
      </c>
      <c r="U34" s="52">
        <f t="shared" si="18"/>
        <v>0</v>
      </c>
    </row>
    <row r="35" spans="2:21" s="41" customFormat="1" ht="12.4" x14ac:dyDescent="0.3">
      <c r="B35" s="245" t="s">
        <v>15</v>
      </c>
      <c r="C35" s="245"/>
      <c r="D35" s="245"/>
      <c r="E35" s="245"/>
      <c r="F35" s="245"/>
      <c r="G35" s="245"/>
      <c r="H35" s="245"/>
      <c r="I35" s="245"/>
      <c r="J35" s="245"/>
      <c r="K35" s="245"/>
      <c r="L35" s="245"/>
      <c r="M35" s="245"/>
      <c r="N35" s="245"/>
      <c r="O35" s="245"/>
      <c r="P35" s="245"/>
      <c r="Q35" s="245"/>
      <c r="R35" s="245"/>
      <c r="S35" s="245"/>
      <c r="T35" s="245"/>
      <c r="U35" s="246"/>
    </row>
    <row r="36" spans="2:21" s="41" customFormat="1" ht="12.4" x14ac:dyDescent="0.3">
      <c r="B36" s="45" t="s">
        <v>447</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1.476985271727316</v>
      </c>
      <c r="P36" s="44">
        <f t="shared" si="19"/>
        <v>0</v>
      </c>
      <c r="Q36" s="44">
        <f t="shared" si="19"/>
        <v>0</v>
      </c>
      <c r="R36" s="44">
        <f t="shared" si="19"/>
        <v>0</v>
      </c>
      <c r="S36" s="44">
        <f t="shared" si="19"/>
        <v>0</v>
      </c>
      <c r="T36" s="44">
        <f t="shared" si="19"/>
        <v>0</v>
      </c>
      <c r="U36" s="44">
        <f t="shared" si="19"/>
        <v>0</v>
      </c>
    </row>
    <row r="37" spans="2:21" s="41" customFormat="1" ht="12.4" x14ac:dyDescent="0.3">
      <c r="K37" s="75"/>
    </row>
    <row r="38" spans="2:21" s="41" customFormat="1" ht="12.4" x14ac:dyDescent="0.3"/>
    <row r="39" spans="2:21" s="41" customFormat="1" ht="12.4" x14ac:dyDescent="0.3">
      <c r="B39" s="41" t="s">
        <v>70</v>
      </c>
    </row>
    <row r="40" spans="2:21" s="41" customFormat="1" ht="12.4" x14ac:dyDescent="0.3">
      <c r="B40" s="242" t="s">
        <v>448</v>
      </c>
      <c r="C40" s="243"/>
      <c r="D40" s="243"/>
      <c r="E40" s="243"/>
    </row>
    <row r="41" spans="2:21" s="41" customFormat="1" ht="14.25" customHeight="1" x14ac:dyDescent="0.3">
      <c r="B41" s="243" t="s">
        <v>71</v>
      </c>
      <c r="C41" s="243"/>
      <c r="D41" s="243"/>
      <c r="E41" s="243"/>
    </row>
    <row r="42" spans="2:21" s="41" customFormat="1" ht="16.5" customHeight="1" x14ac:dyDescent="0.3">
      <c r="B42" s="243" t="s">
        <v>72</v>
      </c>
      <c r="C42" s="243"/>
      <c r="D42" s="243"/>
      <c r="E42" s="243"/>
    </row>
    <row r="43" spans="2:21" s="41" customFormat="1" ht="45" customHeight="1" x14ac:dyDescent="0.3">
      <c r="B43" s="242" t="s">
        <v>449</v>
      </c>
      <c r="C43" s="243"/>
      <c r="D43" s="243"/>
      <c r="E43" s="243"/>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F6:I6"/>
    <mergeCell ref="F7:I7"/>
    <mergeCell ref="B3:L3"/>
    <mergeCell ref="B40:E40"/>
    <mergeCell ref="B6:B10"/>
    <mergeCell ref="C6:C10"/>
    <mergeCell ref="D6:D10"/>
    <mergeCell ref="E6:E7"/>
    <mergeCell ref="K6:U6"/>
    <mergeCell ref="K7:U7"/>
    <mergeCell ref="B11:U11"/>
    <mergeCell ref="B19:U19"/>
    <mergeCell ref="B43:E43"/>
    <mergeCell ref="B41:E41"/>
    <mergeCell ref="B42:E42"/>
    <mergeCell ref="E22:E34"/>
    <mergeCell ref="B35:U35"/>
    <mergeCell ref="C20:C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zoomScaleNormal="100" workbookViewId="0"/>
  </sheetViews>
  <sheetFormatPr defaultColWidth="0" defaultRowHeight="13.5" zeroHeight="1" x14ac:dyDescent="0.35"/>
  <cols>
    <col min="1" max="1" width="9" style="31" customWidth="1"/>
    <col min="2" max="2" width="48.1328125" style="31" bestFit="1" customWidth="1"/>
    <col min="3" max="3" width="32.86328125" style="3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3" t="s">
        <v>478</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8" s="41" customFormat="1" ht="31.5" customHeight="1" x14ac:dyDescent="0.3">
      <c r="B7" s="251"/>
      <c r="C7" s="251"/>
      <c r="D7" s="251"/>
      <c r="E7" s="253"/>
      <c r="F7" s="247" t="s">
        <v>469</v>
      </c>
      <c r="G7" s="248"/>
      <c r="H7" s="248"/>
      <c r="I7" s="249"/>
      <c r="J7" s="35"/>
      <c r="K7" s="257" t="s">
        <v>466</v>
      </c>
      <c r="L7" s="258"/>
      <c r="M7" s="258"/>
      <c r="N7" s="258"/>
      <c r="O7" s="258"/>
      <c r="P7" s="258"/>
      <c r="Q7" s="258"/>
      <c r="R7" s="258"/>
      <c r="S7" s="258"/>
      <c r="T7" s="258"/>
      <c r="U7" s="259"/>
    </row>
    <row r="8" spans="2:28" s="41" customFormat="1"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52"/>
      <c r="C10" s="252"/>
      <c r="D10" s="252"/>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8" s="41" customFormat="1" ht="12.4" x14ac:dyDescent="0.3">
      <c r="B12" s="152" t="s">
        <v>422</v>
      </c>
      <c r="C12" s="43" t="s">
        <v>89</v>
      </c>
      <c r="D12" s="43" t="s">
        <v>22</v>
      </c>
      <c r="E12" s="196"/>
      <c r="F12" s="63">
        <v>28094000</v>
      </c>
      <c r="G12" s="63">
        <v>28094000</v>
      </c>
      <c r="H12" s="63">
        <v>28094000</v>
      </c>
      <c r="I12" s="63">
        <v>28094000</v>
      </c>
      <c r="J12" s="35"/>
      <c r="K12" s="63">
        <v>28094000</v>
      </c>
      <c r="L12" s="63">
        <v>28254000</v>
      </c>
      <c r="M12" s="63">
        <v>28254000</v>
      </c>
      <c r="N12" s="63">
        <v>28402000</v>
      </c>
      <c r="O12" s="63">
        <v>28402000</v>
      </c>
      <c r="P12" s="63"/>
      <c r="Q12" s="63"/>
      <c r="R12" s="63"/>
      <c r="S12" s="63"/>
      <c r="T12" s="63"/>
      <c r="U12" s="63"/>
    </row>
    <row r="13" spans="2:28" s="41" customFormat="1" ht="12.4" x14ac:dyDescent="0.3">
      <c r="B13" s="45" t="s">
        <v>16</v>
      </c>
      <c r="C13" s="43" t="s">
        <v>89</v>
      </c>
      <c r="D13" s="43" t="s">
        <v>22</v>
      </c>
      <c r="E13" s="205"/>
      <c r="F13" s="63">
        <v>23714000</v>
      </c>
      <c r="G13" s="63">
        <v>23714000</v>
      </c>
      <c r="H13" s="63">
        <v>23714000</v>
      </c>
      <c r="I13" s="63">
        <v>23714000</v>
      </c>
      <c r="J13" s="35"/>
      <c r="K13" s="63">
        <v>23714000</v>
      </c>
      <c r="L13" s="63">
        <v>23915000</v>
      </c>
      <c r="M13" s="63">
        <v>23915000</v>
      </c>
      <c r="N13" s="63">
        <v>24177000</v>
      </c>
      <c r="O13" s="63">
        <v>24177000</v>
      </c>
      <c r="P13" s="63"/>
      <c r="Q13" s="63"/>
      <c r="R13" s="63"/>
      <c r="S13" s="63"/>
      <c r="T13" s="63"/>
      <c r="U13" s="63"/>
    </row>
    <row r="14" spans="2:28" s="41" customFormat="1" ht="12.4" x14ac:dyDescent="0.3">
      <c r="B14" s="45" t="s">
        <v>440</v>
      </c>
      <c r="C14" s="174" t="s">
        <v>531</v>
      </c>
      <c r="D14" s="43" t="s">
        <v>22</v>
      </c>
      <c r="E14" s="205"/>
      <c r="F14" s="63">
        <v>0</v>
      </c>
      <c r="G14" s="63">
        <v>0</v>
      </c>
      <c r="H14" s="63">
        <v>0</v>
      </c>
      <c r="I14" s="63">
        <v>767273</v>
      </c>
      <c r="J14" s="35"/>
      <c r="K14" s="63">
        <v>767273</v>
      </c>
      <c r="L14" s="63">
        <v>3069092</v>
      </c>
      <c r="M14" s="63">
        <v>6138184</v>
      </c>
      <c r="N14" s="63">
        <v>9261038</v>
      </c>
      <c r="O14" s="63">
        <v>3553039.7513767211</v>
      </c>
      <c r="P14" s="63"/>
      <c r="Q14" s="63"/>
      <c r="R14" s="63"/>
      <c r="S14" s="63"/>
      <c r="T14" s="63"/>
      <c r="U14" s="63"/>
    </row>
    <row r="15" spans="2:28" s="41" customFormat="1" ht="12.4" x14ac:dyDescent="0.3">
      <c r="B15" s="45" t="s">
        <v>20</v>
      </c>
      <c r="C15" s="174" t="s">
        <v>531</v>
      </c>
      <c r="D15" s="43" t="s">
        <v>22</v>
      </c>
      <c r="E15" s="205"/>
      <c r="F15" s="63">
        <v>0</v>
      </c>
      <c r="G15" s="63">
        <v>0</v>
      </c>
      <c r="H15" s="63">
        <v>0</v>
      </c>
      <c r="I15" s="63">
        <v>689010</v>
      </c>
      <c r="J15" s="35"/>
      <c r="K15" s="63">
        <v>689010</v>
      </c>
      <c r="L15" s="63">
        <v>2756039</v>
      </c>
      <c r="M15" s="63">
        <v>5512078</v>
      </c>
      <c r="N15" s="63">
        <v>8334231</v>
      </c>
      <c r="O15" s="63">
        <v>3011025.1506722383</v>
      </c>
      <c r="P15" s="63"/>
      <c r="Q15" s="63"/>
      <c r="R15" s="63"/>
      <c r="S15" s="63"/>
      <c r="T15" s="63"/>
      <c r="U15" s="63"/>
    </row>
    <row r="16" spans="2:28" s="41" customFormat="1" ht="12.4" x14ac:dyDescent="0.3">
      <c r="B16" s="45" t="s">
        <v>90</v>
      </c>
      <c r="C16" s="43" t="s">
        <v>30</v>
      </c>
      <c r="D16" s="43" t="s">
        <v>19</v>
      </c>
      <c r="E16" s="205"/>
      <c r="F16" s="64">
        <v>1</v>
      </c>
      <c r="G16" s="65"/>
      <c r="H16" s="64">
        <v>1</v>
      </c>
      <c r="I16" s="65"/>
      <c r="J16" s="35"/>
      <c r="K16" s="65"/>
      <c r="L16" s="64">
        <v>0.70070070070070067</v>
      </c>
      <c r="M16" s="65"/>
      <c r="N16" s="64">
        <v>0.95172715887997161</v>
      </c>
      <c r="O16" s="65"/>
      <c r="P16" s="64"/>
      <c r="Q16" s="65"/>
      <c r="R16" s="64"/>
      <c r="S16" s="65"/>
      <c r="T16" s="64"/>
      <c r="U16" s="65"/>
    </row>
    <row r="17" spans="2:21" s="41" customFormat="1" ht="12.4" x14ac:dyDescent="0.3">
      <c r="B17" s="45" t="s">
        <v>91</v>
      </c>
      <c r="C17" s="43" t="s">
        <v>30</v>
      </c>
      <c r="D17" s="43" t="s">
        <v>19</v>
      </c>
      <c r="E17" s="205"/>
      <c r="F17" s="66">
        <f>1-F16</f>
        <v>0</v>
      </c>
      <c r="G17" s="65"/>
      <c r="H17" s="66">
        <f>1-H16</f>
        <v>0</v>
      </c>
      <c r="I17" s="65"/>
      <c r="J17" s="35"/>
      <c r="K17" s="65"/>
      <c r="L17" s="66">
        <v>0.29929929929929933</v>
      </c>
      <c r="M17" s="65" t="str">
        <f t="shared" ref="M17:U17" si="0">IF(M16="","",1-M16)</f>
        <v/>
      </c>
      <c r="N17" s="66">
        <v>4.8272841120028387E-2</v>
      </c>
      <c r="O17" s="65" t="str">
        <f t="shared" si="0"/>
        <v/>
      </c>
      <c r="P17" s="66" t="str">
        <f>IF(P16="","",1-P16)</f>
        <v/>
      </c>
      <c r="Q17" s="65" t="str">
        <f t="shared" si="0"/>
        <v/>
      </c>
      <c r="R17" s="66" t="str">
        <f t="shared" si="0"/>
        <v/>
      </c>
      <c r="S17" s="65" t="str">
        <f t="shared" si="0"/>
        <v/>
      </c>
      <c r="T17" s="66" t="str">
        <f t="shared" si="0"/>
        <v/>
      </c>
      <c r="U17" s="65" t="str">
        <f t="shared" si="0"/>
        <v/>
      </c>
    </row>
    <row r="18" spans="2:21" s="41" customFormat="1" ht="12.4" x14ac:dyDescent="0.3">
      <c r="B18" s="45" t="s">
        <v>92</v>
      </c>
      <c r="C18" s="43" t="s">
        <v>31</v>
      </c>
      <c r="D18" s="43" t="s">
        <v>19</v>
      </c>
      <c r="E18" s="205"/>
      <c r="F18" s="65"/>
      <c r="G18" s="64">
        <v>1</v>
      </c>
      <c r="H18" s="65"/>
      <c r="I18" s="64">
        <f>11227566/(11227566+16500)</f>
        <v>0.99853255930728257</v>
      </c>
      <c r="J18" s="35"/>
      <c r="K18" s="64">
        <v>0.99853255930728257</v>
      </c>
      <c r="L18" s="65"/>
      <c r="M18" s="64">
        <v>0.70070070070070067</v>
      </c>
      <c r="N18" s="65"/>
      <c r="O18" s="64">
        <v>0.95172715887997161</v>
      </c>
      <c r="P18" s="65"/>
      <c r="Q18" s="64"/>
      <c r="R18" s="65"/>
      <c r="S18" s="64"/>
      <c r="T18" s="65"/>
      <c r="U18" s="64"/>
    </row>
    <row r="19" spans="2:21" s="41" customFormat="1" ht="12.4" x14ac:dyDescent="0.3">
      <c r="B19" s="45" t="s">
        <v>93</v>
      </c>
      <c r="C19" s="43" t="s">
        <v>31</v>
      </c>
      <c r="D19" s="43" t="s">
        <v>19</v>
      </c>
      <c r="E19" s="205"/>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v>4.8272841120028387E-2</v>
      </c>
      <c r="P19" s="65" t="str">
        <f t="shared" si="1"/>
        <v/>
      </c>
      <c r="Q19" s="66" t="str">
        <f t="shared" si="1"/>
        <v/>
      </c>
      <c r="R19" s="65" t="str">
        <f t="shared" si="1"/>
        <v/>
      </c>
      <c r="S19" s="66" t="str">
        <f t="shared" si="1"/>
        <v/>
      </c>
      <c r="T19" s="65" t="str">
        <f t="shared" si="1"/>
        <v/>
      </c>
      <c r="U19" s="66" t="str">
        <f t="shared" si="1"/>
        <v/>
      </c>
    </row>
    <row r="20" spans="2:21" s="41" customFormat="1" ht="12.4" x14ac:dyDescent="0.3">
      <c r="B20" s="45" t="s">
        <v>428</v>
      </c>
      <c r="C20" s="43" t="s">
        <v>30</v>
      </c>
      <c r="D20" s="43" t="s">
        <v>14</v>
      </c>
      <c r="E20" s="205"/>
      <c r="F20" s="67">
        <v>0.47299999999999998</v>
      </c>
      <c r="G20" s="65"/>
      <c r="H20" s="67">
        <v>0.65100000000000002</v>
      </c>
      <c r="I20" s="65"/>
      <c r="J20" s="35"/>
      <c r="K20" s="65"/>
      <c r="L20" s="67">
        <v>0.79600000000000004</v>
      </c>
      <c r="M20" s="65"/>
      <c r="N20" s="67">
        <v>0.97699999999999998</v>
      </c>
      <c r="O20" s="65"/>
      <c r="P20" s="67"/>
      <c r="Q20" s="65"/>
      <c r="R20" s="67"/>
      <c r="S20" s="65"/>
      <c r="T20" s="67"/>
      <c r="U20" s="65"/>
    </row>
    <row r="21" spans="2:21" s="41" customFormat="1" ht="12.4" x14ac:dyDescent="0.3">
      <c r="B21" s="45" t="s">
        <v>26</v>
      </c>
      <c r="C21" s="43" t="s">
        <v>30</v>
      </c>
      <c r="D21" s="43" t="s">
        <v>14</v>
      </c>
      <c r="E21" s="205"/>
      <c r="F21" s="67">
        <v>0.35799999999999998</v>
      </c>
      <c r="G21" s="65"/>
      <c r="H21" s="67">
        <v>0.49199999999999999</v>
      </c>
      <c r="I21" s="65"/>
      <c r="J21" s="35"/>
      <c r="K21" s="65"/>
      <c r="L21" s="67">
        <v>0.60099999999999998</v>
      </c>
      <c r="M21" s="65"/>
      <c r="N21" s="67">
        <v>0.73699999999999999</v>
      </c>
      <c r="O21" s="65"/>
      <c r="P21" s="67"/>
      <c r="Q21" s="65"/>
      <c r="R21" s="67"/>
      <c r="S21" s="65"/>
      <c r="T21" s="67"/>
      <c r="U21" s="65"/>
    </row>
    <row r="22" spans="2:21" s="41" customFormat="1" ht="12.4" x14ac:dyDescent="0.3">
      <c r="B22" s="115" t="s">
        <v>441</v>
      </c>
      <c r="C22" s="43" t="s">
        <v>30</v>
      </c>
      <c r="D22" s="43" t="s">
        <v>14</v>
      </c>
      <c r="E22" s="205"/>
      <c r="F22" s="67">
        <v>0.01</v>
      </c>
      <c r="G22" s="65"/>
      <c r="H22" s="67">
        <v>3.5000000000000003E-2</v>
      </c>
      <c r="I22" s="65"/>
      <c r="J22" s="35"/>
      <c r="K22" s="65"/>
      <c r="L22" s="67">
        <v>9.7000000000000003E-2</v>
      </c>
      <c r="M22" s="65"/>
      <c r="N22" s="67">
        <v>0.04</v>
      </c>
      <c r="O22" s="65"/>
      <c r="P22" s="67"/>
      <c r="Q22" s="65"/>
      <c r="R22" s="67"/>
      <c r="S22" s="65"/>
      <c r="T22" s="67"/>
      <c r="U22" s="65"/>
    </row>
    <row r="23" spans="2:21" s="41" customFormat="1" ht="12.4" x14ac:dyDescent="0.3">
      <c r="B23" s="170" t="s">
        <v>521</v>
      </c>
      <c r="C23" s="43" t="s">
        <v>30</v>
      </c>
      <c r="D23" s="43" t="s">
        <v>14</v>
      </c>
      <c r="E23" s="205"/>
      <c r="F23" s="67">
        <v>0.01</v>
      </c>
      <c r="G23" s="65"/>
      <c r="H23" s="67">
        <v>3.5000000000000003E-2</v>
      </c>
      <c r="I23" s="65"/>
      <c r="J23" s="35"/>
      <c r="K23" s="65"/>
      <c r="L23" s="67">
        <v>9.7000000000000003E-2</v>
      </c>
      <c r="M23" s="65"/>
      <c r="N23" s="67">
        <v>0.04</v>
      </c>
      <c r="O23" s="65"/>
      <c r="P23" s="67"/>
      <c r="Q23" s="65"/>
      <c r="R23" s="67"/>
      <c r="S23" s="65"/>
      <c r="T23" s="67"/>
      <c r="U23" s="65"/>
    </row>
    <row r="24" spans="2:21" s="41" customFormat="1" ht="12.4" x14ac:dyDescent="0.3">
      <c r="B24" s="45" t="s">
        <v>429</v>
      </c>
      <c r="C24" s="43" t="s">
        <v>30</v>
      </c>
      <c r="D24" s="43" t="s">
        <v>14</v>
      </c>
      <c r="E24" s="205"/>
      <c r="F24" s="67">
        <v>0.38100000000000001</v>
      </c>
      <c r="G24" s="65"/>
      <c r="H24" s="67">
        <v>0.34200000000000003</v>
      </c>
      <c r="I24" s="65"/>
      <c r="J24" s="35"/>
      <c r="K24" s="65"/>
      <c r="L24" s="67">
        <v>0.32500000000000001</v>
      </c>
      <c r="M24" s="65"/>
      <c r="N24" s="67">
        <v>0.34599999999999997</v>
      </c>
      <c r="O24" s="65"/>
      <c r="P24" s="67"/>
      <c r="Q24" s="65"/>
      <c r="R24" s="67"/>
      <c r="S24" s="65"/>
      <c r="T24" s="67"/>
      <c r="U24" s="65"/>
    </row>
    <row r="25" spans="2:21" s="41" customFormat="1" ht="12.4" x14ac:dyDescent="0.3">
      <c r="B25" s="170" t="s">
        <v>522</v>
      </c>
      <c r="C25" s="43" t="s">
        <v>30</v>
      </c>
      <c r="D25" s="43" t="s">
        <v>14</v>
      </c>
      <c r="E25" s="205"/>
      <c r="F25" s="67">
        <v>0.28799999999999998</v>
      </c>
      <c r="G25" s="65"/>
      <c r="H25" s="67">
        <v>0.25900000000000001</v>
      </c>
      <c r="I25" s="65"/>
      <c r="J25" s="35"/>
      <c r="K25" s="65"/>
      <c r="L25" s="67">
        <v>0.245</v>
      </c>
      <c r="M25" s="65"/>
      <c r="N25" s="67">
        <v>0.26100000000000001</v>
      </c>
      <c r="O25" s="65"/>
      <c r="P25" s="67"/>
      <c r="Q25" s="65"/>
      <c r="R25" s="67"/>
      <c r="S25" s="65"/>
      <c r="T25" s="67"/>
      <c r="U25" s="65"/>
    </row>
    <row r="26" spans="2:21" s="41" customFormat="1" ht="12.4" x14ac:dyDescent="0.3">
      <c r="B26" s="45" t="s">
        <v>430</v>
      </c>
      <c r="C26" s="43" t="s">
        <v>30</v>
      </c>
      <c r="D26" s="43" t="s">
        <v>14</v>
      </c>
      <c r="E26" s="205"/>
      <c r="F26" s="67" t="e">
        <f>NA()</f>
        <v>#N/A</v>
      </c>
      <c r="G26" s="65"/>
      <c r="H26" s="67" t="e">
        <f>NA()</f>
        <v>#N/A</v>
      </c>
      <c r="I26" s="65"/>
      <c r="J26" s="35"/>
      <c r="K26" s="65"/>
      <c r="L26" s="67">
        <v>0.53200000000000003</v>
      </c>
      <c r="M26" s="65"/>
      <c r="N26" s="67">
        <v>0.54700000000000004</v>
      </c>
      <c r="O26" s="65"/>
      <c r="P26" s="67"/>
      <c r="Q26" s="65"/>
      <c r="R26" s="67"/>
      <c r="S26" s="65"/>
      <c r="T26" s="67"/>
      <c r="U26" s="65"/>
    </row>
    <row r="27" spans="2:21" s="41" customFormat="1" ht="12.4" x14ac:dyDescent="0.3">
      <c r="B27" s="45" t="s">
        <v>94</v>
      </c>
      <c r="C27" s="43" t="s">
        <v>30</v>
      </c>
      <c r="D27" s="43" t="s">
        <v>14</v>
      </c>
      <c r="E27" s="205"/>
      <c r="F27" s="67" t="e">
        <f>NA()</f>
        <v>#N/A</v>
      </c>
      <c r="G27" s="65"/>
      <c r="H27" s="67" t="e">
        <f>NA()</f>
        <v>#N/A</v>
      </c>
      <c r="I27" s="65"/>
      <c r="J27" s="35"/>
      <c r="K27" s="65"/>
      <c r="L27" s="67">
        <v>0.40200000000000002</v>
      </c>
      <c r="M27" s="65"/>
      <c r="N27" s="67">
        <v>0.41299999999999998</v>
      </c>
      <c r="O27" s="65"/>
      <c r="P27" s="67"/>
      <c r="Q27" s="65"/>
      <c r="R27" s="67"/>
      <c r="S27" s="65"/>
      <c r="T27" s="67"/>
      <c r="U27" s="65"/>
    </row>
    <row r="28" spans="2:21" s="41" customFormat="1" ht="12.4" x14ac:dyDescent="0.3">
      <c r="B28" s="45" t="s">
        <v>27</v>
      </c>
      <c r="C28" s="43" t="s">
        <v>30</v>
      </c>
      <c r="D28" s="43" t="s">
        <v>14</v>
      </c>
      <c r="E28" s="205"/>
      <c r="F28" s="63">
        <v>5700000</v>
      </c>
      <c r="G28" s="68"/>
      <c r="H28" s="63">
        <v>9500000</v>
      </c>
      <c r="I28" s="68"/>
      <c r="J28" s="35"/>
      <c r="K28" s="68"/>
      <c r="L28" s="63">
        <v>4800000</v>
      </c>
      <c r="M28" s="68"/>
      <c r="N28" s="63">
        <v>3500000</v>
      </c>
      <c r="O28" s="68"/>
      <c r="P28" s="63"/>
      <c r="Q28" s="68"/>
      <c r="R28" s="63"/>
      <c r="S28" s="68"/>
      <c r="T28" s="63"/>
      <c r="U28" s="68"/>
    </row>
    <row r="29" spans="2:21" s="41" customFormat="1" ht="12.4" x14ac:dyDescent="0.3">
      <c r="B29" s="45" t="s">
        <v>431</v>
      </c>
      <c r="C29" s="43" t="s">
        <v>31</v>
      </c>
      <c r="D29" s="43" t="s">
        <v>14</v>
      </c>
      <c r="E29" s="205"/>
      <c r="F29" s="65"/>
      <c r="G29" s="67">
        <v>0.46300000000000002</v>
      </c>
      <c r="H29" s="65"/>
      <c r="I29" s="67">
        <v>0.65300000000000002</v>
      </c>
      <c r="J29" s="35"/>
      <c r="K29" s="67">
        <v>0.65300000000000002</v>
      </c>
      <c r="L29" s="65"/>
      <c r="M29" s="67">
        <v>0.78800000000000003</v>
      </c>
      <c r="N29" s="65"/>
      <c r="O29" s="67">
        <v>0.97699999999999998</v>
      </c>
      <c r="P29" s="65"/>
      <c r="Q29" s="67"/>
      <c r="R29" s="65"/>
      <c r="S29" s="67"/>
      <c r="T29" s="65"/>
      <c r="U29" s="67"/>
    </row>
    <row r="30" spans="2:21" s="41" customFormat="1" ht="12.4" x14ac:dyDescent="0.3">
      <c r="B30" s="45" t="s">
        <v>28</v>
      </c>
      <c r="C30" s="43" t="s">
        <v>31</v>
      </c>
      <c r="D30" s="43" t="s">
        <v>14</v>
      </c>
      <c r="E30" s="205"/>
      <c r="F30" s="65"/>
      <c r="G30" s="67">
        <v>0.35</v>
      </c>
      <c r="H30" s="65"/>
      <c r="I30" s="67">
        <v>0.49399999999999999</v>
      </c>
      <c r="J30" s="35"/>
      <c r="K30" s="67">
        <v>0.49399999999999999</v>
      </c>
      <c r="L30" s="65"/>
      <c r="M30" s="67">
        <v>0.59499999999999997</v>
      </c>
      <c r="N30" s="65"/>
      <c r="O30" s="67">
        <v>0.73799999999999999</v>
      </c>
      <c r="P30" s="65"/>
      <c r="Q30" s="67"/>
      <c r="R30" s="65"/>
      <c r="S30" s="67"/>
      <c r="T30" s="65"/>
      <c r="U30" s="67"/>
    </row>
    <row r="31" spans="2:21" s="41" customFormat="1" ht="12.4" x14ac:dyDescent="0.3">
      <c r="B31" s="115" t="s">
        <v>445</v>
      </c>
      <c r="C31" s="43" t="s">
        <v>31</v>
      </c>
      <c r="D31" s="43" t="s">
        <v>14</v>
      </c>
      <c r="E31" s="205"/>
      <c r="F31" s="65"/>
      <c r="G31" s="67">
        <v>0.01</v>
      </c>
      <c r="H31" s="65"/>
      <c r="I31" s="67">
        <v>3.5000000000000003E-2</v>
      </c>
      <c r="J31" s="35"/>
      <c r="K31" s="67">
        <v>3.5000000000000003E-2</v>
      </c>
      <c r="L31" s="65"/>
      <c r="M31" s="67">
        <v>3.7999999999999999E-2</v>
      </c>
      <c r="N31" s="65"/>
      <c r="O31" s="67">
        <v>0.04</v>
      </c>
      <c r="P31" s="65"/>
      <c r="Q31" s="67"/>
      <c r="R31" s="65"/>
      <c r="S31" s="67"/>
      <c r="T31" s="65"/>
      <c r="U31" s="67"/>
    </row>
    <row r="32" spans="2:21" s="41" customFormat="1" ht="12.4" x14ac:dyDescent="0.3">
      <c r="B32" s="170" t="s">
        <v>523</v>
      </c>
      <c r="C32" s="43" t="s">
        <v>31</v>
      </c>
      <c r="D32" s="43" t="s">
        <v>14</v>
      </c>
      <c r="E32" s="205"/>
      <c r="F32" s="65"/>
      <c r="G32" s="67">
        <v>0.01</v>
      </c>
      <c r="H32" s="65"/>
      <c r="I32" s="67">
        <v>3.5000000000000003E-2</v>
      </c>
      <c r="J32" s="35"/>
      <c r="K32" s="67">
        <v>3.5000000000000003E-2</v>
      </c>
      <c r="L32" s="65"/>
      <c r="M32" s="67">
        <v>3.7999999999999999E-2</v>
      </c>
      <c r="N32" s="65"/>
      <c r="O32" s="67">
        <v>0.04</v>
      </c>
      <c r="P32" s="65"/>
      <c r="Q32" s="67"/>
      <c r="R32" s="65"/>
      <c r="S32" s="67"/>
      <c r="T32" s="65"/>
      <c r="U32" s="67"/>
    </row>
    <row r="33" spans="2:21" s="41" customFormat="1" ht="12.4" x14ac:dyDescent="0.3">
      <c r="B33" s="45" t="s">
        <v>432</v>
      </c>
      <c r="C33" s="43" t="s">
        <v>30</v>
      </c>
      <c r="D33" s="43" t="s">
        <v>14</v>
      </c>
      <c r="E33" s="205"/>
      <c r="F33" s="65"/>
      <c r="G33" s="67">
        <v>0.38100000000000001</v>
      </c>
      <c r="H33" s="65"/>
      <c r="I33" s="67">
        <v>0.34300000000000003</v>
      </c>
      <c r="J33" s="35"/>
      <c r="K33" s="67">
        <v>0.34300000000000003</v>
      </c>
      <c r="L33" s="65"/>
      <c r="M33" s="67">
        <v>0.32500000000000001</v>
      </c>
      <c r="N33" s="65"/>
      <c r="O33" s="67">
        <v>0.34599999999999997</v>
      </c>
      <c r="P33" s="65"/>
      <c r="Q33" s="67"/>
      <c r="R33" s="65"/>
      <c r="S33" s="67"/>
      <c r="T33" s="65"/>
      <c r="U33" s="67"/>
    </row>
    <row r="34" spans="2:21" s="41" customFormat="1" ht="12.4" x14ac:dyDescent="0.3">
      <c r="B34" s="170" t="s">
        <v>524</v>
      </c>
      <c r="C34" s="43" t="s">
        <v>30</v>
      </c>
      <c r="D34" s="43" t="s">
        <v>14</v>
      </c>
      <c r="E34" s="205"/>
      <c r="F34" s="65"/>
      <c r="G34" s="67">
        <v>0.28799999999999998</v>
      </c>
      <c r="H34" s="65"/>
      <c r="I34" s="67">
        <v>0.25900000000000001</v>
      </c>
      <c r="J34" s="35"/>
      <c r="K34" s="67">
        <v>0.25900000000000001</v>
      </c>
      <c r="L34" s="65"/>
      <c r="M34" s="67">
        <v>0.245</v>
      </c>
      <c r="N34" s="65"/>
      <c r="O34" s="67">
        <v>0.26100000000000001</v>
      </c>
      <c r="P34" s="65"/>
      <c r="Q34" s="67"/>
      <c r="R34" s="65"/>
      <c r="S34" s="67"/>
      <c r="T34" s="65"/>
      <c r="U34" s="67"/>
    </row>
    <row r="35" spans="2:21" s="41" customFormat="1" ht="12.4" x14ac:dyDescent="0.3">
      <c r="B35" s="45" t="s">
        <v>433</v>
      </c>
      <c r="C35" s="43" t="s">
        <v>30</v>
      </c>
      <c r="D35" s="43" t="s">
        <v>14</v>
      </c>
      <c r="E35" s="205"/>
      <c r="F35" s="65"/>
      <c r="G35" s="67" t="e">
        <f>NA()</f>
        <v>#N/A</v>
      </c>
      <c r="H35" s="65"/>
      <c r="I35" s="67">
        <v>0.44500000000000001</v>
      </c>
      <c r="J35" s="35"/>
      <c r="K35" s="67">
        <v>0.44500000000000001</v>
      </c>
      <c r="L35" s="65"/>
      <c r="M35" s="67">
        <v>0.53200000000000003</v>
      </c>
      <c r="N35" s="65"/>
      <c r="O35" s="67">
        <v>0.54700000000000004</v>
      </c>
      <c r="P35" s="65"/>
      <c r="Q35" s="67"/>
      <c r="R35" s="65"/>
      <c r="S35" s="67"/>
      <c r="T35" s="65"/>
      <c r="U35" s="67"/>
    </row>
    <row r="36" spans="2:21" s="41" customFormat="1" ht="12.4" x14ac:dyDescent="0.3">
      <c r="B36" s="45" t="s">
        <v>95</v>
      </c>
      <c r="C36" s="43" t="s">
        <v>30</v>
      </c>
      <c r="D36" s="43" t="s">
        <v>14</v>
      </c>
      <c r="E36" s="205"/>
      <c r="F36" s="65"/>
      <c r="G36" s="67" t="e">
        <f>NA()</f>
        <v>#N/A</v>
      </c>
      <c r="H36" s="65"/>
      <c r="I36" s="67">
        <v>0.33600000000000002</v>
      </c>
      <c r="J36" s="35"/>
      <c r="K36" s="67">
        <v>0.33600000000000002</v>
      </c>
      <c r="L36" s="65"/>
      <c r="M36" s="67">
        <v>0.40200000000000002</v>
      </c>
      <c r="N36" s="65"/>
      <c r="O36" s="67">
        <v>0.41299999999999998</v>
      </c>
      <c r="P36" s="65"/>
      <c r="Q36" s="67"/>
      <c r="R36" s="65"/>
      <c r="S36" s="67"/>
      <c r="T36" s="65"/>
      <c r="U36" s="67"/>
    </row>
    <row r="37" spans="2:21" s="41" customFormat="1" ht="12.4" x14ac:dyDescent="0.3">
      <c r="B37" s="45" t="s">
        <v>29</v>
      </c>
      <c r="C37" s="43" t="s">
        <v>31</v>
      </c>
      <c r="D37" s="43" t="s">
        <v>14</v>
      </c>
      <c r="E37" s="205"/>
      <c r="F37" s="68"/>
      <c r="G37" s="63">
        <v>5700000</v>
      </c>
      <c r="H37" s="68"/>
      <c r="I37" s="63">
        <v>9500000</v>
      </c>
      <c r="J37" s="35"/>
      <c r="K37" s="63">
        <v>9500000</v>
      </c>
      <c r="L37" s="68"/>
      <c r="M37" s="63">
        <v>4800000</v>
      </c>
      <c r="N37" s="68"/>
      <c r="O37" s="63">
        <v>3500000</v>
      </c>
      <c r="P37" s="68"/>
      <c r="Q37" s="63"/>
      <c r="R37" s="68"/>
      <c r="S37" s="63"/>
      <c r="T37" s="68"/>
      <c r="U37" s="63"/>
    </row>
    <row r="38" spans="2:21" s="41" customFormat="1" ht="12.4" x14ac:dyDescent="0.3">
      <c r="B38" s="45" t="s">
        <v>400</v>
      </c>
      <c r="C38" s="43"/>
      <c r="D38" s="43" t="s">
        <v>24</v>
      </c>
      <c r="E38" s="205"/>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 x14ac:dyDescent="0.3">
      <c r="B39" s="245" t="s">
        <v>399</v>
      </c>
      <c r="C39" s="245"/>
      <c r="D39" s="245"/>
      <c r="E39" s="245"/>
      <c r="F39" s="245"/>
      <c r="G39" s="245"/>
      <c r="H39" s="245"/>
      <c r="I39" s="245"/>
      <c r="J39" s="245"/>
      <c r="K39" s="245"/>
      <c r="L39" s="245"/>
      <c r="M39" s="245"/>
      <c r="N39" s="245"/>
      <c r="O39" s="245"/>
      <c r="P39" s="245"/>
      <c r="Q39" s="245"/>
      <c r="R39" s="245"/>
      <c r="S39" s="245"/>
      <c r="T39" s="245"/>
      <c r="U39" s="246"/>
    </row>
    <row r="40" spans="2:21" s="41" customFormat="1" ht="12.4" x14ac:dyDescent="0.3">
      <c r="B40" s="43" t="s">
        <v>424</v>
      </c>
      <c r="C40" s="196"/>
      <c r="D40" s="43" t="s">
        <v>19</v>
      </c>
      <c r="E40" s="205"/>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f t="shared" si="4"/>
        <v>0.54017763745982239</v>
      </c>
      <c r="P40" s="69" t="str">
        <f t="shared" si="3"/>
        <v/>
      </c>
      <c r="Q40" s="69" t="str">
        <f>IFERROR(Q12/SUM(Q$12:Q$13),"")</f>
        <v/>
      </c>
      <c r="R40" s="69" t="str">
        <f t="shared" si="3"/>
        <v/>
      </c>
      <c r="S40" s="69" t="str">
        <f>IFERROR(S12/SUM(S$12:S$13),"")</f>
        <v/>
      </c>
      <c r="T40" s="69" t="str">
        <f t="shared" si="3"/>
        <v/>
      </c>
      <c r="U40" s="69" t="str">
        <f>IFERROR(U12/SUM(U$12:U$13),"")</f>
        <v/>
      </c>
    </row>
    <row r="41" spans="2:21" s="41" customFormat="1" ht="12.4" x14ac:dyDescent="0.3">
      <c r="B41" s="43" t="s">
        <v>18</v>
      </c>
      <c r="C41" s="205"/>
      <c r="D41" s="43" t="s">
        <v>19</v>
      </c>
      <c r="E41" s="205"/>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f t="shared" si="4"/>
        <v>0.45982236254017766</v>
      </c>
      <c r="P41" s="69" t="str">
        <f t="shared" si="5"/>
        <v/>
      </c>
      <c r="Q41" s="69" t="str">
        <f>IFERROR(Q13/SUM(Q$12:Q$13),"")</f>
        <v/>
      </c>
      <c r="R41" s="69" t="str">
        <f t="shared" si="5"/>
        <v/>
      </c>
      <c r="S41" s="69" t="str">
        <f>IFERROR(S13/SUM(S$12:S$13),"")</f>
        <v/>
      </c>
      <c r="T41" s="69" t="str">
        <f t="shared" si="5"/>
        <v/>
      </c>
      <c r="U41" s="69" t="str">
        <f>IFERROR(U13/SUM(U$12:U$13),"")</f>
        <v/>
      </c>
    </row>
    <row r="42" spans="2:21" s="41" customFormat="1" ht="12.4" x14ac:dyDescent="0.3">
      <c r="B42" s="43" t="s">
        <v>434</v>
      </c>
      <c r="C42" s="205"/>
      <c r="D42" s="43" t="s">
        <v>14</v>
      </c>
      <c r="E42" s="205"/>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332985048</v>
      </c>
      <c r="P42" s="44">
        <f t="shared" si="6"/>
        <v>0</v>
      </c>
      <c r="Q42" s="44">
        <f>((Q20+Q29)*Q12*Q$38)</f>
        <v>0</v>
      </c>
      <c r="R42" s="44">
        <f t="shared" si="6"/>
        <v>0</v>
      </c>
      <c r="S42" s="44">
        <f>((S20+S29)*S12*S$38)</f>
        <v>0</v>
      </c>
      <c r="T42" s="44">
        <f t="shared" si="6"/>
        <v>0</v>
      </c>
      <c r="U42" s="44">
        <f>((U20+U29)*U12*U$38)</f>
        <v>0</v>
      </c>
    </row>
    <row r="43" spans="2:21" s="41" customFormat="1" ht="12.4" x14ac:dyDescent="0.3">
      <c r="B43" s="43" t="s">
        <v>21</v>
      </c>
      <c r="C43" s="205"/>
      <c r="D43" s="43" t="s">
        <v>14</v>
      </c>
      <c r="E43" s="205"/>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214111512</v>
      </c>
      <c r="P43" s="44">
        <f t="shared" si="7"/>
        <v>0</v>
      </c>
      <c r="Q43" s="44">
        <f>(Q21+Q30)*Q13*Q$38</f>
        <v>0</v>
      </c>
      <c r="R43" s="44">
        <f t="shared" si="7"/>
        <v>0</v>
      </c>
      <c r="S43" s="44">
        <f>(S21+S30)*S13*S$38</f>
        <v>0</v>
      </c>
      <c r="T43" s="44">
        <f t="shared" si="7"/>
        <v>0</v>
      </c>
      <c r="U43" s="44">
        <f>(U21+U30)*U13*U$38</f>
        <v>0</v>
      </c>
    </row>
    <row r="44" spans="2:21" s="41" customFormat="1" ht="12.4" x14ac:dyDescent="0.3">
      <c r="B44" s="113" t="s">
        <v>442</v>
      </c>
      <c r="C44" s="205"/>
      <c r="D44" s="43" t="s">
        <v>14</v>
      </c>
      <c r="E44" s="205"/>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13632960</v>
      </c>
      <c r="P44" s="44">
        <f t="shared" si="9"/>
        <v>0</v>
      </c>
      <c r="Q44" s="44">
        <f>Q12*(Q22+Q31)*Q$38</f>
        <v>0</v>
      </c>
      <c r="R44" s="44">
        <f t="shared" si="9"/>
        <v>0</v>
      </c>
      <c r="S44" s="44">
        <f>S12*(S22+S31)*S$38</f>
        <v>0</v>
      </c>
      <c r="T44" s="44">
        <f t="shared" si="9"/>
        <v>0</v>
      </c>
      <c r="U44" s="44">
        <f>U12*(U22+U31)*U$38</f>
        <v>0</v>
      </c>
    </row>
    <row r="45" spans="2:21" s="41" customFormat="1" ht="12.4" x14ac:dyDescent="0.3">
      <c r="B45" s="113" t="s">
        <v>443</v>
      </c>
      <c r="C45" s="205"/>
      <c r="D45" s="43" t="s">
        <v>14</v>
      </c>
      <c r="E45" s="205"/>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11604960</v>
      </c>
      <c r="P45" s="44">
        <f t="shared" si="11"/>
        <v>0</v>
      </c>
      <c r="Q45" s="44">
        <f>Q13*(Q23+Q32)*Q$38</f>
        <v>0</v>
      </c>
      <c r="R45" s="44">
        <f t="shared" si="11"/>
        <v>0</v>
      </c>
      <c r="S45" s="44">
        <f>S13*(S23+S32)*S$38</f>
        <v>0</v>
      </c>
      <c r="T45" s="44">
        <f t="shared" si="11"/>
        <v>0</v>
      </c>
      <c r="U45" s="44">
        <f>U13*(U23+U32)*U$38</f>
        <v>0</v>
      </c>
    </row>
    <row r="46" spans="2:21" s="41" customFormat="1" ht="12.4" x14ac:dyDescent="0.3">
      <c r="B46" s="43" t="s">
        <v>435</v>
      </c>
      <c r="C46" s="205"/>
      <c r="D46" s="43" t="s">
        <v>14</v>
      </c>
      <c r="E46" s="205"/>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14040089.424912207</v>
      </c>
      <c r="P46" s="44">
        <f t="shared" ref="P46:T46" si="12">P14*P16*(P33+P24)*P$38</f>
        <v>0</v>
      </c>
      <c r="Q46" s="44">
        <f>Q14*Q18*(Q33+Q24)*Q$38</f>
        <v>0</v>
      </c>
      <c r="R46" s="44">
        <f t="shared" si="12"/>
        <v>0</v>
      </c>
      <c r="S46" s="44">
        <f>S14*S18*(S33+S24)*S$38</f>
        <v>0</v>
      </c>
      <c r="T46" s="44">
        <f t="shared" si="12"/>
        <v>0</v>
      </c>
      <c r="U46" s="44">
        <f>U14*U18*(U33+U24)*U$38</f>
        <v>0</v>
      </c>
    </row>
    <row r="47" spans="2:21" s="41" customFormat="1" ht="12.4" x14ac:dyDescent="0.3">
      <c r="B47" s="43" t="s">
        <v>97</v>
      </c>
      <c r="C47" s="205"/>
      <c r="D47" s="43" t="s">
        <v>14</v>
      </c>
      <c r="E47" s="205"/>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8975292.2582757212</v>
      </c>
      <c r="P47" s="44">
        <f t="shared" ref="P47:T47" si="13">P15*P16*(P34+P25)*P$38</f>
        <v>0</v>
      </c>
      <c r="Q47" s="44">
        <f>Q15*Q18*(Q34+Q25)*Q$38</f>
        <v>0</v>
      </c>
      <c r="R47" s="44">
        <f t="shared" si="13"/>
        <v>0</v>
      </c>
      <c r="S47" s="44">
        <f>S15*S18*(S34+S25)*S$38</f>
        <v>0</v>
      </c>
      <c r="T47" s="44">
        <f t="shared" si="13"/>
        <v>0</v>
      </c>
      <c r="U47" s="44">
        <f>U15*U18*(U34+U25)*U$38</f>
        <v>0</v>
      </c>
    </row>
    <row r="48" spans="2:21" s="41" customFormat="1" ht="12.4" x14ac:dyDescent="0.3">
      <c r="B48" s="43" t="s">
        <v>436</v>
      </c>
      <c r="C48" s="205"/>
      <c r="D48" s="43" t="s">
        <v>14</v>
      </c>
      <c r="E48" s="205"/>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1125826.5828721253</v>
      </c>
      <c r="P48" s="44">
        <f t="shared" ref="P48" si="16">IFERROR(P14*P17*(P35+P26)*P$38,0)</f>
        <v>0</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05"/>
      <c r="D49" s="43" t="s">
        <v>14</v>
      </c>
      <c r="E49" s="205"/>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720358.26103095268</v>
      </c>
      <c r="P49" s="44">
        <f t="shared" ref="P49" si="25">IFERROR(P15*P17*(P36+P27)*P$38,0)</f>
        <v>0</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437</v>
      </c>
      <c r="C50" s="205"/>
      <c r="D50" s="43" t="s">
        <v>14</v>
      </c>
      <c r="E50" s="205"/>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1890621.7311093784</v>
      </c>
      <c r="P50" s="44">
        <f t="shared" si="32"/>
        <v>0</v>
      </c>
      <c r="Q50" s="44">
        <f>IFERROR((Q$28+Q$37)*Q40,0)</f>
        <v>0</v>
      </c>
      <c r="R50" s="44">
        <f t="shared" si="32"/>
        <v>0</v>
      </c>
      <c r="S50" s="44">
        <f>IFERROR((S$28+S$37)*S40,0)</f>
        <v>0</v>
      </c>
      <c r="T50" s="44">
        <f t="shared" si="32"/>
        <v>0</v>
      </c>
      <c r="U50" s="44">
        <f>IFERROR((U$28+U$37)*U40,0)</f>
        <v>0</v>
      </c>
    </row>
    <row r="51" spans="2:21" s="41" customFormat="1" ht="12.4" x14ac:dyDescent="0.3">
      <c r="B51" s="43" t="s">
        <v>25</v>
      </c>
      <c r="C51" s="205"/>
      <c r="D51" s="43" t="s">
        <v>14</v>
      </c>
      <c r="E51" s="205"/>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1609378.2688906218</v>
      </c>
      <c r="P51" s="44">
        <f t="shared" si="33"/>
        <v>0</v>
      </c>
      <c r="Q51" s="44">
        <f>IFERROR((Q$28+Q$37)*Q41,0)</f>
        <v>0</v>
      </c>
      <c r="R51" s="44">
        <f t="shared" si="33"/>
        <v>0</v>
      </c>
      <c r="S51" s="44">
        <f>IFERROR((S$28+S$37)*S41,0)</f>
        <v>0</v>
      </c>
      <c r="T51" s="44">
        <f t="shared" si="33"/>
        <v>0</v>
      </c>
      <c r="U51" s="44">
        <f>IFERROR((U$28+U$37)*U41,0)</f>
        <v>0</v>
      </c>
    </row>
    <row r="52" spans="2:21" s="41" customFormat="1" ht="12.4" x14ac:dyDescent="0.3">
      <c r="B52" s="43" t="s">
        <v>438</v>
      </c>
      <c r="C52" s="205"/>
      <c r="D52" s="43" t="s">
        <v>14</v>
      </c>
      <c r="E52" s="205"/>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363674545.73889375</v>
      </c>
      <c r="P52" s="44">
        <f t="shared" si="36"/>
        <v>0</v>
      </c>
      <c r="Q52" s="44">
        <f t="shared" si="36"/>
        <v>0</v>
      </c>
      <c r="R52" s="44">
        <f t="shared" si="36"/>
        <v>0</v>
      </c>
      <c r="S52" s="44">
        <f t="shared" si="36"/>
        <v>0</v>
      </c>
      <c r="T52" s="44">
        <f t="shared" si="36"/>
        <v>0</v>
      </c>
      <c r="U52" s="44">
        <f t="shared" si="36"/>
        <v>0</v>
      </c>
    </row>
    <row r="53" spans="2:21" s="41" customFormat="1" ht="12.4" x14ac:dyDescent="0.3">
      <c r="B53" s="43" t="s">
        <v>23</v>
      </c>
      <c r="C53" s="205"/>
      <c r="D53" s="43" t="s">
        <v>14</v>
      </c>
      <c r="E53" s="205"/>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237021500.78819728</v>
      </c>
      <c r="P53" s="44">
        <f t="shared" si="38"/>
        <v>0</v>
      </c>
      <c r="Q53" s="44">
        <f t="shared" si="38"/>
        <v>0</v>
      </c>
      <c r="R53" s="44">
        <f t="shared" si="38"/>
        <v>0</v>
      </c>
      <c r="S53" s="44">
        <f t="shared" si="38"/>
        <v>0</v>
      </c>
      <c r="T53" s="44">
        <f t="shared" si="38"/>
        <v>0</v>
      </c>
      <c r="U53" s="44">
        <f t="shared" si="38"/>
        <v>0</v>
      </c>
    </row>
    <row r="54" spans="2:21" s="41" customFormat="1" ht="12.4" x14ac:dyDescent="0.3">
      <c r="B54" s="43" t="s">
        <v>439</v>
      </c>
      <c r="C54" s="205"/>
      <c r="D54" s="43" t="s">
        <v>14</v>
      </c>
      <c r="E54" s="205"/>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12.80454002319885</v>
      </c>
      <c r="P54" s="44">
        <f t="shared" si="40"/>
        <v>0</v>
      </c>
      <c r="Q54" s="44">
        <f>IFERROR(Q52/Q12,0)</f>
        <v>0</v>
      </c>
      <c r="R54" s="44">
        <f t="shared" si="40"/>
        <v>0</v>
      </c>
      <c r="S54" s="44">
        <f>IFERROR(S52/S12,0)</f>
        <v>0</v>
      </c>
      <c r="T54" s="44">
        <f t="shared" si="40"/>
        <v>0</v>
      </c>
      <c r="U54" s="44">
        <f>IFERROR(U52/U12,0)</f>
        <v>0</v>
      </c>
    </row>
    <row r="55" spans="2:21" s="41" customFormat="1" ht="12.4" x14ac:dyDescent="0.3">
      <c r="B55" s="43" t="s">
        <v>34</v>
      </c>
      <c r="C55" s="197"/>
      <c r="D55" s="43" t="s">
        <v>14</v>
      </c>
      <c r="E55" s="205"/>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9.8035943577862135</v>
      </c>
      <c r="P55" s="44">
        <f t="shared" si="42"/>
        <v>0</v>
      </c>
      <c r="Q55" s="44">
        <f>IFERROR(Q53/Q13,0)</f>
        <v>0</v>
      </c>
      <c r="R55" s="44">
        <f t="shared" si="42"/>
        <v>0</v>
      </c>
      <c r="S55" s="44">
        <f>IFERROR(S53/S13,0)</f>
        <v>0</v>
      </c>
      <c r="T55" s="44">
        <f t="shared" si="42"/>
        <v>0</v>
      </c>
      <c r="U55" s="44">
        <f>IFERROR(U53/U13,0)</f>
        <v>0</v>
      </c>
    </row>
    <row r="56" spans="2:21" s="41" customFormat="1" ht="12.4" x14ac:dyDescent="0.3">
      <c r="B56" s="245" t="s">
        <v>15</v>
      </c>
      <c r="C56" s="245"/>
      <c r="D56" s="245"/>
      <c r="E56" s="245"/>
      <c r="F56" s="245"/>
      <c r="G56" s="245"/>
      <c r="H56" s="245"/>
      <c r="I56" s="245"/>
      <c r="J56" s="245"/>
      <c r="K56" s="245"/>
      <c r="L56" s="245"/>
      <c r="M56" s="245"/>
      <c r="N56" s="245"/>
      <c r="O56" s="245"/>
      <c r="P56" s="245"/>
      <c r="Q56" s="245"/>
      <c r="R56" s="245"/>
      <c r="S56" s="245"/>
      <c r="T56" s="245"/>
      <c r="U56" s="246"/>
    </row>
    <row r="57" spans="2:21" s="41" customFormat="1" ht="12.4"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22.608134380985064</v>
      </c>
      <c r="P57" s="44">
        <f t="shared" si="43"/>
        <v>0</v>
      </c>
      <c r="Q57" s="44">
        <f t="shared" si="43"/>
        <v>0</v>
      </c>
      <c r="R57" s="44">
        <f t="shared" si="43"/>
        <v>0</v>
      </c>
      <c r="S57" s="44">
        <f t="shared" si="43"/>
        <v>0</v>
      </c>
      <c r="T57" s="44">
        <f t="shared" si="43"/>
        <v>0</v>
      </c>
      <c r="U57" s="44">
        <f t="shared" si="43"/>
        <v>0</v>
      </c>
    </row>
    <row r="58" spans="2:21" s="41" customFormat="1" ht="12.4" x14ac:dyDescent="0.3">
      <c r="K58" s="70"/>
      <c r="O58" s="177"/>
    </row>
    <row r="59" spans="2:21" x14ac:dyDescent="0.35"/>
    <row r="60" spans="2:21" x14ac:dyDescent="0.35"/>
    <row r="61" spans="2:21" x14ac:dyDescent="0.35">
      <c r="B61" s="31" t="s">
        <v>70</v>
      </c>
    </row>
    <row r="62" spans="2:21" ht="13.5" customHeight="1" x14ac:dyDescent="0.35">
      <c r="B62" s="260" t="s">
        <v>470</v>
      </c>
      <c r="C62" s="260"/>
      <c r="D62" s="260"/>
      <c r="E62" s="260"/>
      <c r="F62" s="260"/>
      <c r="G62" s="260"/>
      <c r="H62" s="260"/>
      <c r="I62" s="260"/>
      <c r="J62" s="260"/>
      <c r="K62" s="260"/>
    </row>
    <row r="63" spans="2:21" x14ac:dyDescent="0.35">
      <c r="B63" s="132" t="s">
        <v>444</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11:U11"/>
    <mergeCell ref="B39:U39"/>
    <mergeCell ref="B6:B10"/>
    <mergeCell ref="C6:C10"/>
    <mergeCell ref="D6:D10"/>
    <mergeCell ref="E6:E7"/>
    <mergeCell ref="K6:U6"/>
    <mergeCell ref="K7:U7"/>
    <mergeCell ref="F6:I6"/>
    <mergeCell ref="F7:I7"/>
    <mergeCell ref="B56:U56"/>
    <mergeCell ref="C40:C55"/>
    <mergeCell ref="E12:E38"/>
    <mergeCell ref="E40:E55"/>
    <mergeCell ref="B62:K6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zoomScaleNormal="100" workbookViewId="0"/>
  </sheetViews>
  <sheetFormatPr defaultColWidth="0" defaultRowHeight="12.4" zeroHeight="1" x14ac:dyDescent="0.3"/>
  <cols>
    <col min="1" max="1" width="9" style="41" customWidth="1"/>
    <col min="2" max="2" width="48.1328125" style="41" bestFit="1" customWidth="1"/>
    <col min="3" max="3" width="37" style="41" customWidth="1"/>
    <col min="4" max="4" width="11.59765625" style="41" bestFit="1" customWidth="1"/>
    <col min="5" max="5" width="26.3984375" style="41" customWidth="1"/>
    <col min="6" max="9" width="19.59765625" style="41" customWidth="1"/>
    <col min="10" max="10" width="1.1328125" style="41" customWidth="1"/>
    <col min="11" max="21" width="19.597656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7"/>
      <c r="D2" s="57"/>
      <c r="E2" s="57"/>
      <c r="F2" s="57"/>
      <c r="G2" s="57"/>
      <c r="H2" s="57"/>
      <c r="I2" s="57"/>
      <c r="J2" s="57"/>
      <c r="K2" s="57"/>
    </row>
    <row r="3" spans="2:29" s="33" customFormat="1" ht="14.25" customHeight="1" x14ac:dyDescent="0.3">
      <c r="B3" s="240" t="s">
        <v>508</v>
      </c>
      <c r="C3" s="208"/>
      <c r="D3" s="208"/>
      <c r="E3" s="208"/>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50" t="s">
        <v>12</v>
      </c>
      <c r="C6" s="250" t="s">
        <v>9</v>
      </c>
      <c r="D6" s="250" t="s">
        <v>10</v>
      </c>
      <c r="E6" s="253"/>
      <c r="F6" s="209" t="s">
        <v>463</v>
      </c>
      <c r="G6" s="210"/>
      <c r="H6" s="210"/>
      <c r="I6" s="211"/>
      <c r="J6" s="35"/>
      <c r="K6" s="254" t="s">
        <v>464</v>
      </c>
      <c r="L6" s="255"/>
      <c r="M6" s="255"/>
      <c r="N6" s="255"/>
      <c r="O6" s="255"/>
      <c r="P6" s="255"/>
      <c r="Q6" s="255"/>
      <c r="R6" s="255"/>
      <c r="S6" s="255"/>
      <c r="T6" s="255"/>
      <c r="U6" s="256"/>
    </row>
    <row r="7" spans="2:29" ht="30" customHeight="1" x14ac:dyDescent="0.3">
      <c r="B7" s="251"/>
      <c r="C7" s="251"/>
      <c r="D7" s="251"/>
      <c r="E7" s="253"/>
      <c r="F7" s="261" t="s">
        <v>469</v>
      </c>
      <c r="G7" s="262"/>
      <c r="H7" s="262"/>
      <c r="I7" s="263"/>
      <c r="J7" s="35"/>
      <c r="K7" s="257" t="s">
        <v>466</v>
      </c>
      <c r="L7" s="258"/>
      <c r="M7" s="258"/>
      <c r="N7" s="258"/>
      <c r="O7" s="258"/>
      <c r="P7" s="258"/>
      <c r="Q7" s="258"/>
      <c r="R7" s="258"/>
      <c r="S7" s="258"/>
      <c r="T7" s="258"/>
      <c r="U7" s="259"/>
    </row>
    <row r="8" spans="2:29" ht="24.75" x14ac:dyDescent="0.3">
      <c r="B8" s="251"/>
      <c r="C8" s="251"/>
      <c r="D8" s="251"/>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9" x14ac:dyDescent="0.3">
      <c r="B9" s="251"/>
      <c r="C9" s="251"/>
      <c r="D9" s="251"/>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52"/>
      <c r="C10" s="252"/>
      <c r="D10" s="252"/>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45" t="s">
        <v>398</v>
      </c>
      <c r="C11" s="245"/>
      <c r="D11" s="245"/>
      <c r="E11" s="245"/>
      <c r="F11" s="245"/>
      <c r="G11" s="245"/>
      <c r="H11" s="245"/>
      <c r="I11" s="245"/>
      <c r="J11" s="245"/>
      <c r="K11" s="245"/>
      <c r="L11" s="245"/>
      <c r="M11" s="245"/>
      <c r="N11" s="245"/>
      <c r="O11" s="245"/>
      <c r="P11" s="245"/>
      <c r="Q11" s="245"/>
      <c r="R11" s="245"/>
      <c r="S11" s="245"/>
      <c r="T11" s="245"/>
      <c r="U11" s="246"/>
    </row>
    <row r="12" spans="2:29" x14ac:dyDescent="0.3">
      <c r="B12" s="43" t="s">
        <v>73</v>
      </c>
      <c r="C12" s="79" t="s">
        <v>410</v>
      </c>
      <c r="D12" s="43" t="s">
        <v>14</v>
      </c>
      <c r="F12" s="63">
        <v>250000</v>
      </c>
      <c r="G12" s="63">
        <v>250000</v>
      </c>
      <c r="H12" s="63">
        <v>250000</v>
      </c>
      <c r="I12" s="63">
        <v>250000</v>
      </c>
      <c r="J12" s="35"/>
      <c r="K12" s="63">
        <v>250000</v>
      </c>
      <c r="L12" s="63">
        <v>250000</v>
      </c>
      <c r="M12" s="63">
        <v>250000</v>
      </c>
      <c r="N12" s="63">
        <v>250000</v>
      </c>
      <c r="O12" s="63">
        <v>250000</v>
      </c>
      <c r="P12" s="77"/>
      <c r="Q12" s="77"/>
      <c r="R12" s="77"/>
      <c r="S12" s="77"/>
      <c r="T12" s="77"/>
      <c r="U12" s="77"/>
    </row>
    <row r="13" spans="2:29" x14ac:dyDescent="0.3">
      <c r="B13" s="45" t="s">
        <v>422</v>
      </c>
      <c r="C13" s="43" t="s">
        <v>89</v>
      </c>
      <c r="D13" s="43" t="s">
        <v>22</v>
      </c>
      <c r="F13" s="63">
        <v>28094000</v>
      </c>
      <c r="G13" s="63">
        <v>28094000</v>
      </c>
      <c r="H13" s="63">
        <v>28094000</v>
      </c>
      <c r="I13" s="63">
        <v>28094000</v>
      </c>
      <c r="J13" s="35"/>
      <c r="K13" s="63">
        <v>28094000</v>
      </c>
      <c r="L13" s="63">
        <v>28254000</v>
      </c>
      <c r="M13" s="63">
        <v>28254000</v>
      </c>
      <c r="N13" s="63">
        <v>28402000</v>
      </c>
      <c r="O13" s="63">
        <v>28402000</v>
      </c>
      <c r="P13" s="77"/>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v>24177000</v>
      </c>
      <c r="P14" s="77"/>
      <c r="Q14" s="77"/>
      <c r="R14" s="77"/>
      <c r="S14" s="77"/>
      <c r="T14" s="77"/>
      <c r="U14" s="77"/>
    </row>
    <row r="15" spans="2:29" x14ac:dyDescent="0.3">
      <c r="B15" s="245" t="s">
        <v>399</v>
      </c>
      <c r="C15" s="245"/>
      <c r="D15" s="245"/>
      <c r="E15" s="245"/>
      <c r="F15" s="245"/>
      <c r="G15" s="245"/>
      <c r="H15" s="245"/>
      <c r="I15" s="245"/>
      <c r="J15" s="245"/>
      <c r="K15" s="245"/>
      <c r="L15" s="245"/>
      <c r="M15" s="245"/>
      <c r="N15" s="245"/>
      <c r="O15" s="245"/>
      <c r="P15" s="245"/>
      <c r="Q15" s="245"/>
      <c r="R15" s="245"/>
      <c r="S15" s="245"/>
      <c r="T15" s="245"/>
      <c r="U15" s="246"/>
    </row>
    <row r="16" spans="2:29" x14ac:dyDescent="0.3">
      <c r="B16" s="43" t="s">
        <v>424</v>
      </c>
      <c r="C16" s="196"/>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f t="shared" si="0"/>
        <v>0.54017763745982239</v>
      </c>
      <c r="P16" s="69" t="str">
        <f t="shared" si="0"/>
        <v/>
      </c>
      <c r="Q16" s="69" t="str">
        <f t="shared" si="0"/>
        <v/>
      </c>
      <c r="R16" s="69" t="str">
        <f t="shared" si="0"/>
        <v/>
      </c>
      <c r="S16" s="69" t="str">
        <f t="shared" si="0"/>
        <v/>
      </c>
      <c r="T16" s="69" t="str">
        <f t="shared" si="0"/>
        <v/>
      </c>
      <c r="U16" s="69" t="str">
        <f t="shared" si="0"/>
        <v/>
      </c>
    </row>
    <row r="17" spans="2:21" x14ac:dyDescent="0.3">
      <c r="B17" s="43" t="s">
        <v>18</v>
      </c>
      <c r="C17" s="205"/>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f t="shared" si="1"/>
        <v>0.45982236254017766</v>
      </c>
      <c r="P17" s="69" t="str">
        <f t="shared" si="1"/>
        <v/>
      </c>
      <c r="Q17" s="69" t="str">
        <f t="shared" si="1"/>
        <v/>
      </c>
      <c r="R17" s="69" t="str">
        <f t="shared" si="1"/>
        <v/>
      </c>
      <c r="S17" s="69" t="str">
        <f t="shared" si="1"/>
        <v/>
      </c>
      <c r="T17" s="69" t="str">
        <f t="shared" si="1"/>
        <v/>
      </c>
      <c r="U17" s="69" t="str">
        <f t="shared" si="1"/>
        <v/>
      </c>
    </row>
    <row r="18" spans="2:21" x14ac:dyDescent="0.3">
      <c r="B18" s="43" t="s">
        <v>421</v>
      </c>
      <c r="C18" s="205"/>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4.7547499952452499E-3</v>
      </c>
      <c r="P18" s="52">
        <f t="shared" si="2"/>
        <v>0</v>
      </c>
      <c r="Q18" s="52">
        <f t="shared" si="2"/>
        <v>0</v>
      </c>
      <c r="R18" s="52">
        <f t="shared" si="2"/>
        <v>0</v>
      </c>
      <c r="S18" s="52">
        <f t="shared" si="2"/>
        <v>0</v>
      </c>
      <c r="T18" s="52">
        <f t="shared" si="2"/>
        <v>0</v>
      </c>
      <c r="U18" s="52">
        <f t="shared" si="2"/>
        <v>0</v>
      </c>
    </row>
    <row r="19" spans="2:21" x14ac:dyDescent="0.3">
      <c r="B19" s="43" t="s">
        <v>33</v>
      </c>
      <c r="C19" s="197"/>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4.7547499952452499E-3</v>
      </c>
      <c r="P19" s="52">
        <f t="shared" si="3"/>
        <v>0</v>
      </c>
      <c r="Q19" s="52">
        <f t="shared" si="3"/>
        <v>0</v>
      </c>
      <c r="R19" s="52">
        <f t="shared" si="3"/>
        <v>0</v>
      </c>
      <c r="S19" s="52">
        <f t="shared" si="3"/>
        <v>0</v>
      </c>
      <c r="T19" s="52">
        <f t="shared" si="3"/>
        <v>0</v>
      </c>
      <c r="U19" s="52">
        <f t="shared" si="3"/>
        <v>0</v>
      </c>
    </row>
    <row r="20" spans="2:21" x14ac:dyDescent="0.3">
      <c r="B20" s="245" t="s">
        <v>15</v>
      </c>
      <c r="C20" s="245"/>
      <c r="D20" s="245"/>
      <c r="E20" s="245"/>
      <c r="F20" s="245"/>
      <c r="G20" s="245"/>
      <c r="H20" s="245"/>
      <c r="I20" s="245"/>
      <c r="J20" s="245"/>
      <c r="K20" s="245"/>
      <c r="L20" s="245"/>
      <c r="M20" s="245"/>
      <c r="N20" s="245"/>
      <c r="O20" s="245"/>
      <c r="P20" s="245"/>
      <c r="Q20" s="245"/>
      <c r="R20" s="245"/>
      <c r="S20" s="245"/>
      <c r="T20" s="245"/>
      <c r="U20" s="246"/>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9.5094999904904998E-3</v>
      </c>
      <c r="P21" s="44">
        <f t="shared" si="4"/>
        <v>0</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D53720F380E24A8C49D86DCC2D5A8F" ma:contentTypeVersion="6" ma:contentTypeDescription="Create a new document." ma:contentTypeScope="" ma:versionID="ee01dacb7094486a2bf1e5052837314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2.xml><?xml version="1.0" encoding="utf-8"?>
<ds:datastoreItem xmlns:ds="http://schemas.openxmlformats.org/officeDocument/2006/customXml" ds:itemID="{9396E210-9BD6-47F2-8E2A-E4FFE7721978}"/>
</file>

<file path=customXml/itemProps3.xml><?xml version="1.0" encoding="utf-8"?>
<ds:datastoreItem xmlns:ds="http://schemas.openxmlformats.org/officeDocument/2006/customXml" ds:itemID="{8C166E28-C54C-47A1-AAC5-C967ADB5F76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CA4CB12-F788-4717-A2DD-0693BD43FE69}">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b14ea4d7-bede-421e-a538-c782e68c01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v1.7</dc:title>
  <dc:creator>Jack.Woodnott@ofgem.gov.uk</dc:creator>
  <cp:lastModifiedBy>Ofgem</cp:lastModifiedBy>
  <dcterms:created xsi:type="dcterms:W3CDTF">2018-08-08T10:27:41Z</dcterms:created>
  <dcterms:modified xsi:type="dcterms:W3CDTF">2020-08-06T10:42:10Z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0x010100B9D53720F380E24A8C49D86DCC2D5A8F</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