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activeX/activeX1.xml" ContentType="application/vnd.ms-office.activeX+xml"/>
  <Override PartName="/xl/activeX/activeX1.bin" ContentType="application/vnd.ms-office.activeX"/>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WinchD\Desktop\"/>
    </mc:Choice>
  </mc:AlternateContent>
  <bookViews>
    <workbookView xWindow="-105" yWindow="-105" windowWidth="23265" windowHeight="12600"/>
  </bookViews>
  <sheets>
    <sheet name="About" sheetId="6" r:id="rId1"/>
    <sheet name="Contents" sheetId="8" r:id="rId2"/>
    <sheet name="1.1_Calculation_Funding_Penalty" sheetId="1" r:id="rId3"/>
    <sheet name="1.2_Input_Parameters" sheetId="11" r:id="rId4"/>
    <sheet name="1.3_Input_Baseline_Allowances" sheetId="2" r:id="rId5"/>
    <sheet name="1.4_Input_Outturn_Delivery" sheetId="3" r:id="rId6"/>
    <sheet name="1.5_Input_Non_Intervention_Adj" sheetId="4" r:id="rId7"/>
    <sheet name="1.6_Input_Efficient_Delivery" sheetId="5" r:id="rId8"/>
    <sheet name="2_Delivery_Scenarios" sheetId="9" r:id="rId9"/>
    <sheet name="2.1_Scenario_Comments" sheetId="12" state="hidden" r:id="rId10"/>
    <sheet name="3_Non_Intervention_Adjustment" sheetId="10"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5" i="9" l="1"/>
  <c r="E75" i="1"/>
  <c r="D40" i="5" l="1"/>
  <c r="E40" i="5" s="1"/>
  <c r="G40" i="5"/>
  <c r="D41" i="5"/>
  <c r="E41" i="5" s="1"/>
  <c r="F41" i="5" s="1"/>
  <c r="H41" i="5" s="1"/>
  <c r="G41" i="5"/>
  <c r="D42" i="5"/>
  <c r="E42" i="5" s="1"/>
  <c r="F42" i="5" s="1"/>
  <c r="H42" i="5" s="1"/>
  <c r="G42" i="5"/>
  <c r="D43" i="5"/>
  <c r="E43" i="5" s="1"/>
  <c r="G43" i="5"/>
  <c r="D44" i="5"/>
  <c r="E44" i="5" s="1"/>
  <c r="G44" i="5"/>
  <c r="D45" i="5"/>
  <c r="E45" i="5" s="1"/>
  <c r="F45" i="5" s="1"/>
  <c r="H45" i="5" s="1"/>
  <c r="G45" i="5"/>
  <c r="D46" i="5"/>
  <c r="G46" i="5"/>
  <c r="D47" i="5"/>
  <c r="E47" i="5" s="1"/>
  <c r="G47" i="5"/>
  <c r="D48" i="5"/>
  <c r="E48" i="5" s="1"/>
  <c r="G48" i="5"/>
  <c r="D49" i="5"/>
  <c r="E49" i="5" s="1"/>
  <c r="F49" i="5" s="1"/>
  <c r="H49" i="5" s="1"/>
  <c r="G49" i="5"/>
  <c r="D50" i="5"/>
  <c r="E50" i="5" s="1"/>
  <c r="G50" i="5"/>
  <c r="F50" i="5" l="1"/>
  <c r="H50" i="5" s="1"/>
  <c r="F47" i="5"/>
  <c r="H47" i="5" s="1"/>
  <c r="E46" i="5"/>
  <c r="F46" i="5" s="1"/>
  <c r="H46" i="5" s="1"/>
  <c r="F44" i="5"/>
  <c r="H44" i="5" s="1"/>
  <c r="F48" i="5"/>
  <c r="H48" i="5" s="1"/>
  <c r="F40" i="5"/>
  <c r="H40" i="5" s="1"/>
  <c r="F43" i="5"/>
  <c r="H43" i="5" s="1"/>
  <c r="E105" i="1" l="1"/>
  <c r="D24" i="5" l="1"/>
  <c r="E24" i="5" s="1"/>
  <c r="D25" i="5"/>
  <c r="E25" i="5" s="1"/>
  <c r="D26" i="5"/>
  <c r="E26" i="5" s="1"/>
  <c r="D27" i="5"/>
  <c r="E27" i="5" s="1"/>
  <c r="D28" i="5"/>
  <c r="E28" i="5" s="1"/>
  <c r="D29" i="5"/>
  <c r="E29" i="5" s="1"/>
  <c r="D30" i="5"/>
  <c r="E30" i="5" s="1"/>
  <c r="D31" i="5"/>
  <c r="E31" i="5" s="1"/>
  <c r="D32" i="5"/>
  <c r="E32" i="5" s="1"/>
  <c r="D33" i="5"/>
  <c r="E33" i="5" s="1"/>
  <c r="D34" i="5"/>
  <c r="E34" i="5" s="1"/>
  <c r="D35" i="5"/>
  <c r="E35" i="5" s="1"/>
  <c r="D36" i="5"/>
  <c r="E36" i="5" s="1"/>
  <c r="D37" i="5"/>
  <c r="E37" i="5" s="1"/>
  <c r="D38" i="5"/>
  <c r="E38" i="5" s="1"/>
  <c r="D39" i="5"/>
  <c r="E39" i="5" s="1"/>
  <c r="D23" i="5"/>
  <c r="E23" i="5" s="1"/>
  <c r="C15" i="8"/>
  <c r="C15" i="9"/>
  <c r="C16" i="9"/>
  <c r="C17" i="9"/>
  <c r="C14" i="9"/>
  <c r="J35" i="9"/>
  <c r="J36" i="9"/>
  <c r="J37" i="9"/>
  <c r="J38" i="9"/>
  <c r="J39" i="9"/>
  <c r="J40" i="9"/>
  <c r="J41" i="9"/>
  <c r="J42" i="9"/>
  <c r="J43" i="9"/>
  <c r="J44" i="9"/>
  <c r="J45" i="9"/>
  <c r="J34" i="9"/>
  <c r="F16" i="1"/>
  <c r="F15" i="1"/>
  <c r="F14" i="1"/>
  <c r="F13" i="1"/>
  <c r="A8" i="11"/>
  <c r="A2" i="11"/>
  <c r="A9" i="6"/>
  <c r="A3" i="6"/>
  <c r="A8" i="1"/>
  <c r="A2" i="1"/>
  <c r="A8" i="2"/>
  <c r="A2" i="2"/>
  <c r="A8" i="3"/>
  <c r="A2" i="3"/>
  <c r="A8" i="4"/>
  <c r="A2" i="4"/>
  <c r="A8" i="5"/>
  <c r="A2" i="5"/>
  <c r="A8" i="9"/>
  <c r="A2" i="9"/>
  <c r="A8" i="10"/>
  <c r="A2" i="10"/>
  <c r="C19" i="8"/>
  <c r="C18" i="8"/>
  <c r="D45" i="10"/>
  <c r="E45" i="10" s="1"/>
  <c r="D48" i="10"/>
  <c r="E48" i="10" s="1"/>
  <c r="C49" i="10"/>
  <c r="D52" i="10"/>
  <c r="E52" i="10" s="1"/>
  <c r="F52" i="10" s="1"/>
  <c r="G52" i="10" s="1"/>
  <c r="H52" i="10" s="1"/>
  <c r="I52" i="10" s="1"/>
  <c r="J52" i="10" s="1"/>
  <c r="K52" i="10" s="1"/>
  <c r="L52" i="10" s="1"/>
  <c r="M52" i="10" s="1"/>
  <c r="N52" i="10" s="1"/>
  <c r="O52" i="10" s="1"/>
  <c r="P52" i="10" s="1"/>
  <c r="Q52" i="10" s="1"/>
  <c r="R52" i="10" s="1"/>
  <c r="S52" i="10" s="1"/>
  <c r="T52" i="10" s="1"/>
  <c r="U52" i="10" s="1"/>
  <c r="D55" i="10"/>
  <c r="D56" i="10" s="1"/>
  <c r="C56" i="10"/>
  <c r="D59" i="10"/>
  <c r="E59" i="10" s="1"/>
  <c r="F59" i="10" s="1"/>
  <c r="G59" i="10" s="1"/>
  <c r="H59" i="10" s="1"/>
  <c r="I59" i="10" s="1"/>
  <c r="J59" i="10" s="1"/>
  <c r="K59" i="10" s="1"/>
  <c r="L59" i="10" s="1"/>
  <c r="M59" i="10" s="1"/>
  <c r="N59" i="10" s="1"/>
  <c r="O59" i="10" s="1"/>
  <c r="P59" i="10" s="1"/>
  <c r="Q59" i="10" s="1"/>
  <c r="R59" i="10" s="1"/>
  <c r="S59" i="10" s="1"/>
  <c r="T59" i="10" s="1"/>
  <c r="U59" i="10" s="1"/>
  <c r="D66" i="10"/>
  <c r="E66" i="10" s="1"/>
  <c r="F66" i="10" s="1"/>
  <c r="G66" i="10" s="1"/>
  <c r="H66" i="10" s="1"/>
  <c r="I66" i="10" s="1"/>
  <c r="J66" i="10" s="1"/>
  <c r="K66" i="10" s="1"/>
  <c r="L66" i="10" s="1"/>
  <c r="M66" i="10" s="1"/>
  <c r="N66" i="10" s="1"/>
  <c r="O66" i="10" s="1"/>
  <c r="P66" i="10" s="1"/>
  <c r="Q66" i="10" s="1"/>
  <c r="R66" i="10" s="1"/>
  <c r="S66" i="10" s="1"/>
  <c r="T66" i="10" s="1"/>
  <c r="U66" i="10" s="1"/>
  <c r="D69" i="10"/>
  <c r="E69" i="10" s="1"/>
  <c r="C70" i="10"/>
  <c r="D73" i="10"/>
  <c r="E73" i="10" s="1"/>
  <c r="F73" i="10" s="1"/>
  <c r="G73" i="10" s="1"/>
  <c r="H73" i="10" s="1"/>
  <c r="I73" i="10" s="1"/>
  <c r="J73" i="10" s="1"/>
  <c r="K73" i="10" s="1"/>
  <c r="L73" i="10" s="1"/>
  <c r="M73" i="10" s="1"/>
  <c r="N73" i="10" s="1"/>
  <c r="O73" i="10" s="1"/>
  <c r="P73" i="10" s="1"/>
  <c r="Q73" i="10" s="1"/>
  <c r="R73" i="10" s="1"/>
  <c r="S73" i="10" s="1"/>
  <c r="T73" i="10" s="1"/>
  <c r="U73" i="10" s="1"/>
  <c r="G74" i="10"/>
  <c r="H74" i="10"/>
  <c r="I74" i="10"/>
  <c r="J74" i="10"/>
  <c r="K74" i="10"/>
  <c r="L74" i="10"/>
  <c r="M74" i="10"/>
  <c r="N74" i="10"/>
  <c r="O74" i="10"/>
  <c r="P74" i="10"/>
  <c r="Q74" i="10"/>
  <c r="R74" i="10"/>
  <c r="S74" i="10"/>
  <c r="T74" i="10"/>
  <c r="U74" i="10"/>
  <c r="G75" i="10"/>
  <c r="H75" i="10"/>
  <c r="I75" i="10"/>
  <c r="J75" i="10"/>
  <c r="K75" i="10"/>
  <c r="L75" i="10"/>
  <c r="M75" i="10"/>
  <c r="N75" i="10"/>
  <c r="O75" i="10"/>
  <c r="P75" i="10"/>
  <c r="Q75" i="10"/>
  <c r="R75" i="10"/>
  <c r="S75" i="10"/>
  <c r="T75" i="10"/>
  <c r="U75" i="10"/>
  <c r="D76" i="10"/>
  <c r="E76" i="10" s="1"/>
  <c r="C77" i="10"/>
  <c r="D80" i="10"/>
  <c r="E80" i="10" s="1"/>
  <c r="F80" i="10" s="1"/>
  <c r="G80" i="10" s="1"/>
  <c r="H80" i="10" s="1"/>
  <c r="I80" i="10" s="1"/>
  <c r="J80" i="10" s="1"/>
  <c r="K80" i="10" s="1"/>
  <c r="L80" i="10" s="1"/>
  <c r="M80" i="10" s="1"/>
  <c r="N80" i="10" s="1"/>
  <c r="O80" i="10" s="1"/>
  <c r="P80" i="10" s="1"/>
  <c r="Q80" i="10" s="1"/>
  <c r="R80" i="10" s="1"/>
  <c r="S80" i="10" s="1"/>
  <c r="T80" i="10" s="1"/>
  <c r="U80" i="10" s="1"/>
  <c r="D19" i="8"/>
  <c r="D15" i="8"/>
  <c r="D18" i="8"/>
  <c r="C60" i="10" l="1"/>
  <c r="C61" i="10" s="1"/>
  <c r="F31" i="5"/>
  <c r="H31" i="5" s="1"/>
  <c r="F38" i="5"/>
  <c r="H38" i="5" s="1"/>
  <c r="F30" i="5"/>
  <c r="H30" i="5" s="1"/>
  <c r="F39" i="5"/>
  <c r="H39" i="5" s="1"/>
  <c r="F37" i="5"/>
  <c r="H37" i="5" s="1"/>
  <c r="F29" i="5"/>
  <c r="H29" i="5" s="1"/>
  <c r="F36" i="5"/>
  <c r="H36" i="5" s="1"/>
  <c r="F28" i="5"/>
  <c r="H28" i="5" s="1"/>
  <c r="F35" i="5"/>
  <c r="H35" i="5" s="1"/>
  <c r="F27" i="5"/>
  <c r="H27" i="5" s="1"/>
  <c r="F34" i="5"/>
  <c r="H34" i="5" s="1"/>
  <c r="F26" i="5"/>
  <c r="H26" i="5" s="1"/>
  <c r="F33" i="5"/>
  <c r="H33" i="5" s="1"/>
  <c r="F25" i="5"/>
  <c r="H25" i="5" s="1"/>
  <c r="F32" i="5"/>
  <c r="H32" i="5" s="1"/>
  <c r="F24" i="5"/>
  <c r="H24" i="5" s="1"/>
  <c r="F23" i="5"/>
  <c r="H23" i="5" s="1"/>
  <c r="C81" i="10"/>
  <c r="C82" i="10" s="1"/>
  <c r="E55" i="10"/>
  <c r="F55" i="10" s="1"/>
  <c r="F56" i="10" s="1"/>
  <c r="C18" i="9"/>
  <c r="F69" i="10"/>
  <c r="G69" i="10" s="1"/>
  <c r="E70" i="10"/>
  <c r="F45" i="10"/>
  <c r="D70" i="10"/>
  <c r="D49" i="10"/>
  <c r="E49" i="10"/>
  <c r="F48" i="10"/>
  <c r="F76" i="10"/>
  <c r="E77" i="10"/>
  <c r="D77" i="10"/>
  <c r="E36" i="9"/>
  <c r="F52" i="9"/>
  <c r="G52" i="9"/>
  <c r="H52" i="9"/>
  <c r="E67" i="9"/>
  <c r="E68" i="9"/>
  <c r="E98" i="9"/>
  <c r="A8" i="8"/>
  <c r="A2" i="8"/>
  <c r="D25" i="8"/>
  <c r="C25" i="8"/>
  <c r="D24" i="8"/>
  <c r="C24" i="8"/>
  <c r="C23" i="8"/>
  <c r="C21" i="8"/>
  <c r="C17" i="8"/>
  <c r="C16" i="8"/>
  <c r="C14" i="8"/>
  <c r="C12" i="8"/>
  <c r="C11" i="8"/>
  <c r="D16" i="8"/>
  <c r="E12" i="8"/>
  <c r="D23" i="8"/>
  <c r="D21" i="8"/>
  <c r="D11" i="8"/>
  <c r="D17" i="8"/>
  <c r="D14" i="8"/>
  <c r="E24" i="8"/>
  <c r="E11" i="8"/>
  <c r="D12" i="8"/>
  <c r="G55" i="10" l="1"/>
  <c r="H55" i="10" s="1"/>
  <c r="E56" i="10"/>
  <c r="E60" i="10" s="1"/>
  <c r="E61" i="10" s="1"/>
  <c r="F70" i="10"/>
  <c r="E81" i="10"/>
  <c r="E82" i="10" s="1"/>
  <c r="D81" i="10"/>
  <c r="D82" i="10" s="1"/>
  <c r="A11" i="9"/>
  <c r="A3" i="12" s="1"/>
  <c r="B3" i="12" s="1"/>
  <c r="E69" i="9"/>
  <c r="D60" i="10"/>
  <c r="D61" i="10" s="1"/>
  <c r="G45" i="10"/>
  <c r="G76" i="10"/>
  <c r="F77" i="10"/>
  <c r="G48" i="10"/>
  <c r="F49" i="10"/>
  <c r="F60" i="10" s="1"/>
  <c r="F61" i="10" s="1"/>
  <c r="H69" i="10"/>
  <c r="G70" i="10"/>
  <c r="E41" i="9" l="1"/>
  <c r="E63" i="9" s="1"/>
  <c r="E42" i="9"/>
  <c r="E52" i="9" s="1"/>
  <c r="E62" i="9" s="1"/>
  <c r="E85" i="9"/>
  <c r="G56" i="10"/>
  <c r="F81" i="10"/>
  <c r="F82" i="10" s="1"/>
  <c r="H45" i="10"/>
  <c r="H76" i="10"/>
  <c r="G77" i="10"/>
  <c r="G81" i="10" s="1"/>
  <c r="G82" i="10" s="1"/>
  <c r="H48" i="10"/>
  <c r="G49" i="10"/>
  <c r="I55" i="10"/>
  <c r="H56" i="10"/>
  <c r="I69" i="10"/>
  <c r="H70" i="10"/>
  <c r="E64" i="9" l="1"/>
  <c r="E74" i="9" s="1"/>
  <c r="E78" i="9"/>
  <c r="E43" i="9"/>
  <c r="E53" i="9"/>
  <c r="G60" i="10"/>
  <c r="G61" i="10" s="1"/>
  <c r="I45" i="10"/>
  <c r="J69" i="10"/>
  <c r="I70" i="10"/>
  <c r="I48" i="10"/>
  <c r="H49" i="10"/>
  <c r="H60" i="10" s="1"/>
  <c r="H61" i="10" s="1"/>
  <c r="J55" i="10"/>
  <c r="I56" i="10"/>
  <c r="H77" i="10"/>
  <c r="H81" i="10" s="1"/>
  <c r="H82" i="10" s="1"/>
  <c r="I76" i="10"/>
  <c r="G97" i="3"/>
  <c r="F97" i="3"/>
  <c r="E97" i="3"/>
  <c r="D97" i="3"/>
  <c r="G96" i="3"/>
  <c r="F96" i="3"/>
  <c r="E96" i="3"/>
  <c r="D96" i="3"/>
  <c r="G95" i="3"/>
  <c r="F95" i="3"/>
  <c r="E95" i="3"/>
  <c r="D95" i="3"/>
  <c r="G94" i="3"/>
  <c r="F94" i="3"/>
  <c r="E94" i="3"/>
  <c r="D94" i="3"/>
  <c r="G93" i="3"/>
  <c r="F93" i="3"/>
  <c r="E93" i="3"/>
  <c r="D93" i="3"/>
  <c r="G92" i="3"/>
  <c r="F92" i="3"/>
  <c r="E92" i="3"/>
  <c r="D92" i="3"/>
  <c r="G91" i="3"/>
  <c r="F91" i="3"/>
  <c r="E91" i="3"/>
  <c r="D91" i="3"/>
  <c r="G90" i="3"/>
  <c r="F90" i="3"/>
  <c r="E90" i="3"/>
  <c r="D90" i="3"/>
  <c r="G89" i="3"/>
  <c r="F89" i="3"/>
  <c r="E89" i="3"/>
  <c r="D89" i="3"/>
  <c r="G88" i="3"/>
  <c r="F88" i="3"/>
  <c r="E88" i="3"/>
  <c r="D88" i="3"/>
  <c r="G87" i="3"/>
  <c r="F87" i="3"/>
  <c r="E87" i="3"/>
  <c r="D87" i="3"/>
  <c r="G86" i="3"/>
  <c r="F86" i="3"/>
  <c r="E86" i="3"/>
  <c r="D86" i="3"/>
  <c r="G85" i="3"/>
  <c r="F85" i="3"/>
  <c r="E85" i="3"/>
  <c r="D85" i="3"/>
  <c r="G84" i="3"/>
  <c r="F84" i="3"/>
  <c r="E84" i="3"/>
  <c r="D84" i="3"/>
  <c r="G83" i="3"/>
  <c r="F83" i="3"/>
  <c r="E83" i="3"/>
  <c r="D83" i="3"/>
  <c r="G82" i="3"/>
  <c r="F82" i="3"/>
  <c r="E82" i="3"/>
  <c r="D82" i="3"/>
  <c r="G81" i="3"/>
  <c r="F81" i="3"/>
  <c r="E81" i="3"/>
  <c r="D81" i="3"/>
  <c r="G80" i="3"/>
  <c r="F80" i="3"/>
  <c r="E80" i="3"/>
  <c r="D80" i="3"/>
  <c r="G79" i="3"/>
  <c r="F79" i="3"/>
  <c r="E79" i="3"/>
  <c r="D79" i="3"/>
  <c r="G78" i="3"/>
  <c r="G77" i="3"/>
  <c r="G76" i="3"/>
  <c r="G75" i="3"/>
  <c r="G74" i="3"/>
  <c r="G73" i="3"/>
  <c r="G72" i="3"/>
  <c r="G71" i="3"/>
  <c r="G70" i="3"/>
  <c r="G69" i="3"/>
  <c r="G68" i="3"/>
  <c r="G67" i="3"/>
  <c r="G66" i="3"/>
  <c r="G65" i="3"/>
  <c r="G64" i="3"/>
  <c r="G63" i="3"/>
  <c r="G62" i="3"/>
  <c r="G61" i="3"/>
  <c r="G56" i="3"/>
  <c r="F56" i="3"/>
  <c r="E56" i="3"/>
  <c r="D56" i="3"/>
  <c r="G55" i="3"/>
  <c r="F55" i="3"/>
  <c r="E55" i="3"/>
  <c r="D55" i="3"/>
  <c r="G54" i="3"/>
  <c r="F54" i="3"/>
  <c r="E54" i="3"/>
  <c r="D54" i="3"/>
  <c r="G53" i="3"/>
  <c r="F53" i="3"/>
  <c r="E53" i="3"/>
  <c r="D53" i="3"/>
  <c r="G52" i="3"/>
  <c r="F52" i="3"/>
  <c r="E52" i="3"/>
  <c r="D52" i="3"/>
  <c r="G51" i="3"/>
  <c r="F51" i="3"/>
  <c r="E51" i="3"/>
  <c r="D51" i="3"/>
  <c r="G50" i="3"/>
  <c r="F50" i="3"/>
  <c r="E50" i="3"/>
  <c r="D50" i="3"/>
  <c r="G49" i="3"/>
  <c r="F49" i="3"/>
  <c r="E49" i="3"/>
  <c r="D49" i="3"/>
  <c r="G48" i="3"/>
  <c r="F48" i="3"/>
  <c r="E48" i="3"/>
  <c r="D48" i="3"/>
  <c r="G47" i="3"/>
  <c r="F47" i="3"/>
  <c r="E47" i="3"/>
  <c r="D47" i="3"/>
  <c r="G46" i="3"/>
  <c r="F46" i="3"/>
  <c r="E46" i="3"/>
  <c r="D46" i="3"/>
  <c r="G45" i="3"/>
  <c r="F45" i="3"/>
  <c r="E45" i="3"/>
  <c r="D45" i="3"/>
  <c r="G44" i="3"/>
  <c r="F44" i="3"/>
  <c r="E44" i="3"/>
  <c r="D44" i="3"/>
  <c r="G43" i="3"/>
  <c r="F43" i="3"/>
  <c r="E43" i="3"/>
  <c r="D43" i="3"/>
  <c r="G42" i="3"/>
  <c r="F42" i="3"/>
  <c r="E42" i="3"/>
  <c r="D42" i="3"/>
  <c r="G41" i="3"/>
  <c r="F41" i="3"/>
  <c r="E41" i="3"/>
  <c r="D41" i="3"/>
  <c r="G40" i="3"/>
  <c r="F40" i="3"/>
  <c r="E40" i="3"/>
  <c r="D40" i="3"/>
  <c r="G39" i="3"/>
  <c r="F39" i="3"/>
  <c r="E39" i="3"/>
  <c r="D39" i="3"/>
  <c r="G38" i="3"/>
  <c r="F38" i="3"/>
  <c r="E38" i="3"/>
  <c r="D38" i="3"/>
  <c r="G37" i="3"/>
  <c r="G36" i="3"/>
  <c r="G35" i="3"/>
  <c r="G34" i="3"/>
  <c r="G33" i="3"/>
  <c r="G32" i="3"/>
  <c r="G31" i="3"/>
  <c r="G30" i="3"/>
  <c r="G29" i="3"/>
  <c r="G28" i="3"/>
  <c r="G27" i="3"/>
  <c r="G26" i="3"/>
  <c r="G25" i="3"/>
  <c r="G24" i="3"/>
  <c r="G23" i="3"/>
  <c r="G22" i="3"/>
  <c r="G21" i="3"/>
  <c r="G20" i="3"/>
  <c r="E23" i="8"/>
  <c r="E81" i="9" l="1"/>
  <c r="E90" i="9" s="1"/>
  <c r="E79" i="9"/>
  <c r="E80" i="9"/>
  <c r="E88" i="9" s="1"/>
  <c r="E82" i="9"/>
  <c r="E91" i="9" s="1"/>
  <c r="E107" i="9" s="1"/>
  <c r="E108" i="9" s="1"/>
  <c r="E109" i="9" s="1"/>
  <c r="J45" i="10"/>
  <c r="J56" i="10"/>
  <c r="K55" i="10"/>
  <c r="I49" i="10"/>
  <c r="I60" i="10" s="1"/>
  <c r="I61" i="10" s="1"/>
  <c r="J48" i="10"/>
  <c r="I77" i="10"/>
  <c r="I81" i="10" s="1"/>
  <c r="I82" i="10" s="1"/>
  <c r="J76" i="10"/>
  <c r="J70" i="10"/>
  <c r="K69" i="10"/>
  <c r="G24" i="5"/>
  <c r="G25" i="5"/>
  <c r="G26" i="5"/>
  <c r="G27" i="5"/>
  <c r="G28" i="5"/>
  <c r="G29" i="5"/>
  <c r="G30" i="5"/>
  <c r="G31" i="5"/>
  <c r="G32" i="5"/>
  <c r="G33" i="5"/>
  <c r="G34" i="5"/>
  <c r="G35" i="5"/>
  <c r="G36" i="5"/>
  <c r="G37" i="5"/>
  <c r="G38" i="5"/>
  <c r="G39" i="5"/>
  <c r="G23" i="5"/>
  <c r="D21" i="4"/>
  <c r="E21" i="4"/>
  <c r="F21" i="4"/>
  <c r="G21" i="4"/>
  <c r="D22" i="4"/>
  <c r="E22" i="4"/>
  <c r="F22" i="4"/>
  <c r="G22" i="4"/>
  <c r="D23" i="4"/>
  <c r="E23" i="4"/>
  <c r="F23" i="4"/>
  <c r="G23" i="4"/>
  <c r="D24" i="4"/>
  <c r="E24" i="4"/>
  <c r="F24" i="4"/>
  <c r="G24" i="4"/>
  <c r="D25" i="4"/>
  <c r="E25" i="4"/>
  <c r="F25" i="4"/>
  <c r="G25" i="4"/>
  <c r="D26" i="4"/>
  <c r="E26" i="4"/>
  <c r="F26" i="4"/>
  <c r="G26" i="4"/>
  <c r="D27" i="4"/>
  <c r="E27" i="4"/>
  <c r="F27" i="4"/>
  <c r="G27" i="4"/>
  <c r="E20" i="4"/>
  <c r="F20" i="4"/>
  <c r="G20" i="4"/>
  <c r="D20" i="4"/>
  <c r="F78" i="2"/>
  <c r="F78" i="3" s="1"/>
  <c r="E78" i="2"/>
  <c r="E78" i="3" s="1"/>
  <c r="D78" i="2"/>
  <c r="D78" i="3" s="1"/>
  <c r="F77" i="2"/>
  <c r="F77" i="3" s="1"/>
  <c r="E77" i="2"/>
  <c r="E77" i="3" s="1"/>
  <c r="D77" i="2"/>
  <c r="D77" i="3" s="1"/>
  <c r="F76" i="2"/>
  <c r="F76" i="3" s="1"/>
  <c r="E76" i="2"/>
  <c r="E76" i="3" s="1"/>
  <c r="D76" i="2"/>
  <c r="D76" i="3" s="1"/>
  <c r="F75" i="2"/>
  <c r="F75" i="3" s="1"/>
  <c r="E75" i="2"/>
  <c r="E75" i="3" s="1"/>
  <c r="D75" i="2"/>
  <c r="D75" i="3" s="1"/>
  <c r="F74" i="2"/>
  <c r="F74" i="3" s="1"/>
  <c r="E74" i="2"/>
  <c r="E74" i="3" s="1"/>
  <c r="D74" i="2"/>
  <c r="D74" i="3" s="1"/>
  <c r="F73" i="2"/>
  <c r="F73" i="3" s="1"/>
  <c r="E73" i="2"/>
  <c r="E73" i="3" s="1"/>
  <c r="D73" i="2"/>
  <c r="D73" i="3" s="1"/>
  <c r="F72" i="2"/>
  <c r="F72" i="3" s="1"/>
  <c r="E72" i="2"/>
  <c r="E72" i="3" s="1"/>
  <c r="D72" i="2"/>
  <c r="D72" i="3" s="1"/>
  <c r="F71" i="2"/>
  <c r="F71" i="3" s="1"/>
  <c r="E71" i="2"/>
  <c r="E71" i="3" s="1"/>
  <c r="D71" i="2"/>
  <c r="D71" i="3" s="1"/>
  <c r="F70" i="2"/>
  <c r="F70" i="3" s="1"/>
  <c r="E70" i="2"/>
  <c r="E70" i="3" s="1"/>
  <c r="D70" i="2"/>
  <c r="D70" i="3" s="1"/>
  <c r="F69" i="2"/>
  <c r="F69" i="3" s="1"/>
  <c r="E69" i="2"/>
  <c r="E69" i="3" s="1"/>
  <c r="D69" i="2"/>
  <c r="D69" i="3" s="1"/>
  <c r="F68" i="2"/>
  <c r="F68" i="3" s="1"/>
  <c r="E68" i="2"/>
  <c r="E68" i="3" s="1"/>
  <c r="D68" i="2"/>
  <c r="D68" i="3" s="1"/>
  <c r="F67" i="2"/>
  <c r="F67" i="3" s="1"/>
  <c r="E67" i="2"/>
  <c r="E67" i="3" s="1"/>
  <c r="D67" i="2"/>
  <c r="D67" i="3" s="1"/>
  <c r="F66" i="2"/>
  <c r="F66" i="3" s="1"/>
  <c r="E66" i="2"/>
  <c r="E66" i="3" s="1"/>
  <c r="D66" i="2"/>
  <c r="D66" i="3" s="1"/>
  <c r="F65" i="2"/>
  <c r="F65" i="3" s="1"/>
  <c r="E65" i="2"/>
  <c r="E65" i="3" s="1"/>
  <c r="D65" i="2"/>
  <c r="D65" i="3" s="1"/>
  <c r="F64" i="2"/>
  <c r="F64" i="3" s="1"/>
  <c r="E64" i="2"/>
  <c r="E64" i="3" s="1"/>
  <c r="D64" i="2"/>
  <c r="D64" i="3" s="1"/>
  <c r="F63" i="2"/>
  <c r="F63" i="3" s="1"/>
  <c r="E63" i="2"/>
  <c r="E63" i="3" s="1"/>
  <c r="D63" i="2"/>
  <c r="D63" i="3" s="1"/>
  <c r="F62" i="2"/>
  <c r="F62" i="3" s="1"/>
  <c r="E62" i="2"/>
  <c r="E62" i="3" s="1"/>
  <c r="D62" i="2"/>
  <c r="D62" i="3" s="1"/>
  <c r="F61" i="2"/>
  <c r="F61" i="3" s="1"/>
  <c r="E61" i="2"/>
  <c r="E61" i="3" s="1"/>
  <c r="D61" i="2"/>
  <c r="D61" i="3" s="1"/>
  <c r="G15" i="2"/>
  <c r="H25" i="1" s="1"/>
  <c r="E21" i="2"/>
  <c r="E21" i="3" s="1"/>
  <c r="F21" i="2"/>
  <c r="F21" i="3" s="1"/>
  <c r="E22" i="2"/>
  <c r="E22" i="3" s="1"/>
  <c r="F22" i="2"/>
  <c r="F22" i="3" s="1"/>
  <c r="E23" i="2"/>
  <c r="E23" i="3" s="1"/>
  <c r="F23" i="2"/>
  <c r="F23" i="3" s="1"/>
  <c r="E24" i="2"/>
  <c r="E24" i="3" s="1"/>
  <c r="F24" i="2"/>
  <c r="F24" i="3" s="1"/>
  <c r="E25" i="2"/>
  <c r="E25" i="3" s="1"/>
  <c r="F25" i="2"/>
  <c r="F25" i="3" s="1"/>
  <c r="E26" i="2"/>
  <c r="E26" i="3" s="1"/>
  <c r="F26" i="2"/>
  <c r="F26" i="3" s="1"/>
  <c r="E27" i="2"/>
  <c r="E27" i="3" s="1"/>
  <c r="F27" i="2"/>
  <c r="F27" i="3" s="1"/>
  <c r="E28" i="2"/>
  <c r="E28" i="3" s="1"/>
  <c r="F28" i="2"/>
  <c r="F28" i="3" s="1"/>
  <c r="E29" i="2"/>
  <c r="E29" i="3" s="1"/>
  <c r="F29" i="2"/>
  <c r="F29" i="3" s="1"/>
  <c r="E30" i="2"/>
  <c r="E30" i="3" s="1"/>
  <c r="F30" i="2"/>
  <c r="F30" i="3" s="1"/>
  <c r="E31" i="2"/>
  <c r="E31" i="3" s="1"/>
  <c r="F31" i="2"/>
  <c r="F31" i="3" s="1"/>
  <c r="E32" i="2"/>
  <c r="E32" i="3" s="1"/>
  <c r="F32" i="2"/>
  <c r="F32" i="3" s="1"/>
  <c r="E33" i="2"/>
  <c r="E33" i="3" s="1"/>
  <c r="F33" i="2"/>
  <c r="F33" i="3" s="1"/>
  <c r="E34" i="2"/>
  <c r="E34" i="3" s="1"/>
  <c r="F34" i="2"/>
  <c r="F34" i="3" s="1"/>
  <c r="E35" i="2"/>
  <c r="E35" i="3" s="1"/>
  <c r="F35" i="2"/>
  <c r="F35" i="3" s="1"/>
  <c r="E36" i="2"/>
  <c r="E36" i="3" s="1"/>
  <c r="F36" i="2"/>
  <c r="F36" i="3" s="1"/>
  <c r="E37" i="2"/>
  <c r="E37" i="3" s="1"/>
  <c r="F37" i="2"/>
  <c r="F37" i="3" s="1"/>
  <c r="F20" i="2"/>
  <c r="F20" i="3" s="1"/>
  <c r="E20" i="2"/>
  <c r="E20" i="3" s="1"/>
  <c r="G14" i="2"/>
  <c r="H24" i="1" s="1"/>
  <c r="D21" i="2"/>
  <c r="D21" i="3" s="1"/>
  <c r="D22" i="2"/>
  <c r="D22" i="3" s="1"/>
  <c r="D23" i="2"/>
  <c r="D23" i="3" s="1"/>
  <c r="D24" i="2"/>
  <c r="D24" i="3" s="1"/>
  <c r="D25" i="2"/>
  <c r="D25" i="3" s="1"/>
  <c r="D26" i="2"/>
  <c r="D26" i="3" s="1"/>
  <c r="D27" i="2"/>
  <c r="D27" i="3" s="1"/>
  <c r="D28" i="2"/>
  <c r="D28" i="3" s="1"/>
  <c r="D29" i="2"/>
  <c r="D29" i="3" s="1"/>
  <c r="D30" i="2"/>
  <c r="D30" i="3" s="1"/>
  <c r="D31" i="2"/>
  <c r="D31" i="3" s="1"/>
  <c r="D32" i="2"/>
  <c r="D32" i="3" s="1"/>
  <c r="D33" i="2"/>
  <c r="D33" i="3" s="1"/>
  <c r="D34" i="2"/>
  <c r="D34" i="3" s="1"/>
  <c r="D35" i="2"/>
  <c r="D35" i="3" s="1"/>
  <c r="D36" i="2"/>
  <c r="D36" i="3" s="1"/>
  <c r="D37" i="2"/>
  <c r="D37" i="3" s="1"/>
  <c r="D20" i="2"/>
  <c r="D20" i="3" s="1"/>
  <c r="E89" i="9" l="1"/>
  <c r="E92" i="9" s="1"/>
  <c r="E101" i="9" s="1"/>
  <c r="D14" i="5"/>
  <c r="K45" i="10"/>
  <c r="J77" i="10"/>
  <c r="J81" i="10" s="1"/>
  <c r="J82" i="10" s="1"/>
  <c r="K76" i="10"/>
  <c r="K48" i="10"/>
  <c r="J49" i="10"/>
  <c r="J60" i="10" s="1"/>
  <c r="J61" i="10" s="1"/>
  <c r="L55" i="10"/>
  <c r="K56" i="10"/>
  <c r="L69" i="10"/>
  <c r="K70" i="10"/>
  <c r="D15" i="5"/>
  <c r="F14" i="4"/>
  <c r="G14" i="4"/>
  <c r="E14" i="4"/>
  <c r="G15" i="3"/>
  <c r="G14" i="3"/>
  <c r="E14" i="3"/>
  <c r="E15" i="3"/>
  <c r="D15" i="3"/>
  <c r="F15" i="3"/>
  <c r="F14" i="3"/>
  <c r="D14" i="3"/>
  <c r="F15" i="2"/>
  <c r="E15" i="2"/>
  <c r="D15" i="2"/>
  <c r="F14" i="2"/>
  <c r="E14" i="2"/>
  <c r="D14" i="2"/>
  <c r="E93" i="9" l="1"/>
  <c r="F93" i="9" s="1"/>
  <c r="E102" i="9"/>
  <c r="E114" i="9" s="1"/>
  <c r="E116" i="9" s="1"/>
  <c r="E117" i="9" s="1"/>
  <c r="F32" i="1"/>
  <c r="F39" i="1" s="1"/>
  <c r="E47" i="1"/>
  <c r="F31" i="1"/>
  <c r="G31" i="1"/>
  <c r="E32" i="1"/>
  <c r="H31" i="1"/>
  <c r="G32" i="1"/>
  <c r="G39" i="1" s="1"/>
  <c r="E48" i="1"/>
  <c r="H32" i="1"/>
  <c r="E31" i="1"/>
  <c r="L45" i="10"/>
  <c r="M69" i="10"/>
  <c r="L70" i="10"/>
  <c r="M55" i="10"/>
  <c r="L56" i="10"/>
  <c r="L48" i="10"/>
  <c r="K49" i="10"/>
  <c r="K60" i="10" s="1"/>
  <c r="K61" i="10" s="1"/>
  <c r="L76" i="10"/>
  <c r="K77" i="10"/>
  <c r="K81" i="10" s="1"/>
  <c r="K82" i="10" s="1"/>
  <c r="E88" i="1"/>
  <c r="D14" i="4"/>
  <c r="F24" i="1"/>
  <c r="G24" i="1"/>
  <c r="E25" i="1"/>
  <c r="F25" i="1"/>
  <c r="G25" i="1"/>
  <c r="E24" i="1"/>
  <c r="G117" i="9" l="1"/>
  <c r="F117" i="9"/>
  <c r="E33" i="1"/>
  <c r="E39" i="1"/>
  <c r="M45" i="10"/>
  <c r="N45" i="10" s="1"/>
  <c r="L49" i="10"/>
  <c r="L60" i="10" s="1"/>
  <c r="L61" i="10" s="1"/>
  <c r="M48" i="10"/>
  <c r="L77" i="10"/>
  <c r="L81" i="10" s="1"/>
  <c r="L82" i="10" s="1"/>
  <c r="M76" i="10"/>
  <c r="M56" i="10"/>
  <c r="N55" i="10"/>
  <c r="N69" i="10"/>
  <c r="M70" i="10"/>
  <c r="D16" i="5"/>
  <c r="E57" i="1"/>
  <c r="E58" i="1"/>
  <c r="E26" i="1"/>
  <c r="E17" i="8"/>
  <c r="E49" i="1" l="1"/>
  <c r="E53" i="1" s="1"/>
  <c r="O45" i="10"/>
  <c r="N70" i="10"/>
  <c r="O69" i="10"/>
  <c r="N56" i="10"/>
  <c r="O55" i="10"/>
  <c r="M77" i="10"/>
  <c r="M81" i="10" s="1"/>
  <c r="M82" i="10" s="1"/>
  <c r="N76" i="10"/>
  <c r="M49" i="10"/>
  <c r="M60" i="10" s="1"/>
  <c r="M61" i="10" s="1"/>
  <c r="N48" i="10"/>
  <c r="E59" i="1"/>
  <c r="E19" i="8"/>
  <c r="E18" i="8"/>
  <c r="P45" i="10" l="1"/>
  <c r="O48" i="10"/>
  <c r="N49" i="10"/>
  <c r="N60" i="10" s="1"/>
  <c r="N61" i="10" s="1"/>
  <c r="N77" i="10"/>
  <c r="N81" i="10" s="1"/>
  <c r="O76" i="10"/>
  <c r="P55" i="10"/>
  <c r="O56" i="10"/>
  <c r="O70" i="10"/>
  <c r="P69" i="10"/>
  <c r="N82" i="10" l="1"/>
  <c r="Q45" i="10"/>
  <c r="Q69" i="10"/>
  <c r="P70" i="10"/>
  <c r="Q55" i="10"/>
  <c r="P56" i="10"/>
  <c r="P76" i="10"/>
  <c r="O77" i="10"/>
  <c r="O81" i="10" s="1"/>
  <c r="O82" i="10" s="1"/>
  <c r="P48" i="10"/>
  <c r="O49" i="10"/>
  <c r="H39" i="1"/>
  <c r="H42" i="1" s="1"/>
  <c r="E16" i="8"/>
  <c r="R45" i="10" l="1"/>
  <c r="O60" i="10"/>
  <c r="O61" i="10" s="1"/>
  <c r="R69" i="10"/>
  <c r="Q70" i="10"/>
  <c r="Q48" i="10"/>
  <c r="P49" i="10"/>
  <c r="P60" i="10" s="1"/>
  <c r="P61" i="10" s="1"/>
  <c r="R55" i="10"/>
  <c r="Q56" i="10"/>
  <c r="Q76" i="10"/>
  <c r="P77" i="10"/>
  <c r="P81" i="10" s="1"/>
  <c r="P82" i="10" s="1"/>
  <c r="F42" i="1"/>
  <c r="G42" i="1"/>
  <c r="E42" i="1"/>
  <c r="S45" i="10" l="1"/>
  <c r="S69" i="10"/>
  <c r="R70" i="10"/>
  <c r="Q77" i="10"/>
  <c r="Q81" i="10" s="1"/>
  <c r="Q82" i="10" s="1"/>
  <c r="R76" i="10"/>
  <c r="R56" i="10"/>
  <c r="S55" i="10"/>
  <c r="R48" i="10"/>
  <c r="Q49" i="10"/>
  <c r="Q60" i="10" s="1"/>
  <c r="Q61" i="10" s="1"/>
  <c r="E52" i="1"/>
  <c r="E54" i="1" s="1"/>
  <c r="E64" i="1" s="1"/>
  <c r="E43" i="1"/>
  <c r="E68" i="1"/>
  <c r="E69" i="1" s="1"/>
  <c r="T45" i="10" l="1"/>
  <c r="S48" i="10"/>
  <c r="R49" i="10"/>
  <c r="R60" i="10" s="1"/>
  <c r="R61" i="10" s="1"/>
  <c r="T55" i="10"/>
  <c r="S56" i="10"/>
  <c r="R77" i="10"/>
  <c r="R81" i="10" s="1"/>
  <c r="R82" i="10" s="1"/>
  <c r="S76" i="10"/>
  <c r="T69" i="10"/>
  <c r="S70" i="10"/>
  <c r="E72" i="1"/>
  <c r="E81" i="1" l="1"/>
  <c r="U45" i="10"/>
  <c r="U69" i="10"/>
  <c r="U70" i="10" s="1"/>
  <c r="T70" i="10"/>
  <c r="T76" i="10"/>
  <c r="S77" i="10"/>
  <c r="S81" i="10" s="1"/>
  <c r="S82" i="10" s="1"/>
  <c r="T48" i="10"/>
  <c r="S49" i="10"/>
  <c r="S60" i="10" s="1"/>
  <c r="S61" i="10" s="1"/>
  <c r="U55" i="10"/>
  <c r="U56" i="10" s="1"/>
  <c r="T56" i="10"/>
  <c r="E70" i="1"/>
  <c r="E78" i="1" s="1"/>
  <c r="E71" i="1"/>
  <c r="E79" i="1" s="1"/>
  <c r="T49" i="10" l="1"/>
  <c r="U48" i="10"/>
  <c r="U49" i="10" s="1"/>
  <c r="U60" i="10" s="1"/>
  <c r="U61" i="10" s="1"/>
  <c r="T77" i="10"/>
  <c r="T81" i="10" s="1"/>
  <c r="T82" i="10" s="1"/>
  <c r="U76" i="10"/>
  <c r="U77" i="10" s="1"/>
  <c r="U81" i="10" s="1"/>
  <c r="U82" i="10" s="1"/>
  <c r="E80" i="1"/>
  <c r="E82" i="1" s="1"/>
  <c r="E83" i="1" s="1"/>
  <c r="E97" i="1"/>
  <c r="E98" i="1" s="1"/>
  <c r="E99" i="1" s="1"/>
  <c r="E15" i="8"/>
  <c r="T60" i="10" l="1"/>
  <c r="T61" i="10" s="1"/>
  <c r="V61" i="10" s="1"/>
  <c r="V82" i="10"/>
  <c r="M31" i="10" s="1"/>
  <c r="E91" i="1"/>
  <c r="F83" i="1"/>
  <c r="M30" i="10" l="1"/>
  <c r="E92" i="1"/>
  <c r="F92" i="1" l="1"/>
  <c r="E104" i="1"/>
  <c r="M32" i="10"/>
  <c r="E106" i="1" l="1"/>
  <c r="E107" i="1" l="1"/>
  <c r="F107" i="1" l="1"/>
  <c r="G107" i="1"/>
  <c r="E21" i="8"/>
  <c r="E14" i="8"/>
</calcChain>
</file>

<file path=xl/sharedStrings.xml><?xml version="1.0" encoding="utf-8"?>
<sst xmlns="http://schemas.openxmlformats.org/spreadsheetml/2006/main" count="1329" uniqueCount="467">
  <si>
    <t>Input Parameter Values</t>
  </si>
  <si>
    <t>Parameter</t>
  </si>
  <si>
    <t>Units</t>
  </si>
  <si>
    <t>Term</t>
  </si>
  <si>
    <t>Value</t>
  </si>
  <si>
    <t>company_name_short</t>
  </si>
  <si>
    <t>text</t>
  </si>
  <si>
    <t>delivery adjustment factor</t>
  </si>
  <si>
    <t>percent</t>
  </si>
  <si>
    <t>DAF</t>
  </si>
  <si>
    <t>cap unit cost of risk benefit</t>
  </si>
  <si>
    <t>binary</t>
  </si>
  <si>
    <t>CAP</t>
  </si>
  <si>
    <t>&lt;&lt; 0 = no cap, 1 = cap applied</t>
  </si>
  <si>
    <t>penalty rate</t>
  </si>
  <si>
    <t>PR</t>
  </si>
  <si>
    <t>Funding Calculations</t>
  </si>
  <si>
    <t>NARM Funding Category</t>
  </si>
  <si>
    <t>Formula</t>
  </si>
  <si>
    <t>A1</t>
  </si>
  <si>
    <t>A2</t>
  </si>
  <si>
    <t>A3</t>
  </si>
  <si>
    <t>B</t>
  </si>
  <si>
    <t>£</t>
  </si>
  <si>
    <t>R£</t>
  </si>
  <si>
    <t>£/R£</t>
  </si>
  <si>
    <t>Stage 2 - Delivery</t>
  </si>
  <si>
    <t>Reported Delivery</t>
  </si>
  <si>
    <t>Expenditure Outturn (Reported)</t>
  </si>
  <si>
    <t>EXP.OR</t>
  </si>
  <si>
    <t>Risk Benefit Outturn (Reported)</t>
  </si>
  <si>
    <t>RB.OR</t>
  </si>
  <si>
    <t>Unit Cost Risk Benefit Outturn (Reported)</t>
  </si>
  <si>
    <t>UCR.OR</t>
  </si>
  <si>
    <t>EXP.OR/RB.OR</t>
  </si>
  <si>
    <t>Stage 3 Delivery Assessment</t>
  </si>
  <si>
    <t>Stage 3a - Risk Benefit Adjustments for Non-Intervention Effects</t>
  </si>
  <si>
    <t>Non-intervention Adjustments</t>
  </si>
  <si>
    <t>Non-Intervention Adjustments</t>
  </si>
  <si>
    <t>RB.NIA</t>
  </si>
  <si>
    <t>Post Adjustment Delivery</t>
  </si>
  <si>
    <t>Risk Benefit Outturn (Adjusted)</t>
  </si>
  <si>
    <t>RB.OAD</t>
  </si>
  <si>
    <t>RB.OR + RB.NIA</t>
  </si>
  <si>
    <t>Unit Cost of Risk Benefit (Adjusted)</t>
  </si>
  <si>
    <t>UCR.OAD</t>
  </si>
  <si>
    <t>EXP.OR/RB.OAD</t>
  </si>
  <si>
    <t>Stage 3b - Efficient Expenditure Exclusion</t>
  </si>
  <si>
    <t xml:space="preserve">Submitted Efficient Delivery </t>
  </si>
  <si>
    <t>Risk Benefit Efficient Delivery</t>
  </si>
  <si>
    <t>RB.EE</t>
  </si>
  <si>
    <t>Savings on Efficient Exclusions</t>
  </si>
  <si>
    <t>EXP.SAV</t>
  </si>
  <si>
    <t>Exclude Efficient Delivery</t>
  </si>
  <si>
    <t>Risk Benefit (Adjusted, Excluding Efficient Delivery)</t>
  </si>
  <si>
    <t>RB.OAD.EE</t>
  </si>
  <si>
    <t>RB.OAD - RB.EE</t>
  </si>
  <si>
    <t>EXP.OAD.EE</t>
  </si>
  <si>
    <t>EXP.OAD - EXP.EE + EXP.SAV</t>
  </si>
  <si>
    <t>Unit Cost of Risk Benefit (Adjusted, Excluding Efficient Delivery)</t>
  </si>
  <si>
    <t>UCR.OAD.EE</t>
  </si>
  <si>
    <t>EXP.OAD.EE/RB.OAD.EE</t>
  </si>
  <si>
    <t>Stage 3c - Adjustment Expenditure (After Excluding Efficient Delivery)</t>
  </si>
  <si>
    <t>Unit Cost of Risk Benefit</t>
  </si>
  <si>
    <t>Unit Cost Risk Benefit Allowed (Final)</t>
  </si>
  <si>
    <t>UCR.AF</t>
  </si>
  <si>
    <t>See formula in box to below</t>
  </si>
  <si>
    <t>Performance</t>
  </si>
  <si>
    <t>Performance Against Target (Monetised Risk)</t>
  </si>
  <si>
    <t>PAT.MR</t>
  </si>
  <si>
    <t>Delivery Category</t>
  </si>
  <si>
    <t>PAT.DC</t>
  </si>
  <si>
    <t>0/1</t>
  </si>
  <si>
    <t>Over-Delivery Flag</t>
  </si>
  <si>
    <t>ODF</t>
  </si>
  <si>
    <t>Under-Delivery Flag</t>
  </si>
  <si>
    <t>UDF</t>
  </si>
  <si>
    <t>Justification Assessment</t>
  </si>
  <si>
    <t>Justified Proportion</t>
  </si>
  <si>
    <t>JUS</t>
  </si>
  <si>
    <t>Adjusted Allowance (Delivery Scenarios)</t>
  </si>
  <si>
    <t>EXP.AAOT</t>
  </si>
  <si>
    <t>RB.OAD.EE x UCR.AF x OTF</t>
  </si>
  <si>
    <t>£m</t>
  </si>
  <si>
    <t>Over-Delivery (Unjustified)</t>
  </si>
  <si>
    <t>EXP.AAOU</t>
  </si>
  <si>
    <t>Over-Delivery (Justified)</t>
  </si>
  <si>
    <t>EXP.AAOJ</t>
  </si>
  <si>
    <t>RB.OAD.EE x UCR.AF x JUS x ODF</t>
  </si>
  <si>
    <t>Under-Delivery</t>
  </si>
  <si>
    <t>EXP.AAU</t>
  </si>
  <si>
    <t>RB.OAD.EE x UCR.AF x UDF</t>
  </si>
  <si>
    <t>Expenditure Allowed (Adjusted)</t>
  </si>
  <si>
    <t>EXP.AA</t>
  </si>
  <si>
    <t>SUM [EXP.AAOT, ... , EXP.AAU]</t>
  </si>
  <si>
    <t>Over-spend (Adjusted)</t>
  </si>
  <si>
    <t>OS.AA</t>
  </si>
  <si>
    <t>EXP.OAD.EE - EXP.AA</t>
  </si>
  <si>
    <t>Stage 3d - Efficient Expenditure Uplift</t>
  </si>
  <si>
    <t>Efficient Delivery</t>
  </si>
  <si>
    <t xml:space="preserve">Efficient Expenditure </t>
  </si>
  <si>
    <t>Final Allowance</t>
  </si>
  <si>
    <t>Expenditure Allowed (Final)</t>
  </si>
  <si>
    <t>EXP.AF</t>
  </si>
  <si>
    <t>Over-spend (Final)</t>
  </si>
  <si>
    <t>OS.AF</t>
  </si>
  <si>
    <t>EXP.OR - EXP.AF</t>
  </si>
  <si>
    <t>R£m</t>
  </si>
  <si>
    <t>Stage 3e - Penalty Calculation</t>
  </si>
  <si>
    <t>Under Delivery Scenario</t>
  </si>
  <si>
    <t>Under-Delivery Adjusted Allowance</t>
  </si>
  <si>
    <t>Under-Delivery Clawback Expenditure</t>
  </si>
  <si>
    <t>EXP.CB</t>
  </si>
  <si>
    <t>Overspend (Final)</t>
  </si>
  <si>
    <t>PEN</t>
  </si>
  <si>
    <t>EXP.CB * (1-JUS)* PR</t>
  </si>
  <si>
    <t>Stage 4 - Final Outcome</t>
  </si>
  <si>
    <t>Effect of Adjustment and Penalty Application</t>
  </si>
  <si>
    <t>OS.TT</t>
  </si>
  <si>
    <t>Adjustment Sheet Inputs</t>
  </si>
  <si>
    <t>Expenditure Allowed</t>
  </si>
  <si>
    <t>Asset Category</t>
  </si>
  <si>
    <t>LTS Pipelines (Piggable)</t>
  </si>
  <si>
    <t>LTS Pipelines (Non Piggable)</t>
  </si>
  <si>
    <t>Iron Mains</t>
  </si>
  <si>
    <t>PE Mains</t>
  </si>
  <si>
    <t>Steel Mains</t>
  </si>
  <si>
    <t>Other Mains</t>
  </si>
  <si>
    <t>Services</t>
  </si>
  <si>
    <t>Risers</t>
  </si>
  <si>
    <t>Offtake Filters</t>
  </si>
  <si>
    <t>PRS Filters</t>
  </si>
  <si>
    <t>Offtake Slamshut/Regulators</t>
  </si>
  <si>
    <t>PRS Slamshut/Regulators</t>
  </si>
  <si>
    <t>Offtake Pre-heating</t>
  </si>
  <si>
    <t>PRS Pre-heating</t>
  </si>
  <si>
    <t>Odorisation &amp; Metering</t>
  </si>
  <si>
    <t>District Governors</t>
  </si>
  <si>
    <t>I&amp;C Governors</t>
  </si>
  <si>
    <t>Service Governors</t>
  </si>
  <si>
    <t>Risk Benefit Target</t>
  </si>
  <si>
    <t>Outturn Delivery</t>
  </si>
  <si>
    <t>Expenditure Outturn</t>
  </si>
  <si>
    <t>EXP.OR1</t>
  </si>
  <si>
    <t>EXP.OR2</t>
  </si>
  <si>
    <t>EXP.OR3</t>
  </si>
  <si>
    <t>EXP.OR4</t>
  </si>
  <si>
    <t>EXP.OR5</t>
  </si>
  <si>
    <t>EXP.OR6</t>
  </si>
  <si>
    <t>EXP.OR7</t>
  </si>
  <si>
    <t>EXP.OR8</t>
  </si>
  <si>
    <t>EXP.OR9</t>
  </si>
  <si>
    <t>EXP.OR10</t>
  </si>
  <si>
    <t>EXP.OR11</t>
  </si>
  <si>
    <t>EXP.OR12</t>
  </si>
  <si>
    <t>EXP.OR13</t>
  </si>
  <si>
    <t>EXP.OR14</t>
  </si>
  <si>
    <t>EXP.OR15</t>
  </si>
  <si>
    <t>EXP.OR16</t>
  </si>
  <si>
    <t>EXP.OR17</t>
  </si>
  <si>
    <t>EXP.OR18</t>
  </si>
  <si>
    <t>EXP.OR19</t>
  </si>
  <si>
    <t>EXP.OR20</t>
  </si>
  <si>
    <t>EXP.OR21</t>
  </si>
  <si>
    <t>EXP.OR22</t>
  </si>
  <si>
    <t>EXP.OR23</t>
  </si>
  <si>
    <t>EXP.OR24</t>
  </si>
  <si>
    <t>EXP.OR25</t>
  </si>
  <si>
    <t>EXP.OR26</t>
  </si>
  <si>
    <t>EXP.OR27</t>
  </si>
  <si>
    <t>EXP.OR28</t>
  </si>
  <si>
    <t>EXP.OR29</t>
  </si>
  <si>
    <t>EXP.OR30</t>
  </si>
  <si>
    <t>EXP.OR31</t>
  </si>
  <si>
    <t>EXP.OR32</t>
  </si>
  <si>
    <t>EXP.OR33</t>
  </si>
  <si>
    <t>EXP.OR34</t>
  </si>
  <si>
    <t>EXP.OR35</t>
  </si>
  <si>
    <t>EXP.OR36</t>
  </si>
  <si>
    <t>EXP.OR37</t>
  </si>
  <si>
    <t>Risk Benefit Outturn</t>
  </si>
  <si>
    <t>Non Intervention Risk Benefit Impacts</t>
  </si>
  <si>
    <t>Non Intervention Effect</t>
  </si>
  <si>
    <t>Change in expected asset life</t>
  </si>
  <si>
    <t>Data cleanse</t>
  </si>
  <si>
    <t>Efficiency Exclusions</t>
  </si>
  <si>
    <t xml:space="preserve">Expenditure Excluded </t>
  </si>
  <si>
    <t>Risk Benefit Excluded</t>
  </si>
  <si>
    <t>Scheme Reference</t>
  </si>
  <si>
    <t>Expenditure</t>
  </si>
  <si>
    <t>Risk Benefit</t>
  </si>
  <si>
    <t>Units:</t>
  </si>
  <si>
    <t>Services 1</t>
  </si>
  <si>
    <t>Services 2</t>
  </si>
  <si>
    <t>Services 3</t>
  </si>
  <si>
    <t>Services 4</t>
  </si>
  <si>
    <t>Services 5</t>
  </si>
  <si>
    <t>Services 6</t>
  </si>
  <si>
    <t>Services 7</t>
  </si>
  <si>
    <t>Services 8</t>
  </si>
  <si>
    <t>Risers 1</t>
  </si>
  <si>
    <t>Risers 2</t>
  </si>
  <si>
    <t>Risers 3</t>
  </si>
  <si>
    <t>Risers 4</t>
  </si>
  <si>
    <t>Risers 5</t>
  </si>
  <si>
    <t>Risers 6</t>
  </si>
  <si>
    <t>Risers 7</t>
  </si>
  <si>
    <t>Risers 8</t>
  </si>
  <si>
    <t>Risers 9</t>
  </si>
  <si>
    <t>Tab Name</t>
  </si>
  <si>
    <t>Worksheet title</t>
  </si>
  <si>
    <t>Link</t>
  </si>
  <si>
    <t>Tab Name Check</t>
  </si>
  <si>
    <t>Data Error Check</t>
  </si>
  <si>
    <t>Expenditure Excluding Efficient Delivery</t>
  </si>
  <si>
    <t>12-US.OD.UN.DE</t>
  </si>
  <si>
    <t>11-US.OD.JU.DE</t>
  </si>
  <si>
    <t>10-US.UD.UN.IN</t>
  </si>
  <si>
    <t>09-US.UD.UN.DE</t>
  </si>
  <si>
    <t>08-US.UD.JU.IN</t>
  </si>
  <si>
    <t>07-US.UD.JU.DE</t>
  </si>
  <si>
    <t>06-OS.UD.UN.IN</t>
  </si>
  <si>
    <t>05-OS.UD.JU.IN</t>
  </si>
  <si>
    <t>04-OS.OD.UN.IN</t>
  </si>
  <si>
    <t>03-OS.OD.UN.DE</t>
  </si>
  <si>
    <t>02-OS.OD.JU.IN</t>
  </si>
  <si>
    <t>01-OS.OD.JU.DE</t>
  </si>
  <si>
    <t>-</t>
  </si>
  <si>
    <t>£Rm</t>
  </si>
  <si>
    <t>Scenario</t>
  </si>
  <si>
    <t>IN</t>
  </si>
  <si>
    <t>Increased UCR at outturn</t>
  </si>
  <si>
    <t>DE</t>
  </si>
  <si>
    <t>Decreased UCR at outturn</t>
  </si>
  <si>
    <t>UN</t>
  </si>
  <si>
    <t>Unjustified</t>
  </si>
  <si>
    <t>JU</t>
  </si>
  <si>
    <t>Justified</t>
  </si>
  <si>
    <t>UD</t>
  </si>
  <si>
    <t>Under-deliver</t>
  </si>
  <si>
    <t>OD</t>
  </si>
  <si>
    <t>Over-deliver</t>
  </si>
  <si>
    <t>US</t>
  </si>
  <si>
    <t>Under-spend</t>
  </si>
  <si>
    <t>OS</t>
  </si>
  <si>
    <t>Over-spend</t>
  </si>
  <si>
    <t>Chosen Scenario</t>
  </si>
  <si>
    <t>Definition</t>
  </si>
  <si>
    <t>Scenario Controls (Outturn Values)</t>
  </si>
  <si>
    <t>Discounted benefit</t>
  </si>
  <si>
    <t>Nominal benefit</t>
  </si>
  <si>
    <t>Total</t>
  </si>
  <si>
    <t> </t>
  </si>
  <si>
    <t>Benefit</t>
  </si>
  <si>
    <t>Survival risk</t>
  </si>
  <si>
    <t>C. survival</t>
  </si>
  <si>
    <t>PoF</t>
  </si>
  <si>
    <t>Risk</t>
  </si>
  <si>
    <t>Year</t>
  </si>
  <si>
    <t>Refurbishment</t>
  </si>
  <si>
    <t>No Intervention</t>
  </si>
  <si>
    <t>New methodology</t>
  </si>
  <si>
    <t>Target old methodology</t>
  </si>
  <si>
    <t>Outturn adjustment</t>
  </si>
  <si>
    <t>Target</t>
  </si>
  <si>
    <t>Adjustment</t>
  </si>
  <si>
    <t>ABC</t>
  </si>
  <si>
    <t>About</t>
  </si>
  <si>
    <t>About this workbook</t>
  </si>
  <si>
    <t>Contents</t>
  </si>
  <si>
    <t>1.1_Calculation_Funding_Penalty</t>
  </si>
  <si>
    <t>1. Funding Adjustment and Penalty Calculation Model</t>
  </si>
  <si>
    <t>2_Delivery_Scenarios</t>
  </si>
  <si>
    <t>3_Non_Intervention_Adjustment</t>
  </si>
  <si>
    <t>Example of non-intervention adjustment</t>
  </si>
  <si>
    <t>2. Funding Adjustment and Penalty Mechanism - Example Delivery Scenarios</t>
  </si>
  <si>
    <t>Funding Adjustment and Penalty Mechanism - Example Delivery Scenarios</t>
  </si>
  <si>
    <t>3. Non-intervention adjustment example</t>
  </si>
  <si>
    <t>Input data sheet: initial allowances</t>
  </si>
  <si>
    <t>Funding adjustment and penalty calculation and results</t>
  </si>
  <si>
    <t>Input data sheet: outturn delivery</t>
  </si>
  <si>
    <t>Input data sheet: non-intervention adjustment</t>
  </si>
  <si>
    <t>Input data sheet: efficient delivery</t>
  </si>
  <si>
    <t>RIIO-2 Draft Determination: NARM Supporting Workbook</t>
  </si>
  <si>
    <t>Ofgem RIIO-2 Closeout Assessment Result</t>
  </si>
  <si>
    <t>Spend outturn</t>
  </si>
  <si>
    <t>Output delivery outturn</t>
  </si>
  <si>
    <t>Justification</t>
  </si>
  <si>
    <t>Comments</t>
  </si>
  <si>
    <t>OS.OD.JU.DE</t>
  </si>
  <si>
    <t>Funding is increased beyond the company’s outturn expenditure. This is because justified over-delivery is funded, and companies will retain a portion of any savings they make by decreasing their UCR.</t>
  </si>
  <si>
    <t>OS.OD.JU.IN</t>
  </si>
  <si>
    <t>Funding is increased, but remains below the company’s outturn expenditure. This is because justified over-delivery is funded, but companies will incur excess expenditure caused by an increase in their UCR at outturn.</t>
  </si>
  <si>
    <t>OS.OD.UN.DE</t>
  </si>
  <si>
    <t>Funding is reduced. This is because unjustified over-delivery is not funded, and a portion of savings made by decreases in UCR at outturn are clawed back.</t>
  </si>
  <si>
    <t>OS.OD.UN.IN</t>
  </si>
  <si>
    <t>Funding is unchanged. This is because unjustified over-delivery is not funded, and companies will incur all excess expenditure caused by an increase in their UCR at outturn.</t>
  </si>
  <si>
    <t>OS.UD.JU.IN</t>
  </si>
  <si>
    <t>Funding is reduced. This is because only delivered risk benefits are eligible for funding. No penalty is applied because the under-delivery is justified.</t>
  </si>
  <si>
    <t>OS.UD.UN.IN</t>
  </si>
  <si>
    <t>Funding is reduced. This is because only delivered risk benefits are eligible for funding. A penalty is applied based on the penalty rate and the amount of funding that was clawed-back.</t>
  </si>
  <si>
    <t>US.UD.JU.DE</t>
  </si>
  <si>
    <t>Funding is reduced, but remains above the company’s outturn expenditure. This is because only delivered risk benefits are eligible for funding, and companies will retain a portion of any savings they make by decreasing their UCR. No penalty is applied because the under-delivery is justified.</t>
  </si>
  <si>
    <t>US.UD.JU.IN</t>
  </si>
  <si>
    <t>Funding is reduced below the company’s outturn expenditure. This is because only delivered risk benefits are eligible for funding, and companies will incur all excess expenditure caused by an increase in their UCR at outturn. No penalty is applied because the under-delivery is justified.</t>
  </si>
  <si>
    <t>US.UD.UN.DE</t>
  </si>
  <si>
    <t>Funding is reduced, but remains above the company’s outturn expenditure. This is because only delivered risk benefits are eligible for funding, and companies will retain a portion of any savings they make by decreasing their UCR. A penalty is applied based on the penalty rate and the amount of funding that was clawed-back.</t>
  </si>
  <si>
    <t>US.UD.UN.IN</t>
  </si>
  <si>
    <t>Funding is reduced below the company’s outturn expenditure. This is because only delivered risk benefits are eligible for funding, and companies will incur all excess expenditure caused by an increase in their UCR at outturn. A penalty is applied based on the penalty rate and the amount of funding that was clawed-back.</t>
  </si>
  <si>
    <t>US.OD.JU.DE</t>
  </si>
  <si>
    <t>Funding may reduce or increase, but will remain above the company’s outturn expenditure regardless. This is because the justified over-delivery is funded, but this funding is based on the allowed UCR. In this case the outturn UCR has increased from its initial value, and so the company will retain a portion of the savings it made.</t>
  </si>
  <si>
    <t>US.OD.UN.DE</t>
  </si>
  <si>
    <t>Funding is reduced below the company’s outturn expenditure. This is because unjustified over-delivery is not funded, and a portion of savings made by decreases in UCR at outturn are clawed back.</t>
  </si>
  <si>
    <t>Funding Outcome</t>
  </si>
  <si>
    <t>UCR at outturn versus initial UCR</t>
  </si>
  <si>
    <t>Full Scenario</t>
  </si>
  <si>
    <t>User Settings</t>
  </si>
  <si>
    <t>Select from dropdown</t>
  </si>
  <si>
    <t>Example</t>
  </si>
  <si>
    <t>1.2_Input_Parameters</t>
  </si>
  <si>
    <t>1.4_Input_Outturn_Delivery</t>
  </si>
  <si>
    <t>1.5_Input_Non_Intervention_Adj</t>
  </si>
  <si>
    <t>1.6_Input_Efficient_Delivery</t>
  </si>
  <si>
    <t>Input data sheet: NARM Funding Adjustment and Penalty Mechanism Parameters</t>
  </si>
  <si>
    <t>Ofgem RIIO-2 Closeout Assessment</t>
  </si>
  <si>
    <t>Company Submission</t>
  </si>
  <si>
    <t>Outturn 
Expenditure</t>
  </si>
  <si>
    <t>Associated
 Allowance</t>
  </si>
  <si>
    <t>Associated Monetised Risk Output</t>
  </si>
  <si>
    <t>Claimed
 Efficiency Saving</t>
  </si>
  <si>
    <t>Determined Efficiency
Saving</t>
  </si>
  <si>
    <t>Cell Colour Key</t>
  </si>
  <si>
    <t>Non-editable cell</t>
  </si>
  <si>
    <t>abc</t>
  </si>
  <si>
    <t>Input cell</t>
  </si>
  <si>
    <t>Calculation cell (sub-total)</t>
  </si>
  <si>
    <t>Calculation cell (total)</t>
  </si>
  <si>
    <t>Link from other sheet in workbook</t>
  </si>
  <si>
    <t>Link from other workbook</t>
  </si>
  <si>
    <t>Constant</t>
  </si>
  <si>
    <t>Input not relevant</t>
  </si>
  <si>
    <t>EXP.AAU - EXP.BL.EE</t>
  </si>
  <si>
    <t>EXP.BL</t>
  </si>
  <si>
    <t>RB.BL</t>
  </si>
  <si>
    <t>UCR.BL</t>
  </si>
  <si>
    <t>EXP.BL/RB.BL</t>
  </si>
  <si>
    <t>RB.BL.EE</t>
  </si>
  <si>
    <t>RB.BL - RB.EE</t>
  </si>
  <si>
    <t>EXP.BL.EE</t>
  </si>
  <si>
    <t>UCR.BL.EE</t>
  </si>
  <si>
    <t>EXP.BL.EE/RB.BL.EE</t>
  </si>
  <si>
    <t>RB.OAD - RB.BL</t>
  </si>
  <si>
    <t>RB.BL.EE x UCR.AF x (1 - JUS) x ODF</t>
  </si>
  <si>
    <t>EXP.BL19</t>
  </si>
  <si>
    <t>EXP.BL20</t>
  </si>
  <si>
    <t>EXP.BL21</t>
  </si>
  <si>
    <t>EXP.BL22</t>
  </si>
  <si>
    <t>EXP.BL23</t>
  </si>
  <si>
    <t>EXP.BL24</t>
  </si>
  <si>
    <t>EXP.BL25</t>
  </si>
  <si>
    <t>EXP.BL26</t>
  </si>
  <si>
    <t>EXP.BL27</t>
  </si>
  <si>
    <t>EXP.BL28</t>
  </si>
  <si>
    <t>EXP.BL29</t>
  </si>
  <si>
    <t>EXP.BL30</t>
  </si>
  <si>
    <t>EXP.BL31</t>
  </si>
  <si>
    <t>EXP.BL32</t>
  </si>
  <si>
    <t>EXP.BL33</t>
  </si>
  <si>
    <t>EXP.BL34</t>
  </si>
  <si>
    <t>EXP.BL35</t>
  </si>
  <si>
    <t>EXP.BL36</t>
  </si>
  <si>
    <t>EXP.BL37</t>
  </si>
  <si>
    <t>EXP.BL1</t>
  </si>
  <si>
    <t>EXP.BL2</t>
  </si>
  <si>
    <t>EXP.BL3</t>
  </si>
  <si>
    <t>EXP.BL4</t>
  </si>
  <si>
    <t>EXP.BL5</t>
  </si>
  <si>
    <t>EXP.BL6</t>
  </si>
  <si>
    <t>EXP.BL7</t>
  </si>
  <si>
    <t>EXP.BL8</t>
  </si>
  <si>
    <t>EXP.BL9</t>
  </si>
  <si>
    <t>EXP.BL10</t>
  </si>
  <si>
    <t>EXP.BL11</t>
  </si>
  <si>
    <t>EXP.BL12</t>
  </si>
  <si>
    <t>EXP.BL13</t>
  </si>
  <si>
    <t>EXP.BL14</t>
  </si>
  <si>
    <t>EXP.BL15</t>
  </si>
  <si>
    <t>EXP.BL16</t>
  </si>
  <si>
    <t>EXP.BL17</t>
  </si>
  <si>
    <t>EXP.BL18</t>
  </si>
  <si>
    <t>RB.BL1</t>
  </si>
  <si>
    <t>RB.BL2</t>
  </si>
  <si>
    <t>RB.BL3</t>
  </si>
  <si>
    <t>RB.BL4</t>
  </si>
  <si>
    <t>RB.BL5</t>
  </si>
  <si>
    <t>RB.BL6</t>
  </si>
  <si>
    <t>RB.BL7</t>
  </si>
  <si>
    <t>RB.BL8</t>
  </si>
  <si>
    <t>RB.BL9</t>
  </si>
  <si>
    <t>RB.BL10</t>
  </si>
  <si>
    <t>RB.BL11</t>
  </si>
  <si>
    <t>RB.BL12</t>
  </si>
  <si>
    <t>RB.BL13</t>
  </si>
  <si>
    <t>RB.BL14</t>
  </si>
  <si>
    <t>RB.BL15</t>
  </si>
  <si>
    <t>RB.BL16</t>
  </si>
  <si>
    <t>RB.BL17</t>
  </si>
  <si>
    <t>RB.BL18</t>
  </si>
  <si>
    <t>RB.BL19</t>
  </si>
  <si>
    <t>RB.BL20</t>
  </si>
  <si>
    <t>RB.BL21</t>
  </si>
  <si>
    <t>RB.BL22</t>
  </si>
  <si>
    <t>RB.BL23</t>
  </si>
  <si>
    <t>RB.BL24</t>
  </si>
  <si>
    <t>RB.BL25</t>
  </si>
  <si>
    <t>RB.BL26</t>
  </si>
  <si>
    <t>RB.BL27</t>
  </si>
  <si>
    <t>RB.BL28</t>
  </si>
  <si>
    <t>RB.BL29</t>
  </si>
  <si>
    <t>RB.BL30</t>
  </si>
  <si>
    <t>RB.BL31</t>
  </si>
  <si>
    <t>RB.BL32</t>
  </si>
  <si>
    <t>RB.BL33</t>
  </si>
  <si>
    <t>RB.BL34</t>
  </si>
  <si>
    <t>RB.BL35</t>
  </si>
  <si>
    <t>RB.BL36</t>
  </si>
  <si>
    <t>RB.BL37</t>
  </si>
  <si>
    <t>Expenditure Allowed (Baseline)</t>
  </si>
  <si>
    <t>Risk Benefit Target (Baseline)</t>
  </si>
  <si>
    <t>Unit Cost Risk Benefit Allowed (Baseline)</t>
  </si>
  <si>
    <t>Baseline Unit of Cost Risk Benefit (Excluding Efficient Delivery)</t>
  </si>
  <si>
    <t>Risk Benefit (Baseline, Excluding Efficient Delivery)</t>
  </si>
  <si>
    <t>Expenditure Allowed (Baseline, Excluding Efficient Delivery)</t>
  </si>
  <si>
    <t>Unit Cost of Risk Benefit (Baseline, Excluding Efficient Delivery)</t>
  </si>
  <si>
    <t>Stage 1 - Baseline Allowances</t>
  </si>
  <si>
    <t>Baseline Allowances</t>
  </si>
  <si>
    <t>1.3_Input_Baseline_Allowances</t>
  </si>
  <si>
    <t>Totex Incentive Mechanism Incentive Rate</t>
  </si>
  <si>
    <t>TIM</t>
  </si>
  <si>
    <t>Risk Benefit Output (Baseline)</t>
  </si>
  <si>
    <t>Baseline Delivery</t>
  </si>
  <si>
    <t>Baseline Flag</t>
  </si>
  <si>
    <t>BLF</t>
  </si>
  <si>
    <t>Total Company Overspend (+ve)/Underspend (-ve)</t>
  </si>
  <si>
    <t>Totex Incentive Mechanism (TIM) Sharing Factor</t>
  </si>
  <si>
    <t>%</t>
  </si>
  <si>
    <t>Company Gain (+ve)/Loss (-ve) after TIM</t>
  </si>
  <si>
    <t>SAV.PT</t>
  </si>
  <si>
    <t>-OS.AF x TIM</t>
  </si>
  <si>
    <t>SAV.PT + PEN</t>
  </si>
  <si>
    <t>Total Company Financial Gain (+ve)/Loss (-ve) - after TIM and penalty</t>
  </si>
  <si>
    <t>Expenditure Allowance Efficient Delivery</t>
  </si>
  <si>
    <t>EXP.AA + EXP.BL.EE</t>
  </si>
  <si>
    <t xml:space="preserve">N.B. Loss/Gain is relative to outturn expenditure and does not include any company returns on investment.  </t>
  </si>
  <si>
    <t>LTS Pipelines 1</t>
  </si>
  <si>
    <t>LTS Pipelines 2</t>
  </si>
  <si>
    <t>LTS Pipelines 3</t>
  </si>
  <si>
    <t>LTS Pipelines 4</t>
  </si>
  <si>
    <t>LTS Pipelines 5</t>
  </si>
  <si>
    <t>LTS Pipelines 6</t>
  </si>
  <si>
    <t>LTS Pipelines 7</t>
  </si>
  <si>
    <t>LTS Pipelines 8</t>
  </si>
  <si>
    <t>LTS Pipelines 9</t>
  </si>
  <si>
    <t>LTS Pipelines 10</t>
  </si>
  <si>
    <t>LTS Pipelines 11</t>
  </si>
  <si>
    <t>EXP.EE</t>
  </si>
  <si>
    <t>EXP.BL - EXP.EE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</si>
</sst>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409]#,##0.00"/>
    <numFmt numFmtId="165" formatCode="#,###.0;[Red]\-#,###.0;\-"/>
    <numFmt numFmtId="166" formatCode="0.000;[Red]\-0.000;\-"/>
    <numFmt numFmtId="167" formatCode="\+#,###.0;[Red]\-#,###.0;\-"/>
    <numFmt numFmtId="168" formatCode="0.0;[Red]\-0.0;\-"/>
    <numFmt numFmtId="169" formatCode="0.0000000000000000_ ;[Red]\-0.0000000000000000\ "/>
    <numFmt numFmtId="170" formatCode="0.0%"/>
    <numFmt numFmtId="171" formatCode="#,##0.00;\-#,##0.00;\-"/>
    <numFmt numFmtId="172" formatCode="0.000_ ;[Red]\-0.000\ "/>
  </numFmts>
  <fonts count="21">
    <font>
      <sz val="10"/>
      <color theme="1"/>
      <name val="Verdana"/>
      <family val="2"/>
    </font>
    <font>
      <sz val="10"/>
      <color theme="1"/>
      <name val="Verdana"/>
      <family val="2"/>
    </font>
    <font>
      <b/>
      <sz val="10"/>
      <color theme="1"/>
      <name val="Verdana"/>
      <family val="2"/>
    </font>
    <font>
      <sz val="10"/>
      <name val="Verdana"/>
      <family val="2"/>
    </font>
    <font>
      <b/>
      <sz val="18"/>
      <color theme="0"/>
      <name val="Verdana"/>
      <family val="2"/>
    </font>
    <font>
      <b/>
      <sz val="20"/>
      <color theme="0"/>
      <name val="Verdana"/>
      <family val="2"/>
    </font>
    <font>
      <b/>
      <sz val="12"/>
      <color theme="0"/>
      <name val="Verdana"/>
      <family val="2"/>
    </font>
    <font>
      <sz val="12"/>
      <color theme="1"/>
      <name val="Verdana"/>
      <family val="2"/>
    </font>
    <font>
      <b/>
      <sz val="16"/>
      <color theme="1"/>
      <name val="Verdana"/>
      <family val="2"/>
    </font>
    <font>
      <b/>
      <sz val="8"/>
      <color theme="1"/>
      <name val="Verdana"/>
      <family val="2"/>
    </font>
    <font>
      <sz val="11"/>
      <name val="CG Omega"/>
      <family val="2"/>
    </font>
    <font>
      <sz val="10"/>
      <color theme="0"/>
      <name val="Verdana"/>
      <family val="2"/>
    </font>
    <font>
      <b/>
      <sz val="10"/>
      <name val="Verdana"/>
      <family val="2"/>
    </font>
    <font>
      <u/>
      <sz val="10"/>
      <color theme="10"/>
      <name val="Verdana"/>
      <family val="2"/>
    </font>
    <font>
      <sz val="10"/>
      <color theme="10"/>
      <name val="Verdana"/>
      <family val="2"/>
    </font>
    <font>
      <sz val="11"/>
      <color theme="1"/>
      <name val="Calibri"/>
      <family val="2"/>
      <scheme val="minor"/>
    </font>
    <font>
      <sz val="10"/>
      <name val="Verdana"/>
      <family val="2"/>
      <charset val="1"/>
    </font>
    <font>
      <b/>
      <sz val="10"/>
      <color rgb="FF000000"/>
      <name val="Verdana"/>
      <family val="2"/>
      <charset val="1"/>
    </font>
    <font>
      <b/>
      <sz val="11"/>
      <color theme="1"/>
      <name val="Calibri"/>
      <family val="2"/>
      <scheme val="minor"/>
    </font>
    <font>
      <sz val="10"/>
      <color rgb="FF848484"/>
      <name val="Verdana"/>
      <family val="2"/>
    </font>
    <font>
      <b/>
      <sz val="10"/>
      <color rgb="FFFFFFFF"/>
      <name val="Verdana"/>
      <family val="2"/>
    </font>
  </fonts>
  <fills count="19">
    <fill>
      <patternFill patternType="none"/>
    </fill>
    <fill>
      <patternFill patternType="gray125"/>
    </fill>
    <fill>
      <patternFill patternType="solid">
        <fgColor theme="9" tint="-0.249977111117893"/>
        <bgColor indexed="64"/>
      </patternFill>
    </fill>
    <fill>
      <patternFill patternType="solid">
        <fgColor theme="7" tint="0.39997558519241921"/>
        <bgColor indexed="64"/>
      </patternFill>
    </fill>
    <fill>
      <patternFill patternType="solid">
        <fgColor rgb="FFCCFFFF"/>
        <bgColor indexed="64"/>
      </patternFill>
    </fill>
    <fill>
      <patternFill patternType="solid">
        <fgColor theme="7" tint="0.59999389629810485"/>
        <bgColor indexed="64"/>
      </patternFill>
    </fill>
    <fill>
      <patternFill patternType="solid">
        <fgColor rgb="FFCCFFCC"/>
        <bgColor indexed="64"/>
      </patternFill>
    </fill>
    <fill>
      <patternFill patternType="solid">
        <fgColor theme="7" tint="0.79998168889431442"/>
        <bgColor indexed="64"/>
      </patternFill>
    </fill>
    <fill>
      <patternFill patternType="solid">
        <fgColor rgb="FFFFFFCC"/>
        <bgColor indexed="64"/>
      </patternFill>
    </fill>
    <fill>
      <patternFill patternType="solid">
        <fgColor theme="4" tint="-0.249977111117893"/>
        <bgColor indexed="64"/>
      </patternFill>
    </fill>
    <fill>
      <patternFill patternType="solid">
        <fgColor theme="0" tint="-0.499984740745262"/>
        <bgColor indexed="64"/>
      </patternFill>
    </fill>
    <fill>
      <patternFill patternType="solid">
        <fgColor rgb="FFCCFFFF"/>
        <bgColor rgb="FFCCFFFF"/>
      </patternFill>
    </fill>
    <fill>
      <patternFill patternType="solid">
        <fgColor rgb="FFFFD966"/>
        <bgColor rgb="FFFFE699"/>
      </patternFill>
    </fill>
    <fill>
      <patternFill patternType="solid">
        <fgColor rgb="FF7030A0"/>
        <bgColor indexed="64"/>
      </patternFill>
    </fill>
    <fill>
      <patternFill patternType="solid">
        <fgColor rgb="FF7C8389"/>
        <bgColor indexed="64"/>
      </patternFill>
    </fill>
    <fill>
      <patternFill patternType="solid">
        <fgColor indexed="22"/>
        <bgColor indexed="64"/>
      </patternFill>
    </fill>
    <fill>
      <patternFill patternType="solid">
        <fgColor rgb="FFCC99FF"/>
        <bgColor indexed="64"/>
      </patternFill>
    </fill>
    <fill>
      <patternFill patternType="solid">
        <fgColor theme="1"/>
        <bgColor indexed="64"/>
      </patternFill>
    </fill>
    <fill>
      <patternFill patternType="gray0625"/>
    </fill>
  </fills>
  <borders count="12">
    <border>
      <left/>
      <right/>
      <top/>
      <bottom/>
      <diagonal/>
    </border>
    <border>
      <left/>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64"/>
      </right>
      <top style="thin">
        <color indexed="64"/>
      </top>
      <bottom style="thin">
        <color auto="1"/>
      </bottom>
      <diagonal/>
    </border>
    <border>
      <left style="medium">
        <color rgb="FFB6BABE"/>
      </left>
      <right style="medium">
        <color rgb="FFB6BABE"/>
      </right>
      <top style="medium">
        <color rgb="FFB6BABE"/>
      </top>
      <bottom style="medium">
        <color rgb="FFB6BABE"/>
      </bottom>
      <diagonal/>
    </border>
    <border>
      <left/>
      <right style="medium">
        <color rgb="FFB6BABE"/>
      </right>
      <top style="medium">
        <color rgb="FFB6BABE"/>
      </top>
      <bottom style="medium">
        <color rgb="FFB6BABE"/>
      </bottom>
      <diagonal/>
    </border>
    <border>
      <left style="medium">
        <color rgb="FFB6BABE"/>
      </left>
      <right style="medium">
        <color rgb="FFB6BABE"/>
      </right>
      <top/>
      <bottom style="medium">
        <color rgb="FFB6BABE"/>
      </bottom>
      <diagonal/>
    </border>
    <border>
      <left/>
      <right style="medium">
        <color rgb="FFB6BABE"/>
      </right>
      <top/>
      <bottom style="medium">
        <color rgb="FFB6BABE"/>
      </bottom>
      <diagonal/>
    </border>
    <border>
      <left style="medium">
        <color rgb="FFB6BABE"/>
      </left>
      <right/>
      <top style="medium">
        <color rgb="FFB6BABE"/>
      </top>
      <bottom style="medium">
        <color rgb="FFB6BABE"/>
      </bottom>
      <diagonal/>
    </border>
  </borders>
  <cellStyleXfs count="8">
    <xf numFmtId="0" fontId="0" fillId="0" borderId="0"/>
    <xf numFmtId="0" fontId="3" fillId="0" borderId="0"/>
    <xf numFmtId="0" fontId="1" fillId="0" borderId="0"/>
    <xf numFmtId="0" fontId="1" fillId="0" borderId="0"/>
    <xf numFmtId="164" fontId="10" fillId="0" borderId="0"/>
    <xf numFmtId="0" fontId="1" fillId="0" borderId="0"/>
    <xf numFmtId="164" fontId="13" fillId="0" borderId="0" applyNumberFormat="0" applyFill="0" applyBorder="0" applyAlignment="0" applyProtection="0">
      <alignment vertical="top"/>
      <protection locked="0"/>
    </xf>
    <xf numFmtId="0" fontId="15" fillId="0" borderId="0"/>
  </cellStyleXfs>
  <cellXfs count="118">
    <xf numFmtId="0" fontId="0" fillId="0" borderId="0" xfId="0"/>
    <xf numFmtId="0" fontId="4" fillId="2" borderId="0" xfId="1" applyNumberFormat="1" applyFont="1" applyFill="1" applyBorder="1" applyAlignment="1" applyProtection="1">
      <alignment horizontal="left" vertical="top"/>
    </xf>
    <xf numFmtId="0" fontId="5" fillId="2" borderId="0" xfId="1" applyNumberFormat="1" applyFont="1" applyFill="1" applyBorder="1" applyAlignment="1" applyProtection="1">
      <alignment horizontal="center" vertical="top"/>
    </xf>
    <xf numFmtId="0" fontId="5" fillId="2" borderId="0" xfId="1" applyNumberFormat="1" applyFont="1" applyFill="1" applyBorder="1" applyAlignment="1" applyProtection="1">
      <alignment horizontal="left" vertical="top"/>
    </xf>
    <xf numFmtId="0" fontId="1" fillId="0" borderId="0" xfId="2" applyFont="1" applyAlignment="1">
      <alignment vertical="top"/>
    </xf>
    <xf numFmtId="0" fontId="6" fillId="2" borderId="0" xfId="1" applyNumberFormat="1" applyFont="1" applyFill="1" applyBorder="1" applyAlignment="1" applyProtection="1">
      <alignment horizontal="left" vertical="top"/>
    </xf>
    <xf numFmtId="0" fontId="6" fillId="2" borderId="0" xfId="1" applyNumberFormat="1" applyFont="1" applyFill="1" applyBorder="1" applyAlignment="1" applyProtection="1">
      <alignment horizontal="center" vertical="top"/>
    </xf>
    <xf numFmtId="0" fontId="7" fillId="0" borderId="0" xfId="2" applyFont="1" applyAlignment="1">
      <alignment vertical="top"/>
    </xf>
    <xf numFmtId="0" fontId="8" fillId="0" borderId="0" xfId="0" applyFont="1" applyAlignment="1">
      <alignment vertical="top"/>
    </xf>
    <xf numFmtId="0" fontId="0" fillId="0" borderId="0" xfId="0" applyAlignment="1">
      <alignment vertical="top"/>
    </xf>
    <xf numFmtId="0" fontId="2" fillId="3" borderId="1" xfId="3" applyFont="1" applyFill="1" applyBorder="1" applyAlignment="1">
      <alignment vertical="top"/>
    </xf>
    <xf numFmtId="0" fontId="9" fillId="3" borderId="1" xfId="3" applyFont="1" applyFill="1" applyBorder="1" applyAlignment="1">
      <alignment vertical="top"/>
    </xf>
    <xf numFmtId="0" fontId="2" fillId="0" borderId="0" xfId="0" applyFont="1" applyAlignment="1">
      <alignment vertical="top"/>
    </xf>
    <xf numFmtId="0" fontId="2" fillId="0" borderId="2" xfId="0" applyFont="1" applyBorder="1" applyAlignment="1">
      <alignment vertical="top"/>
    </xf>
    <xf numFmtId="0" fontId="2" fillId="0" borderId="2" xfId="0" applyFont="1" applyBorder="1" applyAlignment="1">
      <alignment horizontal="center" vertical="top"/>
    </xf>
    <xf numFmtId="0" fontId="0" fillId="0" borderId="2" xfId="0" applyBorder="1" applyAlignment="1">
      <alignment vertical="top"/>
    </xf>
    <xf numFmtId="0" fontId="0" fillId="0" borderId="2" xfId="0" applyBorder="1" applyAlignment="1">
      <alignment horizontal="center" vertical="top"/>
    </xf>
    <xf numFmtId="165" fontId="3" fillId="4" borderId="2" xfId="4" applyNumberFormat="1" applyFont="1" applyFill="1" applyBorder="1" applyAlignment="1" applyProtection="1">
      <alignment horizontal="center" vertical="top"/>
      <protection locked="0"/>
    </xf>
    <xf numFmtId="10" fontId="3" fillId="4" borderId="2" xfId="4" applyNumberFormat="1" applyFont="1" applyFill="1" applyBorder="1" applyAlignment="1" applyProtection="1">
      <alignment horizontal="center" vertical="top"/>
      <protection locked="0"/>
    </xf>
    <xf numFmtId="0" fontId="3" fillId="4" borderId="2" xfId="4" applyNumberFormat="1" applyFont="1" applyFill="1" applyBorder="1" applyAlignment="1" applyProtection="1">
      <alignment horizontal="center" vertical="top"/>
      <protection locked="0"/>
    </xf>
    <xf numFmtId="0" fontId="2" fillId="5" borderId="1" xfId="3" applyFont="1" applyFill="1" applyBorder="1" applyAlignment="1">
      <alignment vertical="top"/>
    </xf>
    <xf numFmtId="0" fontId="9" fillId="5" borderId="1" xfId="3" applyFont="1" applyFill="1" applyBorder="1" applyAlignment="1">
      <alignment vertical="top"/>
    </xf>
    <xf numFmtId="0" fontId="2" fillId="0" borderId="2" xfId="0" applyFont="1" applyBorder="1" applyAlignment="1">
      <alignment horizontal="centerContinuous" vertical="top"/>
    </xf>
    <xf numFmtId="0" fontId="2" fillId="0" borderId="2" xfId="0" applyFont="1" applyBorder="1" applyAlignment="1">
      <alignment horizontal="right" vertical="top"/>
    </xf>
    <xf numFmtId="165" fontId="3" fillId="4" borderId="2" xfId="4" applyNumberFormat="1" applyFont="1" applyFill="1" applyBorder="1" applyAlignment="1" applyProtection="1">
      <alignment horizontal="right" vertical="top"/>
      <protection locked="0"/>
    </xf>
    <xf numFmtId="166" fontId="3" fillId="6" borderId="2" xfId="4" applyNumberFormat="1" applyFont="1" applyFill="1" applyBorder="1" applyAlignment="1">
      <alignment horizontal="right" vertical="top"/>
    </xf>
    <xf numFmtId="0" fontId="2" fillId="7" borderId="1" xfId="3" applyFont="1" applyFill="1" applyBorder="1" applyAlignment="1">
      <alignment vertical="top"/>
    </xf>
    <xf numFmtId="0" fontId="9" fillId="7" borderId="1" xfId="3" applyFont="1" applyFill="1" applyBorder="1" applyAlignment="1">
      <alignment vertical="top"/>
    </xf>
    <xf numFmtId="167" fontId="3" fillId="4" borderId="2" xfId="4" applyNumberFormat="1" applyFont="1" applyFill="1" applyBorder="1" applyAlignment="1" applyProtection="1">
      <alignment horizontal="right" vertical="top"/>
      <protection locked="0"/>
    </xf>
    <xf numFmtId="168" fontId="3" fillId="6" borderId="2" xfId="4" applyNumberFormat="1" applyFont="1" applyFill="1" applyBorder="1" applyAlignment="1">
      <alignment horizontal="right" vertical="top"/>
    </xf>
    <xf numFmtId="169" fontId="0" fillId="0" borderId="0" xfId="0" applyNumberFormat="1" applyAlignment="1">
      <alignment vertical="top"/>
    </xf>
    <xf numFmtId="0" fontId="3" fillId="6" borderId="2" xfId="4" applyNumberFormat="1" applyFont="1" applyFill="1" applyBorder="1" applyAlignment="1">
      <alignment horizontal="right" vertical="top"/>
    </xf>
    <xf numFmtId="10" fontId="3" fillId="4" borderId="2" xfId="4" applyNumberFormat="1" applyFont="1" applyFill="1" applyBorder="1" applyAlignment="1" applyProtection="1">
      <alignment horizontal="right" vertical="top"/>
      <protection locked="0"/>
    </xf>
    <xf numFmtId="0" fontId="0" fillId="0" borderId="2" xfId="0" applyBorder="1" applyAlignment="1">
      <alignment horizontal="left" vertical="top" indent="1"/>
    </xf>
    <xf numFmtId="170" fontId="3" fillId="6" borderId="2" xfId="4" applyNumberFormat="1" applyFont="1" applyFill="1" applyBorder="1" applyAlignment="1">
      <alignment horizontal="right" vertical="top"/>
    </xf>
    <xf numFmtId="0" fontId="0" fillId="0" borderId="0" xfId="0" applyBorder="1" applyAlignment="1">
      <alignment vertical="top"/>
    </xf>
    <xf numFmtId="0" fontId="0" fillId="8" borderId="2" xfId="5" applyNumberFormat="1" applyFont="1" applyFill="1" applyBorder="1" applyAlignment="1"/>
    <xf numFmtId="0" fontId="0" fillId="8" borderId="2" xfId="0" applyFill="1" applyBorder="1" applyAlignment="1">
      <alignment vertical="top"/>
    </xf>
    <xf numFmtId="165" fontId="3" fillId="8" borderId="2" xfId="4" applyNumberFormat="1" applyFont="1" applyFill="1" applyBorder="1" applyAlignment="1" applyProtection="1">
      <alignment horizontal="right" vertical="top"/>
      <protection locked="0"/>
    </xf>
    <xf numFmtId="0" fontId="2" fillId="0" borderId="3" xfId="0" applyFont="1" applyBorder="1" applyAlignment="1">
      <alignment vertical="top"/>
    </xf>
    <xf numFmtId="0" fontId="0" fillId="0" borderId="3" xfId="0" applyBorder="1" applyAlignment="1">
      <alignment vertical="top"/>
    </xf>
    <xf numFmtId="168" fontId="0" fillId="0" borderId="0" xfId="0" applyNumberFormat="1" applyAlignment="1">
      <alignment vertical="top"/>
    </xf>
    <xf numFmtId="0" fontId="2" fillId="0" borderId="4" xfId="0" applyFont="1" applyBorder="1" applyAlignment="1">
      <alignment vertical="top"/>
    </xf>
    <xf numFmtId="0" fontId="2" fillId="0" borderId="4" xfId="0" applyFont="1" applyBorder="1" applyAlignment="1">
      <alignment horizontal="right" vertical="top"/>
    </xf>
    <xf numFmtId="0" fontId="2" fillId="0" borderId="2" xfId="0" applyFont="1" applyBorder="1" applyAlignment="1">
      <alignment horizontal="centerContinuous" vertical="top" wrapText="1"/>
    </xf>
    <xf numFmtId="0" fontId="4" fillId="2" borderId="0" xfId="1" applyNumberFormat="1" applyFont="1" applyFill="1" applyBorder="1" applyAlignment="1" applyProtection="1">
      <alignment horizontal="center" vertical="top"/>
    </xf>
    <xf numFmtId="0" fontId="1" fillId="0" borderId="0" xfId="2" applyFont="1"/>
    <xf numFmtId="0" fontId="7" fillId="0" borderId="0" xfId="2" applyFont="1"/>
    <xf numFmtId="0" fontId="8" fillId="0" borderId="0" xfId="0" applyFont="1"/>
    <xf numFmtId="0" fontId="1" fillId="0" borderId="0" xfId="3"/>
    <xf numFmtId="0" fontId="1" fillId="0" borderId="0" xfId="3" applyAlignment="1">
      <alignment horizontal="center"/>
    </xf>
    <xf numFmtId="0" fontId="12" fillId="0" borderId="2" xfId="3" applyFont="1" applyBorder="1" applyAlignment="1">
      <alignment wrapText="1"/>
    </xf>
    <xf numFmtId="0" fontId="12" fillId="0" borderId="2" xfId="3" applyFont="1" applyBorder="1" applyAlignment="1">
      <alignment horizontal="center" wrapText="1"/>
    </xf>
    <xf numFmtId="0" fontId="1" fillId="0" borderId="2" xfId="3" applyFont="1" applyBorder="1" applyAlignment="1">
      <alignment horizontal="center"/>
    </xf>
    <xf numFmtId="164" fontId="14" fillId="0" borderId="2" xfId="6" applyFont="1" applyBorder="1" applyAlignment="1" applyProtection="1">
      <alignment horizontal="center"/>
    </xf>
    <xf numFmtId="0" fontId="1" fillId="10" borderId="2" xfId="3" applyFont="1" applyFill="1" applyBorder="1" applyAlignment="1">
      <alignment horizontal="center"/>
    </xf>
    <xf numFmtId="10" fontId="16" fillId="11" borderId="2" xfId="0" applyNumberFormat="1" applyFont="1" applyFill="1" applyBorder="1" applyAlignment="1" applyProtection="1">
      <alignment horizontal="right" vertical="top"/>
      <protection locked="0"/>
    </xf>
    <xf numFmtId="165" fontId="16" fillId="11" borderId="2" xfId="0" applyNumberFormat="1" applyFont="1" applyFill="1" applyBorder="1" applyAlignment="1" applyProtection="1">
      <alignment horizontal="right" vertical="top"/>
      <protection locked="0"/>
    </xf>
    <xf numFmtId="0" fontId="0" fillId="0" borderId="2" xfId="0" applyFont="1" applyBorder="1" applyAlignment="1">
      <alignment horizontal="left" vertical="top"/>
    </xf>
    <xf numFmtId="10" fontId="16" fillId="11" borderId="5" xfId="0" applyNumberFormat="1" applyFont="1" applyFill="1" applyBorder="1" applyAlignment="1" applyProtection="1">
      <alignment horizontal="right" vertical="top"/>
      <protection locked="0"/>
    </xf>
    <xf numFmtId="165" fontId="16" fillId="11" borderId="5" xfId="0" applyNumberFormat="1" applyFont="1" applyFill="1" applyBorder="1" applyAlignment="1" applyProtection="1">
      <alignment horizontal="right" vertical="top"/>
      <protection locked="0"/>
    </xf>
    <xf numFmtId="0" fontId="0" fillId="0" borderId="5" xfId="0" applyFont="1" applyBorder="1" applyAlignment="1">
      <alignment horizontal="left" vertical="top"/>
    </xf>
    <xf numFmtId="0" fontId="17" fillId="0" borderId="2" xfId="0" applyFont="1" applyBorder="1" applyAlignment="1">
      <alignment vertical="top"/>
    </xf>
    <xf numFmtId="0" fontId="17" fillId="12" borderId="1" xfId="0" applyFont="1" applyFill="1" applyBorder="1" applyAlignment="1">
      <alignment vertical="top"/>
    </xf>
    <xf numFmtId="0" fontId="15" fillId="0" borderId="0" xfId="7"/>
    <xf numFmtId="0" fontId="18" fillId="0" borderId="0" xfId="7" applyFont="1" applyFill="1" applyBorder="1"/>
    <xf numFmtId="0" fontId="18" fillId="0" borderId="0" xfId="7" applyFont="1"/>
    <xf numFmtId="0" fontId="18" fillId="0" borderId="0" xfId="7" applyFont="1" applyFill="1" applyBorder="1" applyAlignment="1"/>
    <xf numFmtId="0" fontId="11" fillId="2" borderId="2" xfId="3" applyFont="1" applyFill="1" applyBorder="1"/>
    <xf numFmtId="0" fontId="11" fillId="9" borderId="2" xfId="7" applyFont="1" applyFill="1" applyBorder="1"/>
    <xf numFmtId="0" fontId="11" fillId="13" borderId="2" xfId="3" applyFont="1" applyFill="1" applyBorder="1"/>
    <xf numFmtId="0" fontId="3" fillId="13" borderId="2" xfId="3" applyFont="1" applyFill="1" applyBorder="1"/>
    <xf numFmtId="10" fontId="3" fillId="8" borderId="2" xfId="4" applyNumberFormat="1" applyFont="1" applyFill="1" applyBorder="1" applyAlignment="1" applyProtection="1">
      <alignment horizontal="right" vertical="top"/>
      <protection locked="0"/>
    </xf>
    <xf numFmtId="165" fontId="3" fillId="8" borderId="2" xfId="4" applyNumberFormat="1" applyFont="1" applyFill="1" applyBorder="1" applyAlignment="1" applyProtection="1">
      <alignment horizontal="center" vertical="top"/>
      <protection locked="0"/>
    </xf>
    <xf numFmtId="10" fontId="3" fillId="8" borderId="2" xfId="4" applyNumberFormat="1" applyFont="1" applyFill="1" applyBorder="1" applyAlignment="1" applyProtection="1">
      <alignment horizontal="center" vertical="top"/>
      <protection locked="0"/>
    </xf>
    <xf numFmtId="0" fontId="3" fillId="8" borderId="2" xfId="4" applyNumberFormat="1" applyFont="1" applyFill="1" applyBorder="1" applyAlignment="1" applyProtection="1">
      <alignment horizontal="center" vertical="top"/>
      <protection locked="0"/>
    </xf>
    <xf numFmtId="0" fontId="20" fillId="14" borderId="7" xfId="0" applyFont="1" applyFill="1" applyBorder="1" applyAlignment="1">
      <alignment vertical="center" wrapText="1"/>
    </xf>
    <xf numFmtId="0" fontId="20" fillId="14" borderId="8" xfId="0" applyFont="1" applyFill="1" applyBorder="1" applyAlignment="1">
      <alignment vertical="center" wrapText="1"/>
    </xf>
    <xf numFmtId="0" fontId="19" fillId="0" borderId="9" xfId="0" applyFont="1" applyBorder="1" applyAlignment="1">
      <alignment vertical="center" wrapText="1"/>
    </xf>
    <xf numFmtId="0" fontId="19" fillId="0" borderId="10" xfId="0" applyFont="1" applyBorder="1" applyAlignment="1">
      <alignment vertical="center" wrapText="1"/>
    </xf>
    <xf numFmtId="0" fontId="19" fillId="0" borderId="11" xfId="0" applyFont="1" applyBorder="1" applyAlignment="1">
      <alignment vertical="center" wrapText="1"/>
    </xf>
    <xf numFmtId="0" fontId="2" fillId="0" borderId="0" xfId="0" applyFont="1"/>
    <xf numFmtId="171" fontId="3" fillId="8" borderId="2" xfId="4" applyNumberFormat="1" applyFont="1" applyFill="1" applyBorder="1" applyAlignment="1" applyProtection="1">
      <alignment horizontal="right" vertical="top"/>
      <protection locked="0"/>
    </xf>
    <xf numFmtId="0" fontId="2" fillId="0" borderId="2" xfId="0" applyFont="1" applyBorder="1" applyAlignment="1">
      <alignment horizontal="right" vertical="top" wrapText="1"/>
    </xf>
    <xf numFmtId="0" fontId="2" fillId="0" borderId="0" xfId="2" applyFont="1"/>
    <xf numFmtId="168" fontId="3" fillId="0" borderId="2" xfId="4" applyNumberFormat="1" applyFont="1" applyBorder="1" applyAlignment="1">
      <alignment horizontal="center"/>
    </xf>
    <xf numFmtId="168" fontId="3" fillId="8" borderId="2" xfId="4" applyNumberFormat="1" applyFont="1" applyFill="1" applyBorder="1" applyAlignment="1" applyProtection="1">
      <alignment horizontal="center"/>
      <protection locked="0"/>
    </xf>
    <xf numFmtId="168" fontId="3" fillId="6" borderId="2" xfId="4" applyNumberFormat="1" applyFont="1" applyFill="1" applyBorder="1" applyAlignment="1">
      <alignment horizontal="center"/>
    </xf>
    <xf numFmtId="168" fontId="3" fillId="15" borderId="2" xfId="4" applyNumberFormat="1" applyFont="1" applyFill="1" applyBorder="1" applyAlignment="1">
      <alignment horizontal="center"/>
    </xf>
    <xf numFmtId="168" fontId="3" fillId="4" borderId="2" xfId="4" applyNumberFormat="1" applyFont="1" applyFill="1" applyBorder="1" applyAlignment="1" applyProtection="1">
      <alignment horizontal="center"/>
      <protection locked="0"/>
    </xf>
    <xf numFmtId="168" fontId="3" fillId="16" borderId="2" xfId="4" applyNumberFormat="1" applyFont="1" applyFill="1" applyBorder="1" applyAlignment="1" applyProtection="1">
      <alignment horizontal="center"/>
      <protection locked="0"/>
    </xf>
    <xf numFmtId="0" fontId="0" fillId="0" borderId="0" xfId="2" applyFont="1"/>
    <xf numFmtId="168" fontId="11" fillId="17" borderId="2" xfId="4" applyNumberFormat="1" applyFont="1" applyFill="1" applyBorder="1" applyAlignment="1" applyProtection="1">
      <alignment horizontal="center"/>
      <protection locked="0"/>
    </xf>
    <xf numFmtId="168" fontId="3" fillId="18" borderId="2" xfId="4" applyNumberFormat="1" applyFont="1" applyFill="1" applyBorder="1" applyAlignment="1">
      <alignment horizontal="center"/>
    </xf>
    <xf numFmtId="0" fontId="0" fillId="0" borderId="2" xfId="0" quotePrefix="1" applyBorder="1" applyAlignment="1">
      <alignment vertical="top"/>
    </xf>
    <xf numFmtId="0" fontId="2" fillId="0" borderId="2" xfId="0" applyFont="1" applyBorder="1" applyAlignment="1">
      <alignment horizontal="center" vertical="top"/>
    </xf>
    <xf numFmtId="0" fontId="0" fillId="0" borderId="0" xfId="0" applyFont="1"/>
    <xf numFmtId="0" fontId="0" fillId="0" borderId="0" xfId="2" applyFont="1" applyFill="1" applyBorder="1"/>
    <xf numFmtId="0" fontId="1" fillId="0" borderId="2" xfId="3" applyFont="1" applyBorder="1"/>
    <xf numFmtId="0" fontId="1" fillId="10" borderId="2" xfId="3" applyNumberFormat="1" applyFont="1" applyFill="1" applyBorder="1" applyAlignment="1">
      <alignment horizontal="center"/>
    </xf>
    <xf numFmtId="0" fontId="1" fillId="10" borderId="2" xfId="3" applyFont="1" applyFill="1" applyBorder="1"/>
    <xf numFmtId="0" fontId="1" fillId="0" borderId="0" xfId="0" applyFont="1" applyAlignment="1">
      <alignment vertical="top"/>
    </xf>
    <xf numFmtId="0" fontId="1" fillId="0" borderId="2" xfId="0" applyFont="1" applyBorder="1" applyAlignment="1">
      <alignment vertical="top"/>
    </xf>
    <xf numFmtId="0" fontId="1" fillId="0" borderId="2" xfId="0" applyFont="1" applyBorder="1" applyAlignment="1">
      <alignment horizontal="center" vertical="top"/>
    </xf>
    <xf numFmtId="168" fontId="1" fillId="0" borderId="0" xfId="0" applyNumberFormat="1" applyFont="1" applyAlignment="1">
      <alignment vertical="top"/>
    </xf>
    <xf numFmtId="0" fontId="1" fillId="0" borderId="0" xfId="0" applyFont="1" applyBorder="1" applyAlignment="1">
      <alignment vertical="top"/>
    </xf>
    <xf numFmtId="169" fontId="1" fillId="0" borderId="0" xfId="0" applyNumberFormat="1" applyFont="1" applyAlignment="1">
      <alignment vertical="top"/>
    </xf>
    <xf numFmtId="172" fontId="1" fillId="0" borderId="0" xfId="0" applyNumberFormat="1" applyFont="1" applyAlignment="1">
      <alignment vertical="top"/>
    </xf>
    <xf numFmtId="0" fontId="1" fillId="0" borderId="2" xfId="0" applyFont="1" applyBorder="1" applyAlignment="1">
      <alignment horizontal="left" vertical="top" indent="1"/>
    </xf>
    <xf numFmtId="0" fontId="1" fillId="0" borderId="3" xfId="0" applyFont="1" applyBorder="1" applyAlignment="1">
      <alignment vertical="top"/>
    </xf>
    <xf numFmtId="0" fontId="1" fillId="0" borderId="2" xfId="0" quotePrefix="1" applyFont="1" applyBorder="1" applyAlignment="1">
      <alignment vertical="top"/>
    </xf>
    <xf numFmtId="0" fontId="1" fillId="0" borderId="0" xfId="0" applyFont="1"/>
    <xf numFmtId="0" fontId="1" fillId="0" borderId="2" xfId="5" applyNumberFormat="1" applyFont="1" applyBorder="1" applyAlignment="1"/>
    <xf numFmtId="0" fontId="0" fillId="0" borderId="0" xfId="0" applyAlignment="1">
      <alignment horizontal="center"/>
    </xf>
    <xf numFmtId="0" fontId="2" fillId="0" borderId="3" xfId="0" applyFont="1" applyBorder="1" applyAlignment="1">
      <alignment horizontal="center" vertical="top"/>
    </xf>
    <xf numFmtId="0" fontId="2" fillId="0" borderId="6" xfId="0" applyFont="1" applyBorder="1" applyAlignment="1">
      <alignment horizontal="center" vertical="top"/>
    </xf>
    <xf numFmtId="0" fontId="2" fillId="0" borderId="2" xfId="0" applyFont="1" applyBorder="1" applyAlignment="1">
      <alignment horizontal="center" vertical="top"/>
    </xf>
    <xf numFmtId="0" fontId="18" fillId="0" borderId="0" xfId="7" applyFont="1" applyAlignment="1">
      <alignment horizontal="center"/>
    </xf>
  </cellXfs>
  <cellStyles count="8">
    <cellStyle name="%" xfId="4"/>
    <cellStyle name="Hyperlink 11" xfId="6"/>
    <cellStyle name="Normal" xfId="0" builtinId="0"/>
    <cellStyle name="Normal 11 28 2" xfId="2"/>
    <cellStyle name="Normal 11 28 2 2" xfId="3"/>
    <cellStyle name="Normal 11 28 2 4" xfId="5"/>
    <cellStyle name="Normal 2" xfId="7"/>
    <cellStyle name="Normal_Financial tables_NG 2 2" xfId="1"/>
  </cellStyles>
  <dxfs count="0"/>
  <tableStyles count="0" defaultTableStyle="TableStyleMedium2" defaultPivotStyle="PivotStyleLight16"/>
  <colors>
    <mruColors>
      <color rgb="FFFFFFCC"/>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61913</xdr:colOff>
      <xdr:row>9</xdr:row>
      <xdr:rowOff>66676</xdr:rowOff>
    </xdr:from>
    <xdr:to>
      <xdr:col>6</xdr:col>
      <xdr:colOff>66675</xdr:colOff>
      <xdr:row>15</xdr:row>
      <xdr:rowOff>71438</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61913" y="1971676"/>
          <a:ext cx="8067675" cy="947737"/>
        </a:xfrm>
        <a:prstGeom prst="rect">
          <a:avLst/>
        </a:prstGeom>
        <a:solidFill>
          <a:schemeClr val="accent3">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en-GB" sz="1000">
              <a:solidFill>
                <a:schemeClr val="tx1"/>
              </a:solidFill>
              <a:latin typeface="Verdana" panose="020B0604030504040204" pitchFamily="34" charset="0"/>
              <a:ea typeface="Verdana" panose="020B0604030504040204" pitchFamily="34" charset="0"/>
              <a:cs typeface="Verdana" panose="020B0604030504040204" pitchFamily="34" charset="0"/>
            </a:rPr>
            <a:t>The purpose of this workbook is to help stakeholders</a:t>
          </a:r>
          <a:r>
            <a:rPr lang="en-GB" sz="1000" baseline="0">
              <a:solidFill>
                <a:schemeClr val="tx1"/>
              </a:solidFill>
              <a:latin typeface="Verdana" panose="020B0604030504040204" pitchFamily="34" charset="0"/>
              <a:ea typeface="Verdana" panose="020B0604030504040204" pitchFamily="34" charset="0"/>
              <a:cs typeface="Verdana" panose="020B0604030504040204" pitchFamily="34" charset="0"/>
            </a:rPr>
            <a:t> fully u</a:t>
          </a:r>
          <a:r>
            <a:rPr lang="en-GB" sz="1000">
              <a:solidFill>
                <a:schemeClr val="tx1"/>
              </a:solidFill>
              <a:latin typeface="Verdana" panose="020B0604030504040204" pitchFamily="34" charset="0"/>
              <a:ea typeface="Verdana" panose="020B0604030504040204" pitchFamily="34" charset="0"/>
              <a:cs typeface="Verdana" panose="020B0604030504040204" pitchFamily="34" charset="0"/>
            </a:rPr>
            <a:t>nderstand of the NARM Funding Adjustment and Penalty Mechanism as set out</a:t>
          </a:r>
          <a:r>
            <a:rPr lang="en-GB" sz="1000" baseline="0">
              <a:solidFill>
                <a:schemeClr val="tx1"/>
              </a:solidFill>
              <a:latin typeface="Verdana" panose="020B0604030504040204" pitchFamily="34" charset="0"/>
              <a:ea typeface="Verdana" panose="020B0604030504040204" pitchFamily="34" charset="0"/>
              <a:cs typeface="Verdana" panose="020B0604030504040204" pitchFamily="34" charset="0"/>
            </a:rPr>
            <a:t> in our 'Draft Determinations - NARM Annex'.  </a:t>
          </a:r>
        </a:p>
        <a:p>
          <a:pPr algn="l"/>
          <a:endParaRPr lang="en-GB" sz="1000" baseline="0">
            <a:solidFill>
              <a:schemeClr val="tx1"/>
            </a:solidFill>
            <a:latin typeface="Verdana" panose="020B0604030504040204" pitchFamily="34" charset="0"/>
            <a:ea typeface="Verdana" panose="020B0604030504040204" pitchFamily="34" charset="0"/>
            <a:cs typeface="Verdana" panose="020B0604030504040204" pitchFamily="34" charset="0"/>
          </a:endParaRPr>
        </a:p>
        <a:p>
          <a:pPr algn="l"/>
          <a:r>
            <a:rPr lang="en-GB" sz="1000" baseline="0">
              <a:solidFill>
                <a:schemeClr val="tx1"/>
              </a:solidFill>
              <a:latin typeface="Verdana" panose="020B0604030504040204" pitchFamily="34" charset="0"/>
              <a:ea typeface="Verdana" panose="020B0604030504040204" pitchFamily="34" charset="0"/>
              <a:cs typeface="Verdana" panose="020B0604030504040204" pitchFamily="34" charset="0"/>
            </a:rPr>
            <a:t>There are three sections to this workbook as detailed below.   </a:t>
          </a:r>
          <a:endParaRPr lang="en-GB" sz="1000">
            <a:solidFill>
              <a:schemeClr val="tx1"/>
            </a:solidFill>
            <a:latin typeface="Verdana" panose="020B0604030504040204" pitchFamily="34" charset="0"/>
            <a:ea typeface="Verdana" panose="020B0604030504040204" pitchFamily="34" charset="0"/>
            <a:cs typeface="Verdana" panose="020B0604030504040204" pitchFamily="34" charset="0"/>
          </a:endParaRPr>
        </a:p>
      </xdr:txBody>
    </xdr:sp>
    <xdr:clientData/>
  </xdr:twoCellAnchor>
  <xdr:twoCellAnchor editAs="oneCell">
    <xdr:from>
      <xdr:col>0</xdr:col>
      <xdr:colOff>61913</xdr:colOff>
      <xdr:row>16</xdr:row>
      <xdr:rowOff>157161</xdr:rowOff>
    </xdr:from>
    <xdr:to>
      <xdr:col>6</xdr:col>
      <xdr:colOff>66675</xdr:colOff>
      <xdr:row>34</xdr:row>
      <xdr:rowOff>114301</xdr:rowOff>
    </xdr:to>
    <xdr:grpSp>
      <xdr:nvGrpSpPr>
        <xdr:cNvPr id="5" name="Group 4" descr="Summarises the content of the " title="Section 1">
          <a:extLst>
            <a:ext uri="{FF2B5EF4-FFF2-40B4-BE49-F238E27FC236}">
              <a16:creationId xmlns:a16="http://schemas.microsoft.com/office/drawing/2014/main" id="{00000000-0008-0000-0000-000005000000}"/>
            </a:ext>
          </a:extLst>
        </xdr:cNvPr>
        <xdr:cNvGrpSpPr/>
      </xdr:nvGrpSpPr>
      <xdr:grpSpPr>
        <a:xfrm>
          <a:off x="61913" y="3748086"/>
          <a:ext cx="7596187" cy="2871790"/>
          <a:chOff x="61913" y="3162300"/>
          <a:chExt cx="8067675" cy="1195388"/>
        </a:xfrm>
        <a:solidFill>
          <a:schemeClr val="accent6">
            <a:lumMod val="75000"/>
          </a:schemeClr>
        </a:solidFill>
      </xdr:grpSpPr>
      <xdr:sp macro="" textlink="">
        <xdr:nvSpPr>
          <xdr:cNvPr id="3" name="Rectangle 2">
            <a:extLst>
              <a:ext uri="{FF2B5EF4-FFF2-40B4-BE49-F238E27FC236}">
                <a16:creationId xmlns:a16="http://schemas.microsoft.com/office/drawing/2014/main" id="{00000000-0008-0000-0000-000003000000}"/>
              </a:ext>
            </a:extLst>
          </xdr:cNvPr>
          <xdr:cNvSpPr/>
        </xdr:nvSpPr>
        <xdr:spPr>
          <a:xfrm>
            <a:off x="61913" y="3162300"/>
            <a:ext cx="1690687"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en-GB" sz="1000" b="1" u="sng">
                <a:solidFill>
                  <a:schemeClr val="bg1"/>
                </a:solidFill>
                <a:latin typeface="Verdana" panose="020B0604030504040204" pitchFamily="34" charset="0"/>
                <a:ea typeface="Verdana" panose="020B0604030504040204" pitchFamily="34" charset="0"/>
                <a:cs typeface="Verdana" panose="020B0604030504040204" pitchFamily="34" charset="0"/>
              </a:rPr>
              <a:t>Section 1</a:t>
            </a:r>
          </a:p>
          <a:p>
            <a:pPr algn="l"/>
            <a:r>
              <a:rPr lang="en-GB" sz="1000" b="1">
                <a:solidFill>
                  <a:schemeClr val="bg1"/>
                </a:solidFill>
                <a:latin typeface="Verdana" panose="020B0604030504040204" pitchFamily="34" charset="0"/>
                <a:ea typeface="Verdana" panose="020B0604030504040204" pitchFamily="34" charset="0"/>
                <a:cs typeface="Verdana" panose="020B0604030504040204" pitchFamily="34" charset="0"/>
              </a:rPr>
              <a:t>Funding Adjustment</a:t>
            </a:r>
            <a:r>
              <a:rPr lang="en-GB" sz="1000" b="1" baseline="0">
                <a:solidFill>
                  <a:schemeClr val="bg1"/>
                </a:solidFill>
                <a:latin typeface="Verdana" panose="020B0604030504040204" pitchFamily="34" charset="0"/>
                <a:ea typeface="Verdana" panose="020B0604030504040204" pitchFamily="34" charset="0"/>
                <a:cs typeface="Verdana" panose="020B0604030504040204" pitchFamily="34" charset="0"/>
              </a:rPr>
              <a:t> and Penalty Calculation Model</a:t>
            </a:r>
            <a:endParaRPr lang="en-GB" sz="1000" b="1">
              <a:solidFill>
                <a:schemeClr val="bg1"/>
              </a:solidFill>
              <a:latin typeface="Verdana" panose="020B0604030504040204" pitchFamily="34" charset="0"/>
              <a:ea typeface="Verdana" panose="020B0604030504040204" pitchFamily="34" charset="0"/>
              <a:cs typeface="Verdana" panose="020B0604030504040204" pitchFamily="34" charset="0"/>
            </a:endParaRPr>
          </a:p>
          <a:p>
            <a:pPr algn="l"/>
            <a:endParaRPr lang="en-GB" sz="1000" b="1">
              <a:solidFill>
                <a:schemeClr val="bg1"/>
              </a:solidFill>
              <a:latin typeface="Verdana" panose="020B0604030504040204" pitchFamily="34" charset="0"/>
              <a:ea typeface="Verdana" panose="020B0604030504040204" pitchFamily="34" charset="0"/>
              <a:cs typeface="Verdana" panose="020B0604030504040204" pitchFamily="34" charset="0"/>
            </a:endParaRPr>
          </a:p>
        </xdr:txBody>
      </xdr:sp>
      <xdr:sp macro="" textlink="">
        <xdr:nvSpPr>
          <xdr:cNvPr id="4" name="Rectangle 3" descr="Summarises the content of the Funding Adjustment and Penalty Calculation Model" title="Section 1">
            <a:extLst>
              <a:ext uri="{FF2B5EF4-FFF2-40B4-BE49-F238E27FC236}">
                <a16:creationId xmlns:a16="http://schemas.microsoft.com/office/drawing/2014/main" id="{00000000-0008-0000-0000-000004000000}"/>
              </a:ext>
            </a:extLst>
          </xdr:cNvPr>
          <xdr:cNvSpPr/>
        </xdr:nvSpPr>
        <xdr:spPr>
          <a:xfrm>
            <a:off x="1819275" y="3162300"/>
            <a:ext cx="6310313"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marL="0" indent="0" algn="l"/>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a:solidFill>
                  <a:schemeClr val="bg1"/>
                </a:solidFill>
                <a:latin typeface="Verdana" panose="020B0604030504040204" pitchFamily="34" charset="0"/>
                <a:ea typeface="Verdana" panose="020B0604030504040204" pitchFamily="34" charset="0"/>
                <a:cs typeface="Verdana" panose="020B0604030504040204" pitchFamily="34" charset="0"/>
              </a:rPr>
              <a:t>This</a:t>
            </a:r>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section implements the Funding Adjustment and Penalty Mechanism as set out in 'Section 4: NARM Funding Adjustment' and Penalty Mechanism of our 'Draft Determinations - NARM Annex'</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1.1_Calculation_Funding_Penalty implements the steps of the Funding Adjustment and Penalty Mechanism and outputs results.  There are no data input cells on this sheet.  </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Data required to implement the NARM Funding Adjustment and Penalty Mechanism is entered in the five input sheets: </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 1.2_Input_Parameters</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 1.3_Input_Initial_Allowances</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 1.4_Input_Outturn_Delivery</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 1.5_Input_Non_Intervention_Adj</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 1.6_Input_Efficient_Delivery</a:t>
            </a:r>
          </a:p>
          <a:p>
            <a:pPr marL="0" indent="0" algn="l"/>
            <a:r>
              <a:rPr lang="en-GB" sz="1000">
                <a:solidFill>
                  <a:schemeClr val="bg1"/>
                </a:solidFill>
                <a:latin typeface="Verdana" panose="020B0604030504040204" pitchFamily="34" charset="0"/>
                <a:ea typeface="Verdana" panose="020B0604030504040204" pitchFamily="34" charset="0"/>
                <a:cs typeface="Verdana" panose="020B0604030504040204" pitchFamily="34" charset="0"/>
              </a:rPr>
              <a:t>These have been populated</a:t>
            </a:r>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with dummy randomly generated data, which may be overwritten.  </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xdr:txBody>
      </xdr:sp>
    </xdr:grpSp>
    <xdr:clientData/>
  </xdr:twoCellAnchor>
  <xdr:twoCellAnchor editAs="oneCell">
    <xdr:from>
      <xdr:col>0</xdr:col>
      <xdr:colOff>61913</xdr:colOff>
      <xdr:row>35</xdr:row>
      <xdr:rowOff>100041</xdr:rowOff>
    </xdr:from>
    <xdr:to>
      <xdr:col>6</xdr:col>
      <xdr:colOff>66675</xdr:colOff>
      <xdr:row>43</xdr:row>
      <xdr:rowOff>123825</xdr:rowOff>
    </xdr:to>
    <xdr:grpSp>
      <xdr:nvGrpSpPr>
        <xdr:cNvPr id="6" name="Group 5" descr="Summarises the Funding Adjustment and Penalty Mechanism - Example Delivery Scenarios " title="Section 2">
          <a:extLst>
            <a:ext uri="{FF2B5EF4-FFF2-40B4-BE49-F238E27FC236}">
              <a16:creationId xmlns:a16="http://schemas.microsoft.com/office/drawing/2014/main" id="{00000000-0008-0000-0000-000006000000}"/>
            </a:ext>
          </a:extLst>
        </xdr:cNvPr>
        <xdr:cNvGrpSpPr/>
      </xdr:nvGrpSpPr>
      <xdr:grpSpPr>
        <a:xfrm>
          <a:off x="61913" y="6767541"/>
          <a:ext cx="7596187" cy="1319184"/>
          <a:chOff x="61913" y="3162300"/>
          <a:chExt cx="8067675" cy="1195388"/>
        </a:xfrm>
        <a:solidFill>
          <a:schemeClr val="accent1">
            <a:lumMod val="75000"/>
          </a:schemeClr>
        </a:solidFill>
      </xdr:grpSpPr>
      <xdr:sp macro="" textlink="">
        <xdr:nvSpPr>
          <xdr:cNvPr id="7" name="Rectangle 6">
            <a:extLst>
              <a:ext uri="{FF2B5EF4-FFF2-40B4-BE49-F238E27FC236}">
                <a16:creationId xmlns:a16="http://schemas.microsoft.com/office/drawing/2014/main" id="{00000000-0008-0000-0000-000007000000}"/>
              </a:ext>
            </a:extLst>
          </xdr:cNvPr>
          <xdr:cNvSpPr/>
        </xdr:nvSpPr>
        <xdr:spPr>
          <a:xfrm>
            <a:off x="61913" y="3162300"/>
            <a:ext cx="1690687"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en-GB" sz="1000" b="1" u="sng" baseline="0">
                <a:solidFill>
                  <a:schemeClr val="bg1"/>
                </a:solidFill>
                <a:latin typeface="Verdana" panose="020B0604030504040204" pitchFamily="34" charset="0"/>
                <a:ea typeface="Verdana" panose="020B0604030504040204" pitchFamily="34" charset="0"/>
                <a:cs typeface="Verdana" panose="020B0604030504040204" pitchFamily="34" charset="0"/>
              </a:rPr>
              <a:t>Section 2</a:t>
            </a:r>
          </a:p>
          <a:p>
            <a:pPr algn="l"/>
            <a:r>
              <a:rPr lang="en-GB" sz="1000" b="1" baseline="0">
                <a:solidFill>
                  <a:schemeClr val="bg1"/>
                </a:solidFill>
                <a:latin typeface="Verdana" panose="020B0604030504040204" pitchFamily="34" charset="0"/>
                <a:ea typeface="Verdana" panose="020B0604030504040204" pitchFamily="34" charset="0"/>
                <a:cs typeface="Verdana" panose="020B0604030504040204" pitchFamily="34" charset="0"/>
              </a:rPr>
              <a:t>Funding Adjustment and Penalty Mechanism - Example Delivery Scenarios  </a:t>
            </a:r>
            <a:endParaRPr lang="en-GB" sz="1000" b="1">
              <a:solidFill>
                <a:schemeClr val="bg1"/>
              </a:solidFill>
              <a:latin typeface="Verdana" panose="020B0604030504040204" pitchFamily="34" charset="0"/>
              <a:ea typeface="Verdana" panose="020B0604030504040204" pitchFamily="34" charset="0"/>
              <a:cs typeface="Verdana" panose="020B0604030504040204" pitchFamily="34" charset="0"/>
            </a:endParaRPr>
          </a:p>
        </xdr:txBody>
      </xdr:sp>
      <xdr:sp macro="" textlink="">
        <xdr:nvSpPr>
          <xdr:cNvPr id="8" name="Rectangle 7" descr="Summarises the Funding Adjustment and Penalty Mechanism - Example Delivery Scenarios " title="Section 2">
            <a:extLst>
              <a:ext uri="{FF2B5EF4-FFF2-40B4-BE49-F238E27FC236}">
                <a16:creationId xmlns:a16="http://schemas.microsoft.com/office/drawing/2014/main" id="{00000000-0008-0000-0000-000008000000}"/>
              </a:ext>
            </a:extLst>
          </xdr:cNvPr>
          <xdr:cNvSpPr/>
        </xdr:nvSpPr>
        <xdr:spPr>
          <a:xfrm>
            <a:off x="1819275" y="3162300"/>
            <a:ext cx="6310313"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marL="0" indent="0" algn="l"/>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a:solidFill>
                  <a:schemeClr val="bg1"/>
                </a:solidFill>
                <a:latin typeface="Verdana" panose="020B0604030504040204" pitchFamily="34" charset="0"/>
                <a:ea typeface="Verdana" panose="020B0604030504040204" pitchFamily="34" charset="0"/>
                <a:cs typeface="Verdana" panose="020B0604030504040204" pitchFamily="34" charset="0"/>
              </a:rPr>
              <a:t>This worksheet performs funding adjustment and penalty calculations for</a:t>
            </a:r>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the 12 illustrative scenarios described in </a:t>
            </a:r>
            <a:r>
              <a:rPr lang="en-GB" sz="1000">
                <a:solidFill>
                  <a:schemeClr val="bg1"/>
                </a:solidFill>
                <a:latin typeface="Verdana" panose="020B0604030504040204" pitchFamily="34" charset="0"/>
                <a:ea typeface="Verdana" panose="020B0604030504040204" pitchFamily="34" charset="0"/>
                <a:cs typeface="Verdana" panose="020B0604030504040204" pitchFamily="34" charset="0"/>
              </a:rPr>
              <a:t>'Appendix 7: Funding Adjustment and Penalty Mechanism - Illustrative Examples' of 'Draft</a:t>
            </a:r>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Determinations - NARM Annex'.  </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Various scenarios can be chosen by selecting from the drop-down lists in cells B16, B17, B18, and B19.  </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xdr:txBody>
      </xdr:sp>
    </xdr:grpSp>
    <xdr:clientData/>
  </xdr:twoCellAnchor>
  <xdr:twoCellAnchor editAs="oneCell">
    <xdr:from>
      <xdr:col>0</xdr:col>
      <xdr:colOff>61913</xdr:colOff>
      <xdr:row>45</xdr:row>
      <xdr:rowOff>19059</xdr:rowOff>
    </xdr:from>
    <xdr:to>
      <xdr:col>6</xdr:col>
      <xdr:colOff>66675</xdr:colOff>
      <xdr:row>52</xdr:row>
      <xdr:rowOff>47625</xdr:rowOff>
    </xdr:to>
    <xdr:grpSp>
      <xdr:nvGrpSpPr>
        <xdr:cNvPr id="9" name="Group 8" descr="Summarises the Non-intervention adjustment example&#10;" title="Section 3">
          <a:extLst>
            <a:ext uri="{FF2B5EF4-FFF2-40B4-BE49-F238E27FC236}">
              <a16:creationId xmlns:a16="http://schemas.microsoft.com/office/drawing/2014/main" id="{00000000-0008-0000-0000-000009000000}"/>
            </a:ext>
          </a:extLst>
        </xdr:cNvPr>
        <xdr:cNvGrpSpPr/>
      </xdr:nvGrpSpPr>
      <xdr:grpSpPr>
        <a:xfrm>
          <a:off x="61913" y="8305809"/>
          <a:ext cx="7596187" cy="1162041"/>
          <a:chOff x="61913" y="3162300"/>
          <a:chExt cx="8067675" cy="1195388"/>
        </a:xfrm>
        <a:solidFill>
          <a:srgbClr val="7030A0"/>
        </a:solidFill>
      </xdr:grpSpPr>
      <xdr:sp macro="" textlink="">
        <xdr:nvSpPr>
          <xdr:cNvPr id="10" name="Rectangle 9">
            <a:extLst>
              <a:ext uri="{FF2B5EF4-FFF2-40B4-BE49-F238E27FC236}">
                <a16:creationId xmlns:a16="http://schemas.microsoft.com/office/drawing/2014/main" id="{00000000-0008-0000-0000-00000A000000}"/>
              </a:ext>
            </a:extLst>
          </xdr:cNvPr>
          <xdr:cNvSpPr/>
        </xdr:nvSpPr>
        <xdr:spPr>
          <a:xfrm>
            <a:off x="61913" y="3162300"/>
            <a:ext cx="1690687"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en-GB" sz="1000" b="1" u="sng">
                <a:solidFill>
                  <a:schemeClr val="bg1"/>
                </a:solidFill>
                <a:latin typeface="Verdana" panose="020B0604030504040204" pitchFamily="34" charset="0"/>
                <a:ea typeface="Verdana" panose="020B0604030504040204" pitchFamily="34" charset="0"/>
                <a:cs typeface="Verdana" panose="020B0604030504040204" pitchFamily="34" charset="0"/>
              </a:rPr>
              <a:t>Section 3</a:t>
            </a:r>
          </a:p>
          <a:p>
            <a:pPr algn="l"/>
            <a:r>
              <a:rPr lang="en-GB" sz="1000" b="1">
                <a:solidFill>
                  <a:schemeClr val="bg1"/>
                </a:solidFill>
                <a:latin typeface="Verdana" panose="020B0604030504040204" pitchFamily="34" charset="0"/>
                <a:ea typeface="Verdana" panose="020B0604030504040204" pitchFamily="34" charset="0"/>
                <a:cs typeface="Verdana" panose="020B0604030504040204" pitchFamily="34" charset="0"/>
              </a:rPr>
              <a:t>Non-intervention adjustment example</a:t>
            </a:r>
          </a:p>
        </xdr:txBody>
      </xdr:sp>
      <xdr:sp macro="" textlink="">
        <xdr:nvSpPr>
          <xdr:cNvPr id="11" name="Rectangle 10">
            <a:extLst>
              <a:ext uri="{FF2B5EF4-FFF2-40B4-BE49-F238E27FC236}">
                <a16:creationId xmlns:a16="http://schemas.microsoft.com/office/drawing/2014/main" id="{00000000-0008-0000-0000-00000B000000}"/>
              </a:ext>
            </a:extLst>
          </xdr:cNvPr>
          <xdr:cNvSpPr/>
        </xdr:nvSpPr>
        <xdr:spPr>
          <a:xfrm>
            <a:off x="1819275" y="3162300"/>
            <a:ext cx="6310313" cy="1195388"/>
          </a:xfrm>
          <a:prstGeom prst="rect">
            <a:avLst/>
          </a:prstGeom>
          <a:grp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marL="0" indent="0" algn="l"/>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a:solidFill>
                  <a:schemeClr val="bg1"/>
                </a:solidFill>
                <a:latin typeface="Verdana" panose="020B0604030504040204" pitchFamily="34" charset="0"/>
                <a:ea typeface="Verdana" panose="020B0604030504040204" pitchFamily="34" charset="0"/>
                <a:cs typeface="Verdana" panose="020B0604030504040204" pitchFamily="34" charset="0"/>
              </a:rPr>
              <a:t>This worksheet gives and example to</a:t>
            </a:r>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illustrate calculation of non-intevention adjustments.</a:t>
            </a:r>
          </a:p>
          <a:p>
            <a:pPr marL="0" indent="0" algn="l"/>
            <a:endPar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endParaRP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Non-intervention adjustments will be applied to adjust out-turn risk in cases of methodology change and data cleanse.  </a:t>
            </a:r>
          </a:p>
          <a:p>
            <a:pPr marL="0" indent="0" algn="l"/>
            <a:r>
              <a:rPr lang="en-GB" sz="1000" baseline="0">
                <a:solidFill>
                  <a:schemeClr val="bg1"/>
                </a:solidFill>
                <a:latin typeface="Verdana" panose="020B0604030504040204" pitchFamily="34" charset="0"/>
                <a:ea typeface="Verdana" panose="020B0604030504040204" pitchFamily="34" charset="0"/>
                <a:cs typeface="Verdana" panose="020B0604030504040204" pitchFamily="34" charset="0"/>
              </a:rPr>
              <a:t> </a:t>
            </a:r>
            <a:endParaRPr lang="en-GB" sz="1000">
              <a:solidFill>
                <a:schemeClr val="bg1"/>
              </a:solidFill>
              <a:latin typeface="Verdana" panose="020B0604030504040204" pitchFamily="34" charset="0"/>
              <a:ea typeface="Verdana" panose="020B0604030504040204" pitchFamily="34" charset="0"/>
              <a:cs typeface="Verdana" panose="020B0604030504040204" pitchFamily="34" charset="0"/>
            </a:endParaRPr>
          </a:p>
        </xdr:txBody>
      </xdr:sp>
    </xdr:grpSp>
    <xdr:clientData/>
  </xdr:twoCellAnchor>
  <xdr:twoCellAnchor editAs="oneCell">
    <xdr:from>
      <xdr:col>0</xdr:col>
      <xdr:colOff>0</xdr:colOff>
      <xdr:row>0</xdr:row>
      <xdr:rowOff>0</xdr:rowOff>
    </xdr:from>
    <xdr:to>
      <xdr:col>1</xdr:col>
      <xdr:colOff>170024</xdr:colOff>
      <xdr:row>0</xdr:row>
      <xdr:rowOff>716559</xdr:rowOff>
    </xdr:to>
    <xdr:pic>
      <xdr:nvPicPr>
        <xdr:cNvPr id="12" name="Picture 11" descr="image of the Ofgem logo" title="Ofgem logo">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94187" cy="716559"/>
        </a:xfrm>
        <a:prstGeom prst="rect">
          <a:avLst/>
        </a:prstGeom>
      </xdr:spPr>
    </xdr:pic>
    <xdr:clientData/>
  </xdr:twoCellAnchor>
  <xdr:twoCellAnchor editAs="oneCell">
    <xdr:from>
      <xdr:col>1</xdr:col>
      <xdr:colOff>972729</xdr:colOff>
      <xdr:row>0</xdr:row>
      <xdr:rowOff>166032</xdr:rowOff>
    </xdr:from>
    <xdr:to>
      <xdr:col>1</xdr:col>
      <xdr:colOff>1877604</xdr:colOff>
      <xdr:row>0</xdr:row>
      <xdr:rowOff>527982</xdr:rowOff>
    </xdr:to>
    <xdr:pic>
      <xdr:nvPicPr>
        <xdr:cNvPr id="13" name="Picture 12" title="white box">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96892" y="166032"/>
          <a:ext cx="904875" cy="361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66292</xdr:colOff>
      <xdr:row>64</xdr:row>
      <xdr:rowOff>68589</xdr:rowOff>
    </xdr:from>
    <xdr:ext cx="4029629" cy="17222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6292" y="10869939"/>
              <a:ext cx="4029629"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sSub>
                    <m:sSubPr>
                      <m:ctrlPr>
                        <a:rPr lang="en-GB" sz="1100" b="0" i="1">
                          <a:latin typeface="Cambria Math" panose="02040503050406030204" pitchFamily="18" charset="0"/>
                        </a:rPr>
                      </m:ctrlPr>
                    </m:sSubPr>
                    <m:e>
                      <m:r>
                        <a:rPr lang="en-GB" sz="1100" b="0" i="1">
                          <a:latin typeface="Cambria Math" panose="02040503050406030204" pitchFamily="18" charset="0"/>
                        </a:rPr>
                        <m:t>𝑈𝐶𝑅</m:t>
                      </m:r>
                    </m:e>
                    <m:sub>
                      <m:r>
                        <a:rPr lang="en-GB" sz="1100" b="0" i="1">
                          <a:latin typeface="Cambria Math" panose="02040503050406030204" pitchFamily="18" charset="0"/>
                        </a:rPr>
                        <m:t>𝐴𝐹</m:t>
                      </m:r>
                      <m:r>
                        <a:rPr lang="en-GB" sz="1100" b="0" i="1">
                          <a:latin typeface="Cambria Math" panose="02040503050406030204" pitchFamily="18" charset="0"/>
                        </a:rPr>
                        <m:t> </m:t>
                      </m:r>
                    </m:sub>
                  </m:sSub>
                  <m:d>
                    <m:dPr>
                      <m:ctrlPr>
                        <a:rPr lang="en-GB" sz="1100" b="0" i="1">
                          <a:latin typeface="Cambria Math" panose="02040503050406030204" pitchFamily="18" charset="0"/>
                        </a:rPr>
                      </m:ctrlPr>
                    </m:dPr>
                    <m:e>
                      <m:r>
                        <a:rPr lang="en-GB" sz="1100" b="0" i="1">
                          <a:latin typeface="Cambria Math" panose="02040503050406030204" pitchFamily="18" charset="0"/>
                        </a:rPr>
                        <m:t>𝑈𝑛𝑐𝑎𝑝𝑝𝑒𝑑</m:t>
                      </m:r>
                    </m:e>
                  </m:d>
                  <m:r>
                    <a:rPr lang="en-GB" sz="1100" i="1">
                      <a:latin typeface="Cambria Math" panose="02040503050406030204" pitchFamily="18" charset="0"/>
                    </a:rPr>
                    <m:t>=</m:t>
                  </m:r>
                </m:oMath>
              </a14:m>
              <a:r>
                <a:rPr lang="en-GB" sz="1100"/>
                <a:t> </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 −</m:t>
                  </m:r>
                  <m:d>
                    <m:dPr>
                      <m:ctrlPr>
                        <a:rPr lang="en-GB" sz="1100" b="0" i="1">
                          <a:solidFill>
                            <a:schemeClr val="tx1"/>
                          </a:solidFill>
                          <a:effectLst/>
                          <a:latin typeface="Cambria Math" panose="02040503050406030204" pitchFamily="18" charset="0"/>
                          <a:ea typeface="+mn-ea"/>
                          <a:cs typeface="+mn-cs"/>
                        </a:rPr>
                      </m:ctrlPr>
                    </m:dPr>
                    <m:e>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m:t>
                      </m:r>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𝑂𝐴𝐷</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e>
                  </m:d>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𝐷𝐴𝐹</m:t>
                  </m:r>
                </m:oMath>
              </a14:m>
              <a:endParaRPr lang="en-GB" sz="1100"/>
            </a:p>
          </xdr:txBody>
        </xdr:sp>
      </mc:Choice>
      <mc:Fallback xmlns="">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6292" y="10869939"/>
              <a:ext cx="4029629"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b="0" i="0">
                  <a:latin typeface="Cambria Math" panose="02040503050406030204" pitchFamily="18" charset="0"/>
                </a:rPr>
                <a:t>〖𝑈𝐶𝑅〗_(𝐴𝐹 ) (𝑈𝑛𝑐𝑎𝑝𝑝𝑒𝑑)</a:t>
              </a:r>
              <a:r>
                <a:rPr lang="en-GB" sz="1100" i="0">
                  <a:latin typeface="Cambria Math" panose="02040503050406030204" pitchFamily="18" charset="0"/>
                </a:rPr>
                <a:t>=</a:t>
              </a:r>
              <a:r>
                <a:rPr lang="en-GB" sz="1100"/>
                <a:t> </a:t>
              </a:r>
              <a:r>
                <a:rPr lang="en-GB" sz="1100" b="0" i="0">
                  <a:solidFill>
                    <a:schemeClr val="tx1"/>
                  </a:solidFill>
                  <a:effectLst/>
                  <a:latin typeface="+mn-lt"/>
                  <a:ea typeface="+mn-ea"/>
                  <a:cs typeface="+mn-cs"/>
                </a:rPr>
                <a:t>〖𝑈𝐶𝑅〗_(𝐵𝐿.𝐸𝐸)</a:t>
              </a:r>
              <a:r>
                <a:rPr lang="en-GB" sz="1100" b="0" i="0">
                  <a:solidFill>
                    <a:schemeClr val="tx1"/>
                  </a:solidFill>
                  <a:effectLst/>
                  <a:latin typeface="Cambria Math" panose="02040503050406030204" pitchFamily="18" charset="0"/>
                  <a:ea typeface="+mn-ea"/>
                  <a:cs typeface="+mn-cs"/>
                </a:rPr>
                <a:t>  −(</a:t>
              </a:r>
              <a:r>
                <a:rPr lang="en-GB" sz="1100" b="0" i="0">
                  <a:solidFill>
                    <a:schemeClr val="tx1"/>
                  </a:solidFill>
                  <a:effectLst/>
                  <a:latin typeface="+mn-lt"/>
                  <a:ea typeface="+mn-ea"/>
                  <a:cs typeface="+mn-cs"/>
                </a:rPr>
                <a:t>〖𝑈𝐶𝑅〗_(</a:t>
              </a:r>
              <a:r>
                <a:rPr lang="en-GB" sz="1100" b="0" i="0">
                  <a:solidFill>
                    <a:schemeClr val="tx1"/>
                  </a:solidFill>
                  <a:effectLst/>
                  <a:latin typeface="Cambria Math" panose="02040503050406030204" pitchFamily="18" charset="0"/>
                  <a:ea typeface="+mn-ea"/>
                  <a:cs typeface="+mn-cs"/>
                </a:rPr>
                <a:t>𝐵𝐿</a:t>
              </a:r>
              <a:r>
                <a:rPr lang="en-GB" sz="1100" b="0" i="0">
                  <a:solidFill>
                    <a:schemeClr val="tx1"/>
                  </a:solidFill>
                  <a:effectLst/>
                  <a:latin typeface="+mn-lt"/>
                  <a:ea typeface="+mn-ea"/>
                  <a:cs typeface="+mn-cs"/>
                </a:rPr>
                <a:t>.𝐸𝐸)</a:t>
              </a:r>
              <a:r>
                <a:rPr lang="en-GB" sz="1100" b="0" i="0">
                  <a:solidFill>
                    <a:schemeClr val="tx1"/>
                  </a:solidFill>
                  <a:effectLst/>
                  <a:latin typeface="Cambria Math" panose="02040503050406030204" pitchFamily="18" charset="0"/>
                  <a:ea typeface="+mn-ea"/>
                  <a:cs typeface="+mn-cs"/>
                </a:rPr>
                <a:t>−</a:t>
              </a:r>
              <a:r>
                <a:rPr lang="en-GB" sz="1100" b="0" i="0">
                  <a:solidFill>
                    <a:schemeClr val="tx1"/>
                  </a:solidFill>
                  <a:effectLst/>
                  <a:latin typeface="+mn-lt"/>
                  <a:ea typeface="+mn-ea"/>
                  <a:cs typeface="+mn-cs"/>
                </a:rPr>
                <a:t>〖𝑈𝐶𝑅〗_(𝑂𝐴𝐷.𝐸𝐸)</a:t>
              </a:r>
              <a:r>
                <a:rPr lang="en-GB" sz="1100" b="0" i="0">
                  <a:solidFill>
                    <a:schemeClr val="tx1"/>
                  </a:solidFill>
                  <a:effectLst/>
                  <a:latin typeface="Cambria Math" panose="02040503050406030204" pitchFamily="18" charset="0"/>
                  <a:ea typeface="+mn-ea"/>
                  <a:cs typeface="+mn-cs"/>
                </a:rPr>
                <a:t> )</a:t>
              </a:r>
              <a:r>
                <a:rPr lang="en-GB" sz="1100" b="0" i="0">
                  <a:solidFill>
                    <a:schemeClr val="tx1"/>
                  </a:solidFill>
                  <a:effectLst/>
                  <a:latin typeface="+mn-lt"/>
                  <a:ea typeface="+mn-ea"/>
                  <a:cs typeface="+mn-cs"/>
                </a:rPr>
                <a:t>×</a:t>
              </a:r>
              <a:r>
                <a:rPr lang="en-GB" sz="1100" b="0" i="0">
                  <a:solidFill>
                    <a:schemeClr val="tx1"/>
                  </a:solidFill>
                  <a:effectLst/>
                  <a:latin typeface="Cambria Math" panose="02040503050406030204" pitchFamily="18" charset="0"/>
                  <a:ea typeface="+mn-ea"/>
                  <a:cs typeface="+mn-cs"/>
                </a:rPr>
                <a:t>𝐷𝐴𝐹</a:t>
              </a:r>
              <a:endParaRPr lang="en-GB" sz="1100"/>
            </a:p>
          </xdr:txBody>
        </xdr:sp>
      </mc:Fallback>
    </mc:AlternateContent>
    <xdr:clientData/>
  </xdr:oneCellAnchor>
  <xdr:oneCellAnchor>
    <xdr:from>
      <xdr:col>1</xdr:col>
      <xdr:colOff>695325</xdr:colOff>
      <xdr:row>64</xdr:row>
      <xdr:rowOff>76200</xdr:rowOff>
    </xdr:from>
    <xdr:ext cx="4858894" cy="172227"/>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591175" y="10877550"/>
              <a:ext cx="4858894"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sSub>
                    <m:sSubPr>
                      <m:ctrlPr>
                        <a:rPr lang="en-GB" sz="1100" b="0" i="1">
                          <a:latin typeface="Cambria Math" panose="02040503050406030204" pitchFamily="18" charset="0"/>
                        </a:rPr>
                      </m:ctrlPr>
                    </m:sSubPr>
                    <m:e>
                      <m:r>
                        <a:rPr lang="en-GB" sz="1100" b="0" i="1">
                          <a:latin typeface="Cambria Math" panose="02040503050406030204" pitchFamily="18" charset="0"/>
                        </a:rPr>
                        <m:t>𝑈𝐶𝑅</m:t>
                      </m:r>
                    </m:e>
                    <m:sub>
                      <m:r>
                        <a:rPr lang="en-GB" sz="1100" b="0" i="1">
                          <a:latin typeface="Cambria Math" panose="02040503050406030204" pitchFamily="18" charset="0"/>
                        </a:rPr>
                        <m:t>𝐴𝐹</m:t>
                      </m:r>
                      <m:r>
                        <a:rPr lang="en-GB" sz="1100" b="0" i="1">
                          <a:latin typeface="Cambria Math" panose="02040503050406030204" pitchFamily="18" charset="0"/>
                        </a:rPr>
                        <m:t> </m:t>
                      </m:r>
                    </m:sub>
                  </m:sSub>
                  <m:d>
                    <m:dPr>
                      <m:ctrlPr>
                        <a:rPr lang="en-GB" sz="1100" b="0" i="1">
                          <a:latin typeface="Cambria Math" panose="02040503050406030204" pitchFamily="18" charset="0"/>
                        </a:rPr>
                      </m:ctrlPr>
                    </m:dPr>
                    <m:e>
                      <m:r>
                        <a:rPr lang="en-GB" sz="1100" b="0" i="1">
                          <a:latin typeface="Cambria Math" panose="02040503050406030204" pitchFamily="18" charset="0"/>
                        </a:rPr>
                        <m:t>𝐶𝑎𝑝𝑝𝑒𝑑</m:t>
                      </m:r>
                    </m:e>
                  </m:d>
                  <m:r>
                    <a:rPr lang="en-GB" sz="1100" i="1">
                      <a:latin typeface="Cambria Math" panose="02040503050406030204" pitchFamily="18" charset="0"/>
                    </a:rPr>
                    <m:t>=</m:t>
                  </m:r>
                </m:oMath>
              </a14:m>
              <a:r>
                <a:rPr lang="en-GB" sz="1100"/>
                <a:t> MIN(</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oMath>
              </a14:m>
              <a:r>
                <a:rPr lang="en-GB" sz="1100" baseline="0"/>
                <a:t> , </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 −</m:t>
                  </m:r>
                  <m:d>
                    <m:dPr>
                      <m:ctrlPr>
                        <a:rPr lang="en-GB" sz="1100" b="0" i="1">
                          <a:solidFill>
                            <a:schemeClr val="tx1"/>
                          </a:solidFill>
                          <a:effectLst/>
                          <a:latin typeface="Cambria Math" panose="02040503050406030204" pitchFamily="18" charset="0"/>
                          <a:ea typeface="+mn-ea"/>
                          <a:cs typeface="+mn-cs"/>
                        </a:rPr>
                      </m:ctrlPr>
                    </m:dPr>
                    <m:e>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m:t>
                      </m:r>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𝑂𝐴𝐷</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e>
                  </m:d>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𝐷𝐴𝐹</m:t>
                  </m:r>
                </m:oMath>
              </a14:m>
              <a:r>
                <a:rPr lang="en-GB" sz="1100"/>
                <a:t>)</a:t>
              </a:r>
            </a:p>
          </xdr:txBody>
        </xdr:sp>
      </mc:Choice>
      <mc:Fallback xmlns="">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591175" y="10877550"/>
              <a:ext cx="4858894"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b="0" i="0">
                  <a:latin typeface="Cambria Math" panose="02040503050406030204" pitchFamily="18" charset="0"/>
                </a:rPr>
                <a:t>〖𝑈𝐶𝑅〗_(𝐴𝐹 ) (𝐶𝑎𝑝𝑝𝑒𝑑)</a:t>
              </a:r>
              <a:r>
                <a:rPr lang="en-GB" sz="1100" i="0">
                  <a:latin typeface="Cambria Math" panose="02040503050406030204" pitchFamily="18" charset="0"/>
                </a:rPr>
                <a:t>=</a:t>
              </a:r>
              <a:r>
                <a:rPr lang="en-GB" sz="1100"/>
                <a:t> MIN(</a:t>
              </a:r>
              <a:r>
                <a:rPr lang="en-GB" sz="1100" b="0" i="0">
                  <a:solidFill>
                    <a:schemeClr val="tx1"/>
                  </a:solidFill>
                  <a:effectLst/>
                  <a:latin typeface="Cambria Math" panose="02040503050406030204" pitchFamily="18" charset="0"/>
                  <a:ea typeface="+mn-ea"/>
                  <a:cs typeface="+mn-cs"/>
                </a:rPr>
                <a:t>〖𝑈𝐶𝑅〗_(𝐵𝐿.𝐸𝐸)</a:t>
              </a:r>
              <a:r>
                <a:rPr lang="en-GB" sz="1100" baseline="0"/>
                <a:t> , </a:t>
              </a:r>
              <a:r>
                <a:rPr lang="en-GB" sz="1100" b="0" i="0">
                  <a:solidFill>
                    <a:schemeClr val="tx1"/>
                  </a:solidFill>
                  <a:effectLst/>
                  <a:latin typeface="+mn-lt"/>
                  <a:ea typeface="+mn-ea"/>
                  <a:cs typeface="+mn-cs"/>
                </a:rPr>
                <a:t>〖𝑈𝐶𝑅〗_(𝐵𝐿.𝐸𝐸)  −(〖𝑈𝐶𝑅〗_(𝐵𝐿.𝐸𝐸)−〖𝑈𝐶𝑅〗_(𝑂𝐴𝐷.𝐸𝐸) )×𝐷𝐴𝐹</a:t>
              </a:r>
              <a:r>
                <a:rPr lang="en-GB" sz="1100"/>
                <a:t>)</a:t>
              </a:r>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xdr:from>
      <xdr:col>7</xdr:col>
      <xdr:colOff>104775</xdr:colOff>
      <xdr:row>0</xdr:row>
      <xdr:rowOff>123825</xdr:rowOff>
    </xdr:from>
    <xdr:to>
      <xdr:col>11</xdr:col>
      <xdr:colOff>0</xdr:colOff>
      <xdr:row>6</xdr:row>
      <xdr:rowOff>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0991850" y="123825"/>
          <a:ext cx="3895725"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Verdana" panose="020B0604030504040204" pitchFamily="34" charset="0"/>
              <a:ea typeface="Verdana" panose="020B0604030504040204" pitchFamily="34" charset="0"/>
              <a:cs typeface="Verdana" panose="020B0604030504040204" pitchFamily="34" charset="0"/>
            </a:rPr>
            <a:t>Non-intervention</a:t>
          </a:r>
          <a:r>
            <a:rPr lang="en-GB" sz="1100" baseline="0">
              <a:latin typeface="Verdana" panose="020B0604030504040204" pitchFamily="34" charset="0"/>
              <a:ea typeface="Verdana" panose="020B0604030504040204" pitchFamily="34" charset="0"/>
              <a:cs typeface="Verdana" panose="020B0604030504040204" pitchFamily="34" charset="0"/>
            </a:rPr>
            <a:t> adjustments are made where a data cleanse or change in methodology have taken place. The adjustment should be equal to the difference between the benefit of the intervention with the old methodology and the benefit of the intervention with the new methodology.</a:t>
          </a:r>
          <a:endParaRPr lang="en-GB" sz="1100">
            <a:latin typeface="Verdana" panose="020B0604030504040204" pitchFamily="34" charset="0"/>
            <a:ea typeface="Verdana" panose="020B0604030504040204" pitchFamily="34" charset="0"/>
            <a:cs typeface="Verdana" panose="020B060403050404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100013</xdr:colOff>
      <xdr:row>10</xdr:row>
      <xdr:rowOff>76200</xdr:rowOff>
    </xdr:from>
    <xdr:to>
      <xdr:col>7</xdr:col>
      <xdr:colOff>1195388</xdr:colOff>
      <xdr:row>16</xdr:row>
      <xdr:rowOff>109537</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8639176" y="2295525"/>
          <a:ext cx="4767262"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Verdana" panose="020B0604030504040204" pitchFamily="34" charset="0"/>
              <a:ea typeface="Verdana" panose="020B0604030504040204" pitchFamily="34" charset="0"/>
              <a:cs typeface="Verdana" panose="020B0604030504040204" pitchFamily="34" charset="0"/>
            </a:rPr>
            <a:t>Efficient delivery exclusions are made where companies can demonstrate that they have made genuine efficiency savings, that should be excluded from the unit cost of risk adjustment.</a:t>
          </a:r>
          <a:r>
            <a:rPr lang="en-GB" sz="1100" baseline="0">
              <a:latin typeface="Verdana" panose="020B0604030504040204" pitchFamily="34" charset="0"/>
              <a:ea typeface="Verdana" panose="020B0604030504040204" pitchFamily="34" charset="0"/>
              <a:cs typeface="Verdana" panose="020B0604030504040204" pitchFamily="34" charset="0"/>
            </a:rPr>
            <a:t> The savings are Ofgem's view of the difference between the allowed expenditure and the outturn expenditure of the efficient intervention. </a:t>
          </a:r>
          <a:endParaRPr lang="en-GB" sz="1100">
            <a:latin typeface="Verdana" panose="020B0604030504040204" pitchFamily="34" charset="0"/>
            <a:ea typeface="Verdana" panose="020B0604030504040204" pitchFamily="34" charset="0"/>
            <a:cs typeface="Verdana" panose="020B060403050404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10</xdr:row>
          <xdr:rowOff>28575</xdr:rowOff>
        </xdr:from>
        <xdr:to>
          <xdr:col>8</xdr:col>
          <xdr:colOff>38100</xdr:colOff>
          <xdr:row>18</xdr:row>
          <xdr:rowOff>28575</xdr:rowOff>
        </xdr:to>
        <xdr:sp macro="" textlink="">
          <xdr:nvSpPr>
            <xdr:cNvPr id="6145" name="TextBox1" descr="Funding is increased, but remains below the company’s outturn expenditure. This is because justified over-delivery is funded, but companies will incur excess expenditure caused by an increase in their UCR at outturn." hidden="1">
              <a:extLst>
                <a:ext uri="{63B3BB69-23CF-44E3-9099-C40C66FF867C}">
                  <a14:compatExt spid="_x0000_s6145"/>
                </a:ext>
                <a:ext uri="{FF2B5EF4-FFF2-40B4-BE49-F238E27FC236}">
                  <a16:creationId xmlns:a16="http://schemas.microsoft.com/office/drawing/2014/main" id="{00000000-0008-0000-0800-000001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0</xdr:col>
      <xdr:colOff>0</xdr:colOff>
      <xdr:row>74</xdr:row>
      <xdr:rowOff>85728</xdr:rowOff>
    </xdr:from>
    <xdr:ext cx="4029629" cy="172227"/>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0" y="12649203"/>
              <a:ext cx="4029629"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sSub>
                    <m:sSubPr>
                      <m:ctrlPr>
                        <a:rPr lang="en-GB" sz="1100" b="0" i="1">
                          <a:latin typeface="Cambria Math" panose="02040503050406030204" pitchFamily="18" charset="0"/>
                        </a:rPr>
                      </m:ctrlPr>
                    </m:sSubPr>
                    <m:e>
                      <m:r>
                        <a:rPr lang="en-GB" sz="1100" b="0" i="1">
                          <a:latin typeface="Cambria Math" panose="02040503050406030204" pitchFamily="18" charset="0"/>
                        </a:rPr>
                        <m:t>𝑈𝐶𝑅</m:t>
                      </m:r>
                    </m:e>
                    <m:sub>
                      <m:r>
                        <a:rPr lang="en-GB" sz="1100" b="0" i="1">
                          <a:latin typeface="Cambria Math" panose="02040503050406030204" pitchFamily="18" charset="0"/>
                        </a:rPr>
                        <m:t>𝐴𝐹</m:t>
                      </m:r>
                      <m:r>
                        <a:rPr lang="en-GB" sz="1100" b="0" i="1">
                          <a:latin typeface="Cambria Math" panose="02040503050406030204" pitchFamily="18" charset="0"/>
                        </a:rPr>
                        <m:t> </m:t>
                      </m:r>
                    </m:sub>
                  </m:sSub>
                  <m:d>
                    <m:dPr>
                      <m:ctrlPr>
                        <a:rPr lang="en-GB" sz="1100" b="0" i="1">
                          <a:latin typeface="Cambria Math" panose="02040503050406030204" pitchFamily="18" charset="0"/>
                        </a:rPr>
                      </m:ctrlPr>
                    </m:dPr>
                    <m:e>
                      <m:r>
                        <a:rPr lang="en-GB" sz="1100" b="0" i="1">
                          <a:latin typeface="Cambria Math" panose="02040503050406030204" pitchFamily="18" charset="0"/>
                        </a:rPr>
                        <m:t>𝑈𝑛𝑐𝑎𝑝𝑝𝑒𝑑</m:t>
                      </m:r>
                    </m:e>
                  </m:d>
                  <m:r>
                    <a:rPr lang="en-GB" sz="1100" i="1">
                      <a:latin typeface="Cambria Math" panose="02040503050406030204" pitchFamily="18" charset="0"/>
                    </a:rPr>
                    <m:t>=</m:t>
                  </m:r>
                </m:oMath>
              </a14:m>
              <a:r>
                <a:rPr lang="en-GB" sz="1100"/>
                <a:t> </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 −</m:t>
                  </m:r>
                  <m:d>
                    <m:dPr>
                      <m:ctrlPr>
                        <a:rPr lang="en-GB" sz="1100" b="0" i="1">
                          <a:solidFill>
                            <a:schemeClr val="tx1"/>
                          </a:solidFill>
                          <a:effectLst/>
                          <a:latin typeface="Cambria Math" panose="02040503050406030204" pitchFamily="18" charset="0"/>
                          <a:ea typeface="+mn-ea"/>
                          <a:cs typeface="+mn-cs"/>
                        </a:rPr>
                      </m:ctrlPr>
                    </m:dPr>
                    <m:e>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m:t>
                      </m:r>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𝑂𝐴𝐷</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e>
                  </m:d>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𝐷𝐴𝐹</m:t>
                  </m:r>
                </m:oMath>
              </a14:m>
              <a:endParaRPr lang="en-GB" sz="1100"/>
            </a:p>
          </xdr:txBody>
        </xdr:sp>
      </mc:Choice>
      <mc:Fallback xmlns="">
        <xdr:sp macro="" textlink="">
          <xdr:nvSpPr>
            <xdr:cNvPr id="8" name="TextBox 7">
              <a:extLst>
                <a:ext uri="{FF2B5EF4-FFF2-40B4-BE49-F238E27FC236}">
                  <a16:creationId xmlns:a16="http://schemas.microsoft.com/office/drawing/2014/main" id="{00000000-0008-0000-0200-000002000000}"/>
                </a:ext>
              </a:extLst>
            </xdr:cNvPr>
            <xdr:cNvSpPr txBox="1"/>
          </xdr:nvSpPr>
          <xdr:spPr>
            <a:xfrm>
              <a:off x="0" y="12649203"/>
              <a:ext cx="4029629"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b="0" i="0">
                  <a:latin typeface="Cambria Math" panose="02040503050406030204" pitchFamily="18" charset="0"/>
                </a:rPr>
                <a:t>〖𝑈𝐶𝑅〗_(𝐴𝐹 ) (𝑈𝑛𝑐𝑎𝑝𝑝𝑒𝑑)</a:t>
              </a:r>
              <a:r>
                <a:rPr lang="en-GB" sz="1100" i="0">
                  <a:latin typeface="Cambria Math" panose="02040503050406030204" pitchFamily="18" charset="0"/>
                </a:rPr>
                <a:t>=</a:t>
              </a:r>
              <a:r>
                <a:rPr lang="en-GB" sz="1100"/>
                <a:t> </a:t>
              </a:r>
              <a:r>
                <a:rPr lang="en-GB" sz="1100" b="0" i="0">
                  <a:solidFill>
                    <a:schemeClr val="tx1"/>
                  </a:solidFill>
                  <a:effectLst/>
                  <a:latin typeface="+mn-lt"/>
                  <a:ea typeface="+mn-ea"/>
                  <a:cs typeface="+mn-cs"/>
                </a:rPr>
                <a:t>〖𝑈𝐶𝑅〗_(𝐵𝐿.𝐸𝐸)</a:t>
              </a:r>
              <a:r>
                <a:rPr lang="en-GB" sz="1100" b="0" i="0">
                  <a:solidFill>
                    <a:schemeClr val="tx1"/>
                  </a:solidFill>
                  <a:effectLst/>
                  <a:latin typeface="Cambria Math" panose="02040503050406030204" pitchFamily="18" charset="0"/>
                  <a:ea typeface="+mn-ea"/>
                  <a:cs typeface="+mn-cs"/>
                </a:rPr>
                <a:t>  −(</a:t>
              </a:r>
              <a:r>
                <a:rPr lang="en-GB" sz="1100" b="0" i="0">
                  <a:solidFill>
                    <a:schemeClr val="tx1"/>
                  </a:solidFill>
                  <a:effectLst/>
                  <a:latin typeface="+mn-lt"/>
                  <a:ea typeface="+mn-ea"/>
                  <a:cs typeface="+mn-cs"/>
                </a:rPr>
                <a:t>〖𝑈𝐶𝑅〗_(</a:t>
              </a:r>
              <a:r>
                <a:rPr lang="en-GB" sz="1100" b="0" i="0">
                  <a:solidFill>
                    <a:schemeClr val="tx1"/>
                  </a:solidFill>
                  <a:effectLst/>
                  <a:latin typeface="Cambria Math" panose="02040503050406030204" pitchFamily="18" charset="0"/>
                  <a:ea typeface="+mn-ea"/>
                  <a:cs typeface="+mn-cs"/>
                </a:rPr>
                <a:t>𝐵𝐿</a:t>
              </a:r>
              <a:r>
                <a:rPr lang="en-GB" sz="1100" b="0" i="0">
                  <a:solidFill>
                    <a:schemeClr val="tx1"/>
                  </a:solidFill>
                  <a:effectLst/>
                  <a:latin typeface="+mn-lt"/>
                  <a:ea typeface="+mn-ea"/>
                  <a:cs typeface="+mn-cs"/>
                </a:rPr>
                <a:t>.𝐸𝐸)</a:t>
              </a:r>
              <a:r>
                <a:rPr lang="en-GB" sz="1100" b="0" i="0">
                  <a:solidFill>
                    <a:schemeClr val="tx1"/>
                  </a:solidFill>
                  <a:effectLst/>
                  <a:latin typeface="Cambria Math" panose="02040503050406030204" pitchFamily="18" charset="0"/>
                  <a:ea typeface="+mn-ea"/>
                  <a:cs typeface="+mn-cs"/>
                </a:rPr>
                <a:t>−</a:t>
              </a:r>
              <a:r>
                <a:rPr lang="en-GB" sz="1100" b="0" i="0">
                  <a:solidFill>
                    <a:schemeClr val="tx1"/>
                  </a:solidFill>
                  <a:effectLst/>
                  <a:latin typeface="+mn-lt"/>
                  <a:ea typeface="+mn-ea"/>
                  <a:cs typeface="+mn-cs"/>
                </a:rPr>
                <a:t>〖𝑈𝐶𝑅〗_(𝑂𝐴𝐷.𝐸𝐸)</a:t>
              </a:r>
              <a:r>
                <a:rPr lang="en-GB" sz="1100" b="0" i="0">
                  <a:solidFill>
                    <a:schemeClr val="tx1"/>
                  </a:solidFill>
                  <a:effectLst/>
                  <a:latin typeface="Cambria Math" panose="02040503050406030204" pitchFamily="18" charset="0"/>
                  <a:ea typeface="+mn-ea"/>
                  <a:cs typeface="+mn-cs"/>
                </a:rPr>
                <a:t> )</a:t>
              </a:r>
              <a:r>
                <a:rPr lang="en-GB" sz="1100" b="0" i="0">
                  <a:solidFill>
                    <a:schemeClr val="tx1"/>
                  </a:solidFill>
                  <a:effectLst/>
                  <a:latin typeface="+mn-lt"/>
                  <a:ea typeface="+mn-ea"/>
                  <a:cs typeface="+mn-cs"/>
                </a:rPr>
                <a:t>×</a:t>
              </a:r>
              <a:r>
                <a:rPr lang="en-GB" sz="1100" b="0" i="0">
                  <a:solidFill>
                    <a:schemeClr val="tx1"/>
                  </a:solidFill>
                  <a:effectLst/>
                  <a:latin typeface="Cambria Math" panose="02040503050406030204" pitchFamily="18" charset="0"/>
                  <a:ea typeface="+mn-ea"/>
                  <a:cs typeface="+mn-cs"/>
                </a:rPr>
                <a:t>𝐷𝐴𝐹</a:t>
              </a:r>
              <a:endParaRPr lang="en-GB" sz="1100"/>
            </a:p>
          </xdr:txBody>
        </xdr:sp>
      </mc:Fallback>
    </mc:AlternateContent>
    <xdr:clientData/>
  </xdr:oneCellAnchor>
  <xdr:oneCellAnchor>
    <xdr:from>
      <xdr:col>1</xdr:col>
      <xdr:colOff>629033</xdr:colOff>
      <xdr:row>74</xdr:row>
      <xdr:rowOff>93339</xdr:rowOff>
    </xdr:from>
    <xdr:ext cx="4858894" cy="172227"/>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00000000-0008-0000-0800-000009000000}"/>
                </a:ext>
              </a:extLst>
            </xdr:cNvPr>
            <xdr:cNvSpPr txBox="1"/>
          </xdr:nvSpPr>
          <xdr:spPr>
            <a:xfrm>
              <a:off x="5524883" y="12656814"/>
              <a:ext cx="4858894"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sSub>
                    <m:sSubPr>
                      <m:ctrlPr>
                        <a:rPr lang="en-GB" sz="1100" b="0" i="1">
                          <a:latin typeface="Cambria Math" panose="02040503050406030204" pitchFamily="18" charset="0"/>
                        </a:rPr>
                      </m:ctrlPr>
                    </m:sSubPr>
                    <m:e>
                      <m:r>
                        <a:rPr lang="en-GB" sz="1100" b="0" i="1">
                          <a:latin typeface="Cambria Math" panose="02040503050406030204" pitchFamily="18" charset="0"/>
                        </a:rPr>
                        <m:t>𝑈𝐶𝑅</m:t>
                      </m:r>
                    </m:e>
                    <m:sub>
                      <m:r>
                        <a:rPr lang="en-GB" sz="1100" b="0" i="1">
                          <a:latin typeface="Cambria Math" panose="02040503050406030204" pitchFamily="18" charset="0"/>
                        </a:rPr>
                        <m:t>𝐴𝐹</m:t>
                      </m:r>
                      <m:r>
                        <a:rPr lang="en-GB" sz="1100" b="0" i="1">
                          <a:latin typeface="Cambria Math" panose="02040503050406030204" pitchFamily="18" charset="0"/>
                        </a:rPr>
                        <m:t> </m:t>
                      </m:r>
                    </m:sub>
                  </m:sSub>
                  <m:d>
                    <m:dPr>
                      <m:ctrlPr>
                        <a:rPr lang="en-GB" sz="1100" b="0" i="1">
                          <a:latin typeface="Cambria Math" panose="02040503050406030204" pitchFamily="18" charset="0"/>
                        </a:rPr>
                      </m:ctrlPr>
                    </m:dPr>
                    <m:e>
                      <m:r>
                        <a:rPr lang="en-GB" sz="1100" b="0" i="1">
                          <a:latin typeface="Cambria Math" panose="02040503050406030204" pitchFamily="18" charset="0"/>
                        </a:rPr>
                        <m:t>𝐶𝑎𝑝𝑝𝑒𝑑</m:t>
                      </m:r>
                    </m:e>
                  </m:d>
                  <m:r>
                    <a:rPr lang="en-GB" sz="1100" i="1">
                      <a:latin typeface="Cambria Math" panose="02040503050406030204" pitchFamily="18" charset="0"/>
                    </a:rPr>
                    <m:t>=</m:t>
                  </m:r>
                </m:oMath>
              </a14:m>
              <a:r>
                <a:rPr lang="en-GB" sz="1100"/>
                <a:t> MIN(</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oMath>
              </a14:m>
              <a:r>
                <a:rPr lang="en-GB" sz="1100" baseline="0"/>
                <a:t> , </a:t>
              </a:r>
              <a14:m>
                <m:oMath xmlns:m="http://schemas.openxmlformats.org/officeDocument/2006/math">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 −</m:t>
                  </m:r>
                  <m:d>
                    <m:dPr>
                      <m:ctrlPr>
                        <a:rPr lang="en-GB" sz="1100" b="0" i="1">
                          <a:solidFill>
                            <a:schemeClr val="tx1"/>
                          </a:solidFill>
                          <a:effectLst/>
                          <a:latin typeface="Cambria Math" panose="02040503050406030204" pitchFamily="18" charset="0"/>
                          <a:ea typeface="+mn-ea"/>
                          <a:cs typeface="+mn-cs"/>
                        </a:rPr>
                      </m:ctrlPr>
                    </m:dPr>
                    <m:e>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𝐵𝐿</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r>
                        <a:rPr lang="en-GB" sz="1100" b="0" i="1">
                          <a:solidFill>
                            <a:schemeClr val="tx1"/>
                          </a:solidFill>
                          <a:effectLst/>
                          <a:latin typeface="Cambria Math" panose="02040503050406030204" pitchFamily="18" charset="0"/>
                          <a:ea typeface="+mn-ea"/>
                          <a:cs typeface="+mn-cs"/>
                        </a:rPr>
                        <m:t>−</m:t>
                      </m:r>
                      <m:sSub>
                        <m:sSubPr>
                          <m:ctrlPr>
                            <a:rPr lang="en-GB" sz="1100" b="0" i="1">
                              <a:solidFill>
                                <a:schemeClr val="tx1"/>
                              </a:solidFill>
                              <a:effectLst/>
                              <a:latin typeface="Cambria Math" panose="02040503050406030204" pitchFamily="18" charset="0"/>
                              <a:ea typeface="+mn-ea"/>
                              <a:cs typeface="+mn-cs"/>
                            </a:rPr>
                          </m:ctrlPr>
                        </m:sSubPr>
                        <m:e>
                          <m:r>
                            <a:rPr lang="en-GB" sz="1100" b="0" i="1">
                              <a:solidFill>
                                <a:schemeClr val="tx1"/>
                              </a:solidFill>
                              <a:effectLst/>
                              <a:latin typeface="Cambria Math" panose="02040503050406030204" pitchFamily="18" charset="0"/>
                              <a:ea typeface="+mn-ea"/>
                              <a:cs typeface="+mn-cs"/>
                            </a:rPr>
                            <m:t>𝑈𝐶𝑅</m:t>
                          </m:r>
                        </m:e>
                        <m:sub>
                          <m:r>
                            <a:rPr lang="en-GB" sz="1100" b="0" i="1">
                              <a:solidFill>
                                <a:schemeClr val="tx1"/>
                              </a:solidFill>
                              <a:effectLst/>
                              <a:latin typeface="Cambria Math" panose="02040503050406030204" pitchFamily="18" charset="0"/>
                              <a:ea typeface="+mn-ea"/>
                              <a:cs typeface="+mn-cs"/>
                            </a:rPr>
                            <m:t>𝑂𝐴𝐷</m:t>
                          </m:r>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𝐸𝐸</m:t>
                          </m:r>
                        </m:sub>
                      </m:sSub>
                    </m:e>
                  </m:d>
                  <m:r>
                    <a:rPr lang="en-GB" sz="1100" b="0" i="1">
                      <a:solidFill>
                        <a:schemeClr val="tx1"/>
                      </a:solidFill>
                      <a:effectLst/>
                      <a:latin typeface="Cambria Math" panose="02040503050406030204" pitchFamily="18" charset="0"/>
                      <a:ea typeface="+mn-ea"/>
                      <a:cs typeface="+mn-cs"/>
                    </a:rPr>
                    <m:t>×</m:t>
                  </m:r>
                  <m:r>
                    <a:rPr lang="en-GB" sz="1100" b="0" i="1">
                      <a:solidFill>
                        <a:schemeClr val="tx1"/>
                      </a:solidFill>
                      <a:effectLst/>
                      <a:latin typeface="Cambria Math" panose="02040503050406030204" pitchFamily="18" charset="0"/>
                      <a:ea typeface="+mn-ea"/>
                      <a:cs typeface="+mn-cs"/>
                    </a:rPr>
                    <m:t>𝐷𝐴𝐹</m:t>
                  </m:r>
                </m:oMath>
              </a14:m>
              <a:r>
                <a:rPr lang="en-GB" sz="1100"/>
                <a:t>)</a:t>
              </a:r>
            </a:p>
          </xdr:txBody>
        </xdr:sp>
      </mc:Choice>
      <mc:Fallback xmlns="">
        <xdr:sp macro="" textlink="">
          <xdr:nvSpPr>
            <xdr:cNvPr id="9" name="TextBox 8">
              <a:extLst>
                <a:ext uri="{FF2B5EF4-FFF2-40B4-BE49-F238E27FC236}">
                  <a16:creationId xmlns:a16="http://schemas.microsoft.com/office/drawing/2014/main" id="{00000000-0008-0000-0200-000003000000}"/>
                </a:ext>
              </a:extLst>
            </xdr:cNvPr>
            <xdr:cNvSpPr txBox="1"/>
          </xdr:nvSpPr>
          <xdr:spPr>
            <a:xfrm>
              <a:off x="5524883" y="12656814"/>
              <a:ext cx="4858894" cy="172227"/>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b="0" i="0">
                  <a:latin typeface="Cambria Math" panose="02040503050406030204" pitchFamily="18" charset="0"/>
                </a:rPr>
                <a:t>〖𝑈𝐶𝑅〗_(𝐴𝐹 ) (𝐶𝑎𝑝𝑝𝑒𝑑)</a:t>
              </a:r>
              <a:r>
                <a:rPr lang="en-GB" sz="1100" i="0">
                  <a:latin typeface="Cambria Math" panose="02040503050406030204" pitchFamily="18" charset="0"/>
                </a:rPr>
                <a:t>=</a:t>
              </a:r>
              <a:r>
                <a:rPr lang="en-GB" sz="1100"/>
                <a:t> MIN(</a:t>
              </a:r>
              <a:r>
                <a:rPr lang="en-GB" sz="1100" b="0" i="0">
                  <a:solidFill>
                    <a:schemeClr val="tx1"/>
                  </a:solidFill>
                  <a:effectLst/>
                  <a:latin typeface="Cambria Math" panose="02040503050406030204" pitchFamily="18" charset="0"/>
                  <a:ea typeface="+mn-ea"/>
                  <a:cs typeface="+mn-cs"/>
                </a:rPr>
                <a:t>〖𝑈𝐶𝑅〗_(𝐵𝐿.𝐸𝐸)</a:t>
              </a:r>
              <a:r>
                <a:rPr lang="en-GB" sz="1100" baseline="0"/>
                <a:t> , </a:t>
              </a:r>
              <a:r>
                <a:rPr lang="en-GB" sz="1100" b="0" i="0">
                  <a:solidFill>
                    <a:schemeClr val="tx1"/>
                  </a:solidFill>
                  <a:effectLst/>
                  <a:latin typeface="+mn-lt"/>
                  <a:ea typeface="+mn-ea"/>
                  <a:cs typeface="+mn-cs"/>
                </a:rPr>
                <a:t>〖𝑈𝐶𝑅〗_(𝐵𝐿.𝐸𝐸)  −(〖𝑈𝐶𝑅〗_(𝐵𝐿.𝐸𝐸)−〖𝑈𝐶𝑅〗_(𝑂𝐴𝐷.𝐸𝐸) )×𝐷𝐴𝐹</a:t>
              </a:r>
              <a:r>
                <a:rPr lang="en-GB" sz="1100"/>
                <a:t>)</a:t>
              </a:r>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twoCellAnchor>
    <xdr:from>
      <xdr:col>0</xdr:col>
      <xdr:colOff>266700</xdr:colOff>
      <xdr:row>26</xdr:row>
      <xdr:rowOff>38100</xdr:rowOff>
    </xdr:from>
    <xdr:to>
      <xdr:col>9</xdr:col>
      <xdr:colOff>28575</xdr:colOff>
      <xdr:row>39</xdr:row>
      <xdr:rowOff>95250</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266700" y="4710113"/>
          <a:ext cx="6838950" cy="2409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baseline="0"/>
            <a:t>Non intervention adjustment calculation</a:t>
          </a:r>
        </a:p>
        <a:p>
          <a:endParaRPr lang="en-GB" sz="1100" baseline="0"/>
        </a:p>
        <a:p>
          <a:r>
            <a:rPr lang="en-GB" sz="1100" baseline="0"/>
            <a:t>A new methodology is submitted, where the refurbished asset deteriorates more slowly than previously. The affect of this is that the PoF and raw risk of the refurbished asset is reduced by 10% throughout the lifetime of intervention.  The benefit of the intervention increases with the new methodology.</a:t>
          </a:r>
        </a:p>
        <a:p>
          <a:endParaRPr lang="en-GB" sz="1100" baseline="0"/>
        </a:p>
        <a:p>
          <a:r>
            <a:rPr lang="en-GB" sz="1100" baseline="0"/>
            <a:t>The outturn risk should have a negative adjustment equal to the difference between the benefit of the intervention with the old methodology and the benefit of the intervention with the new methodology. </a:t>
          </a:r>
        </a:p>
        <a:p>
          <a:endParaRPr lang="en-GB">
            <a:effectLst/>
          </a:endParaRPr>
        </a:p>
        <a:p>
          <a:r>
            <a:rPr lang="en-GB" sz="1100" baseline="0">
              <a:solidFill>
                <a:schemeClr val="dk1"/>
              </a:solidFill>
              <a:effectLst/>
              <a:latin typeface="+mn-lt"/>
              <a:ea typeface="+mn-ea"/>
              <a:cs typeface="+mn-cs"/>
            </a:rPr>
            <a:t>This short example only calculates long term risk up to year 2040 and uses survival mode risk. However the same approach can be applied for alternate long term risk benefit methodologies and by specific lifetime of intervention over which the LTRB is calculated.</a:t>
          </a:r>
          <a:endParaRPr lang="en-GB">
            <a:effectLst/>
          </a:endParaRPr>
        </a:p>
        <a:p>
          <a:endParaRPr lang="en-GB" sz="1100" baseline="0"/>
        </a:p>
      </xdr:txBody>
    </xdr:sp>
    <xdr:clientData/>
  </xdr:twoCellAnchor>
  <xdr:twoCellAnchor>
    <xdr:from>
      <xdr:col>0</xdr:col>
      <xdr:colOff>266700</xdr:colOff>
      <xdr:row>10</xdr:row>
      <xdr:rowOff>114301</xdr:rowOff>
    </xdr:from>
    <xdr:to>
      <xdr:col>9</xdr:col>
      <xdr:colOff>28575</xdr:colOff>
      <xdr:row>23</xdr:row>
      <xdr:rowOff>23818</xdr:rowOff>
    </xdr:to>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266700" y="2428876"/>
          <a:ext cx="6838950" cy="31908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Non-intervention adjustments should be used to adjust out-turn risk in cases of methodology change and data cleansing</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adjustment should be equivalent to re-calculation of the target using the cleaned data with the updated methodology.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Adjustment</a:t>
          </a:r>
          <a:r>
            <a:rPr lang="en-GB" sz="1100" baseline="0">
              <a:solidFill>
                <a:schemeClr val="dk1"/>
              </a:solidFill>
              <a:effectLst/>
              <a:latin typeface="+mn-lt"/>
              <a:ea typeface="+mn-ea"/>
              <a:cs typeface="+mn-cs"/>
            </a:rPr>
            <a:t>s will be not be applied for </a:t>
          </a:r>
          <a:r>
            <a:rPr lang="en-GB" sz="1100">
              <a:solidFill>
                <a:schemeClr val="dk1"/>
              </a:solidFill>
              <a:effectLst/>
              <a:latin typeface="+mn-lt"/>
              <a:ea typeface="+mn-ea"/>
              <a:cs typeface="+mn-cs"/>
            </a:rPr>
            <a:t>differences between forecast risk of asset and actual risk of asset. Such changes are for the companies to manage, whether the outcome is a gain or loss. These differences will also be addressed through the unit cost of risk delivery adjustment mechanism.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general adjustments should be made for interventions that were in plan and were delivered. Interventions that were not in the original plan were not used to set the target, so an adjustment is not necessary. For interventions that were in plan but not delivered, adjustments may be made if accompanied by suitable justification as to why the adjustments are relevant to the out-turn risk.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Changes in methodology should be justified and in general, new methodologies should align more closely with actual risk as shown by inspection throughout the price control.</a:t>
          </a:r>
        </a:p>
        <a:p>
          <a:endParaRPr lang="en-GB" sz="1100" baseline="0"/>
        </a:p>
      </xdr:txBody>
    </xdr:sp>
    <xdr:clientData/>
  </xdr:twoCellAnchor>
  <xdr:twoCellAnchor>
    <xdr:from>
      <xdr:col>9</xdr:col>
      <xdr:colOff>381631</xdr:colOff>
      <xdr:row>10</xdr:row>
      <xdr:rowOff>189866</xdr:rowOff>
    </xdr:from>
    <xdr:to>
      <xdr:col>17</xdr:col>
      <xdr:colOff>142875</xdr:colOff>
      <xdr:row>22</xdr:row>
      <xdr:rowOff>190500</xdr:rowOff>
    </xdr:to>
    <xdr:grpSp>
      <xdr:nvGrpSpPr>
        <xdr:cNvPr id="5" name="Group 4" descr="Shows the four stages of non-intervention adjustment methodology change" title="Non-intervention adjustment">
          <a:extLst>
            <a:ext uri="{FF2B5EF4-FFF2-40B4-BE49-F238E27FC236}">
              <a16:creationId xmlns:a16="http://schemas.microsoft.com/office/drawing/2014/main" id="{00000000-0008-0000-0A00-000005000000}"/>
            </a:ext>
          </a:extLst>
        </xdr:cNvPr>
        <xdr:cNvGrpSpPr/>
      </xdr:nvGrpSpPr>
      <xdr:grpSpPr>
        <a:xfrm>
          <a:off x="7077706" y="2275841"/>
          <a:ext cx="5019044" cy="2972434"/>
          <a:chOff x="0" y="0"/>
          <a:chExt cx="4486364" cy="2294890"/>
        </a:xfrm>
      </xdr:grpSpPr>
      <xdr:grpSp>
        <xdr:nvGrpSpPr>
          <xdr:cNvPr id="6" name="Group 5">
            <a:extLst>
              <a:ext uri="{FF2B5EF4-FFF2-40B4-BE49-F238E27FC236}">
                <a16:creationId xmlns:a16="http://schemas.microsoft.com/office/drawing/2014/main" id="{00000000-0008-0000-0A00-000006000000}"/>
              </a:ext>
            </a:extLst>
          </xdr:cNvPr>
          <xdr:cNvGrpSpPr/>
        </xdr:nvGrpSpPr>
        <xdr:grpSpPr>
          <a:xfrm>
            <a:off x="0" y="0"/>
            <a:ext cx="4486364" cy="2294890"/>
            <a:chOff x="90433" y="-73221"/>
            <a:chExt cx="5956782" cy="3047047"/>
          </a:xfrm>
        </xdr:grpSpPr>
        <xdr:sp macro="" textlink="">
          <xdr:nvSpPr>
            <xdr:cNvPr id="8" name="TextBox 4">
              <a:extLst>
                <a:ext uri="{FF2B5EF4-FFF2-40B4-BE49-F238E27FC236}">
                  <a16:creationId xmlns:a16="http://schemas.microsoft.com/office/drawing/2014/main" id="{00000000-0008-0000-0A00-000008000000}"/>
                </a:ext>
              </a:extLst>
            </xdr:cNvPr>
            <xdr:cNvSpPr txBox="1"/>
          </xdr:nvSpPr>
          <xdr:spPr>
            <a:xfrm>
              <a:off x="90440" y="-73221"/>
              <a:ext cx="1899556" cy="821202"/>
            </a:xfrm>
            <a:prstGeom prst="rect">
              <a:avLst/>
            </a:prstGeom>
            <a:noFill/>
          </xdr:spPr>
          <xdr:txBody>
            <a:bodyPr wrap="square" rtlCol="0">
              <a:spAutoFit/>
            </a:bodyPr>
            <a:lstStyle/>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Old (non-cleaned) data</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Old Methodology</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Used to derive </a:t>
              </a:r>
              <a:r>
                <a:rPr lang="en-GB" sz="1050" b="1"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Targets</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9" name="Arrow: Right 3">
              <a:extLst>
                <a:ext uri="{FF2B5EF4-FFF2-40B4-BE49-F238E27FC236}">
                  <a16:creationId xmlns:a16="http://schemas.microsoft.com/office/drawing/2014/main" id="{00000000-0008-0000-0A00-000009000000}"/>
                </a:ext>
              </a:extLst>
            </xdr:cNvPr>
            <xdr:cNvSpPr/>
          </xdr:nvSpPr>
          <xdr:spPr>
            <a:xfrm>
              <a:off x="1886285" y="193301"/>
              <a:ext cx="2363411" cy="30023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sp macro="" textlink="">
          <xdr:nvSpPr>
            <xdr:cNvPr id="10" name="TextBox 6">
              <a:extLst>
                <a:ext uri="{FF2B5EF4-FFF2-40B4-BE49-F238E27FC236}">
                  <a16:creationId xmlns:a16="http://schemas.microsoft.com/office/drawing/2014/main" id="{00000000-0008-0000-0A00-00000A000000}"/>
                </a:ext>
              </a:extLst>
            </xdr:cNvPr>
            <xdr:cNvSpPr txBox="1"/>
          </xdr:nvSpPr>
          <xdr:spPr>
            <a:xfrm>
              <a:off x="4250083" y="50589"/>
              <a:ext cx="1503289" cy="587657"/>
            </a:xfrm>
            <a:prstGeom prst="rect">
              <a:avLst/>
            </a:prstGeom>
            <a:noFill/>
          </xdr:spPr>
          <xdr:txBody>
            <a:bodyPr wrap="square" rtlCol="0">
              <a:spAutoFit/>
            </a:bodyPr>
            <a:lstStyle/>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New data</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Old Methodology</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11" name="TextBox 7">
              <a:extLst>
                <a:ext uri="{FF2B5EF4-FFF2-40B4-BE49-F238E27FC236}">
                  <a16:creationId xmlns:a16="http://schemas.microsoft.com/office/drawing/2014/main" id="{00000000-0008-0000-0A00-00000B000000}"/>
                </a:ext>
              </a:extLst>
            </xdr:cNvPr>
            <xdr:cNvSpPr txBox="1"/>
          </xdr:nvSpPr>
          <xdr:spPr>
            <a:xfrm>
              <a:off x="90433" y="1989289"/>
              <a:ext cx="1581699" cy="587657"/>
            </a:xfrm>
            <a:prstGeom prst="rect">
              <a:avLst/>
            </a:prstGeom>
            <a:noFill/>
          </xdr:spPr>
          <xdr:txBody>
            <a:bodyPr wrap="square" rtlCol="0">
              <a:spAutoFit/>
            </a:bodyPr>
            <a:lstStyle/>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Old (clean) data</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New Methodology</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12" name="Arrow: Right 6">
              <a:extLst>
                <a:ext uri="{FF2B5EF4-FFF2-40B4-BE49-F238E27FC236}">
                  <a16:creationId xmlns:a16="http://schemas.microsoft.com/office/drawing/2014/main" id="{00000000-0008-0000-0A00-00000C000000}"/>
                </a:ext>
              </a:extLst>
            </xdr:cNvPr>
            <xdr:cNvSpPr/>
          </xdr:nvSpPr>
          <xdr:spPr>
            <a:xfrm>
              <a:off x="1886131" y="2184649"/>
              <a:ext cx="2363565" cy="2596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sp macro="" textlink="">
          <xdr:nvSpPr>
            <xdr:cNvPr id="13" name="TextBox 9">
              <a:extLst>
                <a:ext uri="{FF2B5EF4-FFF2-40B4-BE49-F238E27FC236}">
                  <a16:creationId xmlns:a16="http://schemas.microsoft.com/office/drawing/2014/main" id="{00000000-0008-0000-0A00-00000D000000}"/>
                </a:ext>
              </a:extLst>
            </xdr:cNvPr>
            <xdr:cNvSpPr txBox="1"/>
          </xdr:nvSpPr>
          <xdr:spPr>
            <a:xfrm>
              <a:off x="4108875" y="1919079"/>
              <a:ext cx="1938340" cy="1054747"/>
            </a:xfrm>
            <a:prstGeom prst="rect">
              <a:avLst/>
            </a:prstGeom>
            <a:noFill/>
          </xdr:spPr>
          <xdr:txBody>
            <a:bodyPr wrap="square" rtlCol="0">
              <a:spAutoFit/>
            </a:bodyPr>
            <a:lstStyle/>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New (clean) data</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New Methodology</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Used to derive:</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50" b="1"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Out-turn risk</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14" name="Arrow: Right 8">
              <a:extLst>
                <a:ext uri="{FF2B5EF4-FFF2-40B4-BE49-F238E27FC236}">
                  <a16:creationId xmlns:a16="http://schemas.microsoft.com/office/drawing/2014/main" id="{00000000-0008-0000-0A00-00000E000000}"/>
                </a:ext>
              </a:extLst>
            </xdr:cNvPr>
            <xdr:cNvSpPr/>
          </xdr:nvSpPr>
          <xdr:spPr>
            <a:xfrm rot="5400000">
              <a:off x="282460" y="1226699"/>
              <a:ext cx="1270177" cy="25968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sp macro="" textlink="">
          <xdr:nvSpPr>
            <xdr:cNvPr id="15" name="Arrow: Right 9">
              <a:extLst>
                <a:ext uri="{FF2B5EF4-FFF2-40B4-BE49-F238E27FC236}">
                  <a16:creationId xmlns:a16="http://schemas.microsoft.com/office/drawing/2014/main" id="{00000000-0008-0000-0A00-00000F000000}"/>
                </a:ext>
              </a:extLst>
            </xdr:cNvPr>
            <xdr:cNvSpPr/>
          </xdr:nvSpPr>
          <xdr:spPr>
            <a:xfrm rot="5400000">
              <a:off x="4384416" y="1224360"/>
              <a:ext cx="1270176" cy="2596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grpSp>
      <xdr:sp macro="" textlink="">
        <xdr:nvSpPr>
          <xdr:cNvPr id="7" name="TextBox 4">
            <a:extLst>
              <a:ext uri="{FF2B5EF4-FFF2-40B4-BE49-F238E27FC236}">
                <a16:creationId xmlns:a16="http://schemas.microsoft.com/office/drawing/2014/main" id="{00000000-0008-0000-0A00-000007000000}"/>
              </a:ext>
            </a:extLst>
          </xdr:cNvPr>
          <xdr:cNvSpPr txBox="1"/>
        </xdr:nvSpPr>
        <xdr:spPr>
          <a:xfrm>
            <a:off x="695312" y="819150"/>
            <a:ext cx="1247775" cy="544195"/>
          </a:xfrm>
          <a:prstGeom prst="rect">
            <a:avLst/>
          </a:prstGeom>
          <a:noFill/>
        </xdr:spPr>
        <xdr:txBody>
          <a:bodyPr wrap="square" rtlCol="0">
            <a:spAutoFit/>
          </a:bodyPr>
          <a:lstStyle/>
          <a:p>
            <a:pPr>
              <a:lnSpc>
                <a:spcPct val="107000"/>
              </a:lnSpc>
              <a:spcAft>
                <a:spcPts val="800"/>
              </a:spcAft>
            </a:pP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Non-intervention</a:t>
            </a:r>
            <a:b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br>
            <a:r>
              <a:rPr lang="en-GB" sz="1050" kern="12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Adjustments</a:t>
            </a:r>
            <a:endParaRPr lang="en-GB"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67"/>
  <sheetViews>
    <sheetView showGridLines="0" tabSelected="1" workbookViewId="0">
      <selection activeCell="F16" sqref="F16"/>
    </sheetView>
  </sheetViews>
  <sheetFormatPr defaultRowHeight="12.75"/>
  <cols>
    <col min="1" max="1" width="34.875" customWidth="1"/>
    <col min="2" max="2" width="59.75" customWidth="1"/>
    <col min="3" max="7" width="1.25" bestFit="1" customWidth="1"/>
  </cols>
  <sheetData>
    <row r="1" spans="1:10" ht="62.1" customHeight="1">
      <c r="A1" s="113"/>
      <c r="B1" s="113"/>
      <c r="C1" s="113"/>
      <c r="D1" s="113"/>
      <c r="E1" s="113"/>
      <c r="F1" s="113"/>
      <c r="G1" s="113"/>
    </row>
    <row r="2" spans="1:10" s="4" customFormat="1" ht="24.75">
      <c r="A2" s="1" t="s">
        <v>283</v>
      </c>
      <c r="B2" s="2"/>
      <c r="C2" s="2"/>
      <c r="D2" s="2"/>
      <c r="E2" s="3"/>
      <c r="F2" s="2"/>
      <c r="G2" s="2"/>
    </row>
    <row r="3" spans="1:10" s="7" customFormat="1" ht="15">
      <c r="A3" s="5" t="str">
        <f ca="1">IFERROR("Sheet: " &amp;VLOOKUP(RIGHT(CELL("filename",A2),LEN(CELL("filename",A2))-FIND("]",CELL("filename",A2))),Contents!$A$10:$B$29,2,FALSE),"Sheet name does not match Contents sheet")</f>
        <v>Sheet: About this workbook</v>
      </c>
      <c r="B3" s="6"/>
      <c r="C3" s="6"/>
      <c r="D3" s="6"/>
      <c r="E3" s="5"/>
      <c r="F3" s="6"/>
      <c r="G3" s="6"/>
    </row>
    <row r="4" spans="1:10" s="7" customFormat="1" ht="15">
      <c r="A4" s="5"/>
      <c r="B4" s="6"/>
      <c r="C4" s="6"/>
      <c r="D4" s="6"/>
      <c r="E4" s="6"/>
      <c r="F4" s="6"/>
      <c r="G4" s="6"/>
    </row>
    <row r="5" spans="1:10" s="7" customFormat="1" ht="15">
      <c r="A5" s="5"/>
      <c r="B5" s="6"/>
      <c r="C5" s="6"/>
      <c r="D5" s="6"/>
      <c r="E5" s="6"/>
      <c r="F5" s="6"/>
      <c r="G5" s="6"/>
    </row>
    <row r="6" spans="1:10" s="7" customFormat="1" ht="15">
      <c r="A6" s="5"/>
      <c r="B6" s="6"/>
      <c r="C6" s="6"/>
      <c r="D6" s="6"/>
      <c r="E6" s="6"/>
      <c r="F6" s="6"/>
      <c r="G6" s="6"/>
    </row>
    <row r="7" spans="1:10" s="7" customFormat="1" ht="15">
      <c r="A7" s="5"/>
      <c r="B7" s="6"/>
      <c r="C7" s="6"/>
      <c r="D7" s="6"/>
      <c r="E7" s="6"/>
      <c r="F7" s="6"/>
      <c r="G7" s="6"/>
    </row>
    <row r="8" spans="1:10" s="9" customFormat="1"/>
    <row r="9" spans="1:10" s="9" customFormat="1" ht="19.5">
      <c r="A9" s="8" t="str">
        <f ca="1">IFERROR(VLOOKUP(RIGHT(CELL("filename",A2),LEN(CELL("filename",A2))-FIND("]",CELL("filename",A2))),Contents!$A$10:$B$29,2,FALSE), "Sheet name does not match Contents sheet")</f>
        <v>About this workbook</v>
      </c>
    </row>
    <row r="10" spans="1:10">
      <c r="A10" s="96"/>
      <c r="B10" s="96"/>
      <c r="C10" s="96"/>
      <c r="D10" s="96"/>
      <c r="E10" s="96"/>
      <c r="F10" s="96"/>
      <c r="G10" s="96"/>
      <c r="H10" s="96"/>
    </row>
    <row r="11" spans="1:10">
      <c r="A11" s="96"/>
      <c r="B11" s="96"/>
      <c r="C11" s="96"/>
      <c r="D11" s="96"/>
      <c r="E11" s="96"/>
      <c r="F11" s="96"/>
      <c r="G11" s="96"/>
      <c r="H11" s="96"/>
    </row>
    <row r="12" spans="1:10">
      <c r="A12" s="96"/>
      <c r="B12" s="96"/>
      <c r="C12" s="96"/>
      <c r="D12" s="96"/>
      <c r="E12" s="96"/>
      <c r="F12" s="96"/>
      <c r="G12" s="96"/>
      <c r="H12" s="96"/>
    </row>
    <row r="13" spans="1:10">
      <c r="A13" s="96"/>
      <c r="B13" s="96"/>
      <c r="C13" s="96"/>
      <c r="D13" s="96"/>
      <c r="E13" s="96"/>
      <c r="F13" s="96"/>
      <c r="G13" s="96"/>
      <c r="H13" s="96"/>
    </row>
    <row r="14" spans="1:10">
      <c r="A14" s="96"/>
      <c r="B14" s="96"/>
      <c r="C14" s="96"/>
      <c r="D14" s="96"/>
      <c r="E14" s="96"/>
      <c r="F14" s="96"/>
      <c r="G14" s="96"/>
      <c r="H14" s="96"/>
    </row>
    <row r="15" spans="1:10">
      <c r="A15" s="96"/>
      <c r="B15" s="96"/>
      <c r="C15" s="96"/>
      <c r="D15" s="96"/>
      <c r="E15" s="96"/>
      <c r="F15" s="96"/>
      <c r="G15" s="96"/>
      <c r="H15" s="96"/>
    </row>
    <row r="16" spans="1:10">
      <c r="A16" s="96"/>
      <c r="B16" s="96"/>
      <c r="C16" s="96"/>
      <c r="D16" s="96"/>
      <c r="E16" s="96"/>
      <c r="F16" s="96"/>
      <c r="G16" s="96"/>
      <c r="H16" s="96"/>
      <c r="I16" s="96"/>
      <c r="J16" s="96"/>
    </row>
    <row r="17" spans="1:10">
      <c r="A17" s="96"/>
      <c r="B17" s="96"/>
      <c r="C17" s="96"/>
      <c r="D17" s="96"/>
      <c r="E17" s="96"/>
      <c r="F17" s="96"/>
      <c r="G17" s="96"/>
      <c r="H17" s="96"/>
      <c r="I17" s="96"/>
      <c r="J17" s="96"/>
    </row>
    <row r="18" spans="1:10">
      <c r="A18" s="96"/>
      <c r="B18" s="96"/>
      <c r="C18" s="96"/>
      <c r="D18" s="96"/>
      <c r="E18" s="96"/>
      <c r="F18" s="96"/>
      <c r="G18" s="96"/>
      <c r="H18" s="96"/>
      <c r="I18" s="96"/>
      <c r="J18" s="96"/>
    </row>
    <row r="19" spans="1:10">
      <c r="A19" s="96"/>
      <c r="B19" s="96"/>
      <c r="C19" s="96"/>
      <c r="D19" s="96"/>
      <c r="E19" s="96"/>
      <c r="F19" s="96"/>
      <c r="G19" s="96"/>
      <c r="H19" s="96"/>
      <c r="I19" s="96"/>
      <c r="J19" s="96"/>
    </row>
    <row r="20" spans="1:10">
      <c r="A20" s="96"/>
      <c r="B20" s="96"/>
      <c r="C20" s="96"/>
      <c r="D20" s="96"/>
      <c r="E20" s="96"/>
      <c r="F20" s="96"/>
      <c r="G20" s="96"/>
      <c r="H20" s="96"/>
      <c r="I20" s="96"/>
      <c r="J20" s="96"/>
    </row>
    <row r="21" spans="1:10">
      <c r="A21" s="96"/>
      <c r="B21" s="96"/>
      <c r="C21" s="96"/>
      <c r="D21" s="96"/>
      <c r="E21" s="96"/>
      <c r="F21" s="96"/>
      <c r="G21" s="96"/>
      <c r="H21" s="96"/>
      <c r="I21" s="96"/>
      <c r="J21" s="96"/>
    </row>
    <row r="22" spans="1:10">
      <c r="A22" s="96"/>
      <c r="B22" s="96"/>
      <c r="C22" s="96"/>
      <c r="D22" s="96"/>
      <c r="E22" s="96"/>
      <c r="F22" s="96"/>
      <c r="G22" s="96"/>
      <c r="H22" s="96"/>
      <c r="I22" s="96"/>
      <c r="J22" s="96"/>
    </row>
    <row r="23" spans="1:10">
      <c r="A23" s="96"/>
      <c r="B23" s="96"/>
      <c r="C23" s="96"/>
      <c r="D23" s="96"/>
      <c r="E23" s="96"/>
      <c r="F23" s="96"/>
      <c r="G23" s="96"/>
      <c r="H23" s="96"/>
      <c r="I23" s="96"/>
      <c r="J23" s="96"/>
    </row>
    <row r="24" spans="1:10">
      <c r="A24" s="96"/>
      <c r="B24" s="96"/>
      <c r="C24" s="96"/>
      <c r="D24" s="96"/>
      <c r="E24" s="96"/>
      <c r="F24" s="96"/>
      <c r="G24" s="96"/>
      <c r="H24" s="96"/>
      <c r="I24" s="96"/>
      <c r="J24" s="96"/>
    </row>
    <row r="25" spans="1:10">
      <c r="A25" s="96"/>
      <c r="B25" s="96"/>
      <c r="C25" s="96"/>
      <c r="D25" s="96"/>
      <c r="E25" s="96"/>
      <c r="F25" s="96"/>
      <c r="G25" s="96"/>
      <c r="H25" s="96"/>
      <c r="I25" s="96"/>
      <c r="J25" s="96"/>
    </row>
    <row r="26" spans="1:10">
      <c r="A26" s="96"/>
      <c r="B26" s="96"/>
      <c r="C26" s="96"/>
      <c r="D26" s="96"/>
      <c r="E26" s="96"/>
      <c r="F26" s="96"/>
      <c r="G26" s="96"/>
      <c r="H26" s="96"/>
      <c r="I26" s="96"/>
      <c r="J26" s="96"/>
    </row>
    <row r="27" spans="1:10">
      <c r="A27" s="96"/>
      <c r="B27" s="96"/>
      <c r="C27" s="96"/>
      <c r="D27" s="96"/>
      <c r="E27" s="96"/>
      <c r="F27" s="96"/>
      <c r="G27" s="96"/>
      <c r="H27" s="96"/>
      <c r="I27" s="96"/>
      <c r="J27" s="96"/>
    </row>
    <row r="28" spans="1:10">
      <c r="A28" s="96"/>
      <c r="B28" s="96"/>
      <c r="C28" s="96"/>
      <c r="D28" s="96"/>
      <c r="E28" s="96"/>
      <c r="F28" s="96"/>
      <c r="G28" s="96"/>
      <c r="H28" s="96"/>
      <c r="I28" s="96"/>
      <c r="J28" s="96"/>
    </row>
    <row r="29" spans="1:10">
      <c r="A29" s="96"/>
      <c r="B29" s="96"/>
      <c r="C29" s="96"/>
      <c r="D29" s="96"/>
      <c r="E29" s="96"/>
      <c r="F29" s="96"/>
      <c r="G29" s="96"/>
      <c r="H29" s="96"/>
      <c r="I29" s="96"/>
      <c r="J29" s="96"/>
    </row>
    <row r="30" spans="1:10">
      <c r="A30" s="96"/>
      <c r="B30" s="96"/>
      <c r="C30" s="96"/>
      <c r="D30" s="96"/>
      <c r="E30" s="96"/>
      <c r="F30" s="96"/>
      <c r="G30" s="96"/>
      <c r="H30" s="96"/>
      <c r="I30" s="96"/>
      <c r="J30" s="96"/>
    </row>
    <row r="31" spans="1:10">
      <c r="A31" s="96"/>
      <c r="B31" s="96"/>
      <c r="C31" s="96"/>
      <c r="D31" s="96"/>
      <c r="E31" s="96"/>
      <c r="F31" s="96"/>
      <c r="G31" s="96"/>
      <c r="H31" s="96"/>
      <c r="I31" s="96"/>
      <c r="J31" s="96"/>
    </row>
    <row r="32" spans="1:10">
      <c r="A32" s="96"/>
      <c r="B32" s="96"/>
      <c r="C32" s="96"/>
      <c r="D32" s="96"/>
      <c r="E32" s="96"/>
      <c r="F32" s="96"/>
      <c r="G32" s="96"/>
      <c r="H32" s="96"/>
      <c r="I32" s="96"/>
      <c r="J32" s="96"/>
    </row>
    <row r="33" spans="1:10">
      <c r="A33" s="96"/>
      <c r="B33" s="96"/>
      <c r="C33" s="96"/>
      <c r="D33" s="96"/>
      <c r="E33" s="96"/>
      <c r="F33" s="96"/>
      <c r="G33" s="96"/>
      <c r="H33" s="96"/>
      <c r="I33" s="96"/>
      <c r="J33" s="96"/>
    </row>
    <row r="34" spans="1:10">
      <c r="A34" s="96"/>
      <c r="B34" s="96"/>
      <c r="C34" s="96"/>
      <c r="D34" s="96"/>
      <c r="E34" s="96"/>
      <c r="F34" s="96"/>
      <c r="G34" s="96"/>
      <c r="H34" s="96"/>
      <c r="I34" s="96"/>
      <c r="J34" s="96"/>
    </row>
    <row r="35" spans="1:10">
      <c r="A35" s="96"/>
      <c r="B35" s="96"/>
      <c r="C35" s="96"/>
      <c r="D35" s="96"/>
      <c r="E35" s="96"/>
      <c r="F35" s="96"/>
      <c r="G35" s="96"/>
      <c r="H35" s="96"/>
      <c r="I35" s="96"/>
      <c r="J35" s="96"/>
    </row>
    <row r="36" spans="1:10">
      <c r="A36" s="96"/>
      <c r="B36" s="96"/>
      <c r="C36" s="96"/>
      <c r="D36" s="96"/>
      <c r="E36" s="96"/>
      <c r="F36" s="96"/>
      <c r="G36" s="96"/>
      <c r="H36" s="96"/>
      <c r="I36" s="96"/>
      <c r="J36" s="96"/>
    </row>
    <row r="37" spans="1:10">
      <c r="A37" s="96"/>
      <c r="B37" s="96"/>
      <c r="C37" s="96"/>
      <c r="D37" s="96"/>
      <c r="E37" s="96"/>
      <c r="F37" s="96"/>
      <c r="G37" s="96"/>
      <c r="H37" s="96"/>
      <c r="I37" s="96"/>
      <c r="J37" s="96"/>
    </row>
    <row r="38" spans="1:10">
      <c r="A38" s="96"/>
      <c r="B38" s="96"/>
      <c r="C38" s="96"/>
      <c r="D38" s="96"/>
      <c r="E38" s="96"/>
      <c r="F38" s="96"/>
      <c r="G38" s="96"/>
      <c r="H38" s="96"/>
      <c r="I38" s="96"/>
      <c r="J38" s="96"/>
    </row>
    <row r="39" spans="1:10">
      <c r="A39" s="96"/>
      <c r="B39" s="96"/>
      <c r="C39" s="96"/>
      <c r="D39" s="96"/>
      <c r="E39" s="96"/>
      <c r="F39" s="96"/>
      <c r="G39" s="96"/>
      <c r="H39" s="96"/>
      <c r="I39" s="96"/>
      <c r="J39" s="96"/>
    </row>
    <row r="40" spans="1:10">
      <c r="A40" s="96"/>
      <c r="B40" s="96"/>
      <c r="C40" s="96"/>
      <c r="D40" s="96"/>
      <c r="E40" s="96"/>
      <c r="F40" s="96"/>
      <c r="G40" s="96"/>
      <c r="H40" s="96"/>
      <c r="I40" s="96"/>
      <c r="J40" s="96"/>
    </row>
    <row r="41" spans="1:10">
      <c r="A41" s="96"/>
      <c r="B41" s="96"/>
      <c r="C41" s="96"/>
      <c r="D41" s="96"/>
      <c r="E41" s="96"/>
      <c r="F41" s="96"/>
      <c r="G41" s="96"/>
      <c r="H41" s="96"/>
      <c r="I41" s="96"/>
      <c r="J41" s="96"/>
    </row>
    <row r="42" spans="1:10">
      <c r="A42" s="96"/>
      <c r="B42" s="96"/>
      <c r="C42" s="96"/>
      <c r="D42" s="96"/>
      <c r="E42" s="96"/>
      <c r="F42" s="96"/>
      <c r="G42" s="96"/>
      <c r="H42" s="96"/>
      <c r="I42" s="96"/>
      <c r="J42" s="96"/>
    </row>
    <row r="43" spans="1:10">
      <c r="A43" s="96"/>
      <c r="B43" s="96"/>
      <c r="C43" s="96"/>
      <c r="D43" s="96"/>
      <c r="E43" s="96"/>
      <c r="F43" s="96"/>
      <c r="G43" s="96"/>
      <c r="H43" s="96"/>
      <c r="I43" s="96"/>
      <c r="J43" s="96"/>
    </row>
    <row r="44" spans="1:10">
      <c r="A44" s="96"/>
      <c r="B44" s="96"/>
      <c r="C44" s="96"/>
      <c r="D44" s="96"/>
      <c r="E44" s="96"/>
      <c r="F44" s="96"/>
      <c r="G44" s="96"/>
      <c r="H44" s="96"/>
      <c r="I44" s="96"/>
      <c r="J44" s="96"/>
    </row>
    <row r="45" spans="1:10">
      <c r="A45" s="96"/>
      <c r="B45" s="96"/>
      <c r="C45" s="96"/>
      <c r="D45" s="96"/>
      <c r="E45" s="96"/>
      <c r="F45" s="96"/>
      <c r="G45" s="96"/>
      <c r="H45" s="96"/>
      <c r="I45" s="96"/>
      <c r="J45" s="96"/>
    </row>
    <row r="46" spans="1:10">
      <c r="A46" s="96"/>
      <c r="B46" s="96"/>
      <c r="C46" s="96"/>
      <c r="D46" s="96"/>
      <c r="E46" s="96"/>
      <c r="F46" s="96"/>
      <c r="G46" s="96"/>
      <c r="H46" s="96"/>
      <c r="I46" s="96"/>
      <c r="J46" s="96"/>
    </row>
    <row r="47" spans="1:10">
      <c r="A47" s="96"/>
      <c r="B47" s="96"/>
      <c r="C47" s="96"/>
      <c r="D47" s="96"/>
      <c r="E47" s="96"/>
      <c r="F47" s="96"/>
      <c r="G47" s="96"/>
      <c r="H47" s="96"/>
      <c r="I47" s="96"/>
      <c r="J47" s="96"/>
    </row>
    <row r="48" spans="1:10">
      <c r="A48" s="96"/>
      <c r="B48" s="96"/>
      <c r="C48" s="96"/>
      <c r="D48" s="96"/>
      <c r="E48" s="96"/>
      <c r="F48" s="96"/>
      <c r="G48" s="96"/>
      <c r="H48" s="96"/>
      <c r="I48" s="96"/>
      <c r="J48" s="96"/>
    </row>
    <row r="49" spans="1:10">
      <c r="A49" s="96"/>
      <c r="B49" s="96"/>
      <c r="C49" s="96"/>
      <c r="D49" s="96"/>
      <c r="E49" s="96"/>
      <c r="F49" s="96"/>
      <c r="G49" s="96"/>
      <c r="H49" s="96"/>
      <c r="I49" s="96"/>
      <c r="J49" s="96"/>
    </row>
    <row r="50" spans="1:10">
      <c r="A50" s="96"/>
      <c r="B50" s="96"/>
      <c r="C50" s="96"/>
      <c r="D50" s="96"/>
      <c r="E50" s="96"/>
      <c r="F50" s="96"/>
      <c r="G50" s="96"/>
      <c r="H50" s="96"/>
      <c r="I50" s="96"/>
      <c r="J50" s="96"/>
    </row>
    <row r="51" spans="1:10">
      <c r="A51" s="96"/>
      <c r="B51" s="96"/>
      <c r="C51" s="96"/>
      <c r="D51" s="96"/>
      <c r="E51" s="96"/>
      <c r="F51" s="96"/>
      <c r="G51" s="96"/>
      <c r="H51" s="96"/>
      <c r="I51" s="96"/>
      <c r="J51" s="96"/>
    </row>
    <row r="52" spans="1:10">
      <c r="A52" s="96"/>
      <c r="B52" s="96"/>
      <c r="C52" s="96"/>
      <c r="D52" s="96"/>
      <c r="E52" s="96"/>
      <c r="F52" s="96"/>
      <c r="G52" s="96"/>
      <c r="H52" s="96"/>
      <c r="I52" s="96"/>
      <c r="J52" s="96"/>
    </row>
    <row r="53" spans="1:10">
      <c r="A53" s="96"/>
      <c r="B53" s="96"/>
      <c r="C53" s="96"/>
      <c r="D53" s="96"/>
      <c r="E53" s="96"/>
      <c r="F53" s="96"/>
      <c r="G53" s="96"/>
      <c r="H53" s="96"/>
      <c r="I53" s="96"/>
      <c r="J53" s="96"/>
    </row>
    <row r="54" spans="1:10">
      <c r="A54" s="96"/>
      <c r="B54" s="96"/>
      <c r="C54" s="96"/>
      <c r="D54" s="96"/>
      <c r="E54" s="96"/>
      <c r="F54" s="96"/>
      <c r="G54" s="96"/>
      <c r="H54" s="96"/>
      <c r="I54" s="96"/>
      <c r="J54" s="96"/>
    </row>
    <row r="55" spans="1:10">
      <c r="A55" s="84" t="s">
        <v>331</v>
      </c>
      <c r="B55" s="91"/>
      <c r="C55" s="96"/>
      <c r="D55" s="96"/>
      <c r="E55" s="96"/>
      <c r="F55" s="96"/>
      <c r="G55" s="96"/>
      <c r="H55" s="96"/>
      <c r="I55" s="96"/>
      <c r="J55" s="96"/>
    </row>
    <row r="56" spans="1:10">
      <c r="A56" s="91" t="s">
        <v>332</v>
      </c>
      <c r="B56" s="85" t="s">
        <v>333</v>
      </c>
      <c r="C56" s="96"/>
      <c r="D56" s="96"/>
      <c r="E56" s="96"/>
      <c r="F56" s="96"/>
      <c r="G56" s="96"/>
      <c r="H56" s="96"/>
      <c r="I56" s="96"/>
      <c r="J56" s="96"/>
    </row>
    <row r="57" spans="1:10">
      <c r="A57" s="91" t="s">
        <v>334</v>
      </c>
      <c r="B57" s="86">
        <v>12.3</v>
      </c>
      <c r="C57" s="96"/>
      <c r="D57" s="96"/>
      <c r="E57" s="96"/>
      <c r="F57" s="96"/>
      <c r="G57" s="96"/>
      <c r="H57" s="96"/>
      <c r="I57" s="96"/>
      <c r="J57" s="96"/>
    </row>
    <row r="58" spans="1:10">
      <c r="A58" s="91" t="s">
        <v>335</v>
      </c>
      <c r="B58" s="87">
        <v>12.3</v>
      </c>
      <c r="C58" s="96"/>
      <c r="D58" s="96"/>
      <c r="E58" s="96"/>
      <c r="F58" s="96"/>
      <c r="G58" s="96"/>
      <c r="H58" s="96"/>
      <c r="I58" s="96"/>
      <c r="J58" s="96"/>
    </row>
    <row r="59" spans="1:10">
      <c r="A59" s="97" t="s">
        <v>336</v>
      </c>
      <c r="B59" s="88">
        <v>12.3</v>
      </c>
      <c r="C59" s="96"/>
      <c r="D59" s="96"/>
      <c r="E59" s="96"/>
      <c r="F59" s="96"/>
      <c r="G59" s="96"/>
      <c r="H59" s="96"/>
      <c r="I59" s="96"/>
      <c r="J59" s="96"/>
    </row>
    <row r="60" spans="1:10">
      <c r="A60" s="91" t="s">
        <v>337</v>
      </c>
      <c r="B60" s="89">
        <v>12.3</v>
      </c>
      <c r="C60" s="96"/>
      <c r="D60" s="96"/>
      <c r="E60" s="96"/>
      <c r="F60" s="96"/>
      <c r="G60" s="96"/>
      <c r="H60" s="96"/>
      <c r="I60" s="96"/>
      <c r="J60" s="96"/>
    </row>
    <row r="61" spans="1:10">
      <c r="A61" s="91" t="s">
        <v>338</v>
      </c>
      <c r="B61" s="90">
        <v>12.3</v>
      </c>
      <c r="C61" s="96"/>
      <c r="D61" s="96"/>
      <c r="E61" s="96"/>
      <c r="F61" s="96"/>
      <c r="G61" s="96"/>
      <c r="H61" s="96"/>
      <c r="I61" s="96"/>
      <c r="J61" s="96"/>
    </row>
    <row r="62" spans="1:10">
      <c r="A62" s="91" t="s">
        <v>339</v>
      </c>
      <c r="B62" s="92">
        <v>12.3</v>
      </c>
      <c r="C62" s="96"/>
      <c r="D62" s="96"/>
      <c r="E62" s="96"/>
      <c r="F62" s="96"/>
      <c r="G62" s="96"/>
      <c r="H62" s="96"/>
      <c r="I62" s="96"/>
      <c r="J62" s="96"/>
    </row>
    <row r="63" spans="1:10">
      <c r="A63" s="91" t="s">
        <v>340</v>
      </c>
      <c r="B63" s="93"/>
      <c r="C63" s="96"/>
      <c r="D63" s="96"/>
      <c r="E63" s="96"/>
      <c r="F63" s="96"/>
      <c r="G63" s="96"/>
      <c r="H63" s="96"/>
      <c r="I63" s="96"/>
      <c r="J63" s="96"/>
    </row>
    <row r="64" spans="1:10">
      <c r="A64" s="96"/>
      <c r="B64" s="96"/>
      <c r="C64" s="96"/>
      <c r="D64" s="96"/>
      <c r="E64" s="96"/>
      <c r="F64" s="96"/>
      <c r="G64" s="96"/>
      <c r="H64" s="96"/>
      <c r="I64" s="96"/>
      <c r="J64" s="96"/>
    </row>
    <row r="65" spans="1:10">
      <c r="A65" s="96"/>
      <c r="B65" s="96"/>
      <c r="C65" s="96"/>
      <c r="D65" s="96"/>
      <c r="E65" s="96"/>
      <c r="F65" s="96"/>
      <c r="G65" s="96"/>
      <c r="H65" s="96"/>
      <c r="I65" s="96"/>
      <c r="J65" s="96"/>
    </row>
    <row r="66" spans="1:10">
      <c r="A66" s="96"/>
      <c r="B66" s="96"/>
      <c r="C66" s="96"/>
      <c r="D66" s="96"/>
      <c r="E66" s="96"/>
      <c r="F66" s="96"/>
      <c r="G66" s="96"/>
      <c r="H66" s="96"/>
      <c r="I66" s="96"/>
      <c r="J66" s="96"/>
    </row>
    <row r="67" spans="1:10">
      <c r="A67" s="96"/>
      <c r="B67" s="96"/>
      <c r="C67" s="96"/>
      <c r="D67" s="96"/>
      <c r="E67" s="96"/>
      <c r="F67" s="96"/>
      <c r="G67" s="96"/>
      <c r="H67" s="96"/>
      <c r="I67" s="96"/>
      <c r="J67" s="96"/>
    </row>
  </sheetData>
  <mergeCells count="1">
    <mergeCell ref="A1:G1"/>
  </mergeCells>
  <pageMargins left="0.7" right="0.7" top="0.75" bottom="0.75" header="0.3" footer="0.3"/>
  <pageSetup scale="7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B17"/>
  <sheetViews>
    <sheetView workbookViewId="0"/>
  </sheetViews>
  <sheetFormatPr defaultRowHeight="12.75"/>
  <cols>
    <col min="1" max="1" width="14" customWidth="1"/>
    <col min="2" max="2" width="62.625" customWidth="1"/>
  </cols>
  <sheetData>
    <row r="1" spans="1:2" ht="13.5" thickBot="1">
      <c r="A1" s="81" t="s">
        <v>246</v>
      </c>
    </row>
    <row r="2" spans="1:2" ht="13.5" thickBot="1">
      <c r="A2" s="76" t="s">
        <v>229</v>
      </c>
      <c r="B2" s="77" t="s">
        <v>288</v>
      </c>
    </row>
    <row r="3" spans="1:2" ht="51.75" thickBot="1">
      <c r="A3" s="78" t="str">
        <f>RIGHT('2_Delivery_Scenarios'!A11,11)</f>
        <v>OS.OD.JU.IN</v>
      </c>
      <c r="B3" s="80" t="str">
        <f>IFERROR(VLOOKUP(A3,$A$5:$B$17,2,FALSE),"NOT VALID SCENARIO")</f>
        <v>Funding is increased, but remains below the company’s outturn expenditure. This is because justified over-delivery is funded, but companies will incur excess expenditure caused by an increase in their UCR at outturn.</v>
      </c>
    </row>
    <row r="4" spans="1:2" ht="13.5" thickBot="1"/>
    <row r="5" spans="1:2" ht="13.5" thickBot="1">
      <c r="A5" s="76" t="s">
        <v>229</v>
      </c>
      <c r="B5" s="77" t="s">
        <v>288</v>
      </c>
    </row>
    <row r="6" spans="1:2" ht="39" thickBot="1">
      <c r="A6" s="78" t="s">
        <v>289</v>
      </c>
      <c r="B6" s="80" t="s">
        <v>290</v>
      </c>
    </row>
    <row r="7" spans="1:2" ht="51.75" thickBot="1">
      <c r="A7" s="78" t="s">
        <v>291</v>
      </c>
      <c r="B7" s="80" t="s">
        <v>292</v>
      </c>
    </row>
    <row r="8" spans="1:2" ht="39" thickBot="1">
      <c r="A8" s="78" t="s">
        <v>293</v>
      </c>
      <c r="B8" s="80" t="s">
        <v>294</v>
      </c>
    </row>
    <row r="9" spans="1:2" ht="39" thickBot="1">
      <c r="A9" s="78" t="s">
        <v>295</v>
      </c>
      <c r="B9" s="80" t="s">
        <v>296</v>
      </c>
    </row>
    <row r="10" spans="1:2" ht="39" thickBot="1">
      <c r="A10" s="78" t="s">
        <v>297</v>
      </c>
      <c r="B10" s="80" t="s">
        <v>298</v>
      </c>
    </row>
    <row r="11" spans="1:2" ht="39" thickBot="1">
      <c r="A11" s="78" t="s">
        <v>299</v>
      </c>
      <c r="B11" s="80" t="s">
        <v>300</v>
      </c>
    </row>
    <row r="12" spans="1:2" ht="64.5" thickBot="1">
      <c r="A12" s="78" t="s">
        <v>301</v>
      </c>
      <c r="B12" s="80" t="s">
        <v>302</v>
      </c>
    </row>
    <row r="13" spans="1:2" ht="64.5" thickBot="1">
      <c r="A13" s="78" t="s">
        <v>303</v>
      </c>
      <c r="B13" s="79" t="s">
        <v>304</v>
      </c>
    </row>
    <row r="14" spans="1:2" ht="64.5" thickBot="1">
      <c r="A14" s="78" t="s">
        <v>305</v>
      </c>
      <c r="B14" s="79" t="s">
        <v>306</v>
      </c>
    </row>
    <row r="15" spans="1:2" ht="64.5" thickBot="1">
      <c r="A15" s="78" t="s">
        <v>307</v>
      </c>
      <c r="B15" s="79" t="s">
        <v>308</v>
      </c>
    </row>
    <row r="16" spans="1:2" ht="64.5" thickBot="1">
      <c r="A16" s="78" t="s">
        <v>309</v>
      </c>
      <c r="B16" s="79" t="s">
        <v>310</v>
      </c>
    </row>
    <row r="17" spans="1:2" ht="39" thickBot="1">
      <c r="A17" s="78" t="s">
        <v>311</v>
      </c>
      <c r="B17" s="79" t="s">
        <v>312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7030A0"/>
  </sheetPr>
  <dimension ref="A1:V82"/>
  <sheetViews>
    <sheetView showGridLines="0" workbookViewId="0"/>
  </sheetViews>
  <sheetFormatPr defaultColWidth="9" defaultRowHeight="15"/>
  <cols>
    <col min="1" max="1" width="9" style="64"/>
    <col min="2" max="2" width="15.875" style="64" customWidth="1"/>
    <col min="3" max="9" width="9" style="64"/>
    <col min="10" max="10" width="6" style="64" customWidth="1"/>
    <col min="11" max="11" width="9" style="64"/>
    <col min="12" max="12" width="9" style="64" customWidth="1"/>
    <col min="13" max="16384" width="9" style="64"/>
  </cols>
  <sheetData>
    <row r="1" spans="1:22" s="4" customFormat="1" ht="24.75">
      <c r="A1" s="1" t="s">
        <v>283</v>
      </c>
      <c r="B1" s="2"/>
      <c r="C1" s="2"/>
      <c r="D1" s="2"/>
      <c r="E1" s="2"/>
      <c r="F1" s="3"/>
      <c r="G1" s="2"/>
      <c r="H1" s="2"/>
      <c r="I1" s="2"/>
      <c r="J1" s="2"/>
      <c r="K1" s="2"/>
      <c r="L1" s="2"/>
      <c r="M1" s="2"/>
      <c r="N1" s="2"/>
      <c r="O1" s="2"/>
      <c r="P1" s="2"/>
      <c r="Q1" s="2"/>
      <c r="R1" s="2"/>
      <c r="S1" s="2"/>
      <c r="T1" s="2"/>
      <c r="U1" s="2"/>
      <c r="V1" s="2"/>
    </row>
    <row r="2" spans="1:22" s="7" customFormat="1">
      <c r="A2" s="5" t="str">
        <f ca="1">IFERROR("Sheet: " &amp;VLOOKUP(RIGHT(CELL("filename",A1),LEN(CELL("filename",A1))-FIND("]",CELL("filename",A1))),Contents!$A$10:$B$29,2,FALSE),"Sheet name does not match Contents sheet")</f>
        <v>Sheet: Example of non-intervention adjustment</v>
      </c>
      <c r="B2" s="6"/>
      <c r="C2" s="6"/>
      <c r="D2" s="6"/>
      <c r="E2" s="6"/>
      <c r="F2" s="5"/>
      <c r="G2" s="6"/>
      <c r="H2" s="6"/>
      <c r="I2" s="6"/>
      <c r="J2" s="6"/>
      <c r="K2" s="6"/>
      <c r="L2" s="6"/>
      <c r="M2" s="6"/>
      <c r="N2" s="6"/>
      <c r="O2" s="6"/>
      <c r="P2" s="6"/>
      <c r="Q2" s="6"/>
      <c r="R2" s="6"/>
      <c r="S2" s="6"/>
      <c r="T2" s="6"/>
      <c r="U2" s="6"/>
      <c r="V2" s="6"/>
    </row>
    <row r="3" spans="1:22" s="7" customFormat="1">
      <c r="A3" s="5"/>
      <c r="B3" s="6"/>
      <c r="C3" s="6"/>
      <c r="D3" s="6"/>
      <c r="E3" s="6"/>
      <c r="F3" s="6"/>
      <c r="G3" s="6"/>
      <c r="H3" s="6"/>
      <c r="I3" s="6"/>
      <c r="J3" s="6"/>
      <c r="K3" s="6"/>
      <c r="L3" s="6"/>
      <c r="M3" s="6"/>
      <c r="N3" s="6"/>
      <c r="O3" s="6"/>
      <c r="P3" s="6"/>
      <c r="Q3" s="6"/>
      <c r="R3" s="6"/>
      <c r="S3" s="6"/>
      <c r="T3" s="6"/>
      <c r="U3" s="6"/>
      <c r="V3" s="6"/>
    </row>
    <row r="4" spans="1:22" s="7" customFormat="1">
      <c r="A4" s="5"/>
      <c r="B4" s="6"/>
      <c r="C4" s="6"/>
      <c r="D4" s="6"/>
      <c r="E4" s="6"/>
      <c r="F4" s="6"/>
      <c r="G4" s="6"/>
      <c r="H4" s="6"/>
      <c r="I4" s="6"/>
      <c r="J4" s="6"/>
      <c r="K4" s="6"/>
      <c r="L4" s="6"/>
      <c r="M4" s="6"/>
      <c r="N4" s="6"/>
      <c r="O4" s="6"/>
      <c r="P4" s="6"/>
      <c r="Q4" s="6"/>
      <c r="R4" s="6"/>
      <c r="S4" s="6"/>
      <c r="T4" s="6"/>
      <c r="U4" s="6"/>
      <c r="V4" s="6"/>
    </row>
    <row r="5" spans="1:22" s="7" customFormat="1">
      <c r="A5" s="5"/>
      <c r="B5" s="6"/>
      <c r="C5" s="6"/>
      <c r="D5" s="6"/>
      <c r="E5" s="6"/>
      <c r="F5" s="6"/>
      <c r="G5" s="6"/>
      <c r="H5" s="6"/>
      <c r="I5" s="6"/>
      <c r="J5" s="6"/>
      <c r="K5" s="6"/>
      <c r="L5" s="6"/>
      <c r="M5" s="6"/>
      <c r="N5" s="6"/>
      <c r="O5" s="6"/>
      <c r="P5" s="6"/>
      <c r="Q5" s="6"/>
      <c r="R5" s="6"/>
      <c r="S5" s="6"/>
      <c r="T5" s="6"/>
      <c r="U5" s="6"/>
      <c r="V5" s="6"/>
    </row>
    <row r="6" spans="1:22" s="7" customFormat="1">
      <c r="A6" s="5"/>
      <c r="B6" s="6"/>
      <c r="C6" s="6"/>
      <c r="D6" s="6"/>
      <c r="E6" s="6"/>
      <c r="F6" s="6"/>
      <c r="G6" s="6"/>
      <c r="H6" s="6"/>
      <c r="I6" s="6"/>
      <c r="J6" s="6"/>
      <c r="K6" s="6"/>
      <c r="L6" s="6"/>
      <c r="M6" s="6"/>
      <c r="N6" s="6"/>
      <c r="O6" s="6"/>
      <c r="P6" s="6"/>
      <c r="Q6" s="6"/>
      <c r="R6" s="6"/>
      <c r="S6" s="6"/>
      <c r="T6" s="6"/>
      <c r="U6" s="6"/>
      <c r="V6" s="6"/>
    </row>
    <row r="7" spans="1:22" s="9" customFormat="1" ht="12.75"/>
    <row r="8" spans="1:22" s="9" customFormat="1" ht="19.5">
      <c r="A8" s="8" t="str">
        <f ca="1">IFERROR(VLOOKUP(RIGHT(CELL("filename",A1),LEN(CELL("filename",A1))-FIND("]",CELL("filename",A1))),Contents!$A$10:$B$29,2,FALSE), "Sheet name does not match Contents sheet")</f>
        <v>Example of non-intervention adjustment</v>
      </c>
    </row>
    <row r="9" spans="1:22" s="9" customFormat="1" ht="19.5">
      <c r="A9" s="8"/>
    </row>
    <row r="10" spans="1:22" s="9" customFormat="1" ht="12.75">
      <c r="A10" s="20" t="s">
        <v>38</v>
      </c>
      <c r="B10" s="21"/>
      <c r="C10" s="21"/>
      <c r="D10" s="21"/>
      <c r="E10" s="21"/>
      <c r="F10" s="21"/>
      <c r="G10" s="21"/>
      <c r="H10" s="21"/>
      <c r="I10" s="21"/>
      <c r="J10" s="21"/>
      <c r="K10" s="21"/>
      <c r="L10" s="21"/>
      <c r="M10" s="21"/>
      <c r="N10" s="21"/>
      <c r="O10" s="21"/>
      <c r="P10" s="21"/>
      <c r="Q10" s="21"/>
      <c r="R10" s="21"/>
      <c r="S10" s="21"/>
      <c r="T10" s="21"/>
      <c r="U10" s="21"/>
      <c r="V10" s="21"/>
    </row>
    <row r="11" spans="1:22" s="9" customFormat="1" ht="19.5">
      <c r="A11" s="8"/>
    </row>
    <row r="12" spans="1:22" s="9" customFormat="1" ht="19.5">
      <c r="A12" s="8"/>
    </row>
    <row r="13" spans="1:22" s="9" customFormat="1" ht="19.5">
      <c r="A13" s="8"/>
    </row>
    <row r="14" spans="1:22" s="9" customFormat="1" ht="19.5">
      <c r="A14" s="8"/>
    </row>
    <row r="15" spans="1:22" s="9" customFormat="1" ht="19.5">
      <c r="A15" s="8"/>
    </row>
    <row r="16" spans="1:22" s="9" customFormat="1" ht="19.5">
      <c r="A16" s="8"/>
    </row>
    <row r="17" spans="1:22" s="9" customFormat="1" ht="19.5">
      <c r="A17" s="8"/>
    </row>
    <row r="18" spans="1:22" s="9" customFormat="1" ht="19.5">
      <c r="A18" s="8"/>
    </row>
    <row r="19" spans="1:22" s="9" customFormat="1" ht="19.5">
      <c r="A19" s="8"/>
    </row>
    <row r="20" spans="1:22" s="9" customFormat="1" ht="19.5">
      <c r="A20" s="8"/>
    </row>
    <row r="21" spans="1:22" s="9" customFormat="1" ht="19.5">
      <c r="A21" s="8"/>
    </row>
    <row r="22" spans="1:22" s="9" customFormat="1" ht="19.5">
      <c r="A22" s="8"/>
    </row>
    <row r="23" spans="1:22" s="9" customFormat="1" ht="19.5">
      <c r="A23" s="8"/>
    </row>
    <row r="24" spans="1:22" s="9" customFormat="1" ht="19.5">
      <c r="A24" s="8"/>
    </row>
    <row r="25" spans="1:22" s="9" customFormat="1" ht="12.75">
      <c r="A25" s="20" t="s">
        <v>318</v>
      </c>
      <c r="B25" s="21"/>
      <c r="C25" s="21"/>
      <c r="D25" s="21"/>
      <c r="E25" s="21"/>
      <c r="F25" s="21"/>
      <c r="G25" s="21"/>
      <c r="H25" s="21"/>
      <c r="I25" s="21"/>
      <c r="J25" s="21"/>
      <c r="K25" s="21"/>
      <c r="L25" s="21"/>
      <c r="M25" s="21"/>
      <c r="N25" s="21"/>
      <c r="O25" s="21"/>
      <c r="P25" s="21"/>
      <c r="Q25" s="21"/>
      <c r="R25" s="21"/>
      <c r="S25" s="21"/>
      <c r="T25" s="21"/>
      <c r="U25" s="21"/>
      <c r="V25" s="21"/>
    </row>
    <row r="28" spans="1:22">
      <c r="K28" s="67" t="s">
        <v>265</v>
      </c>
      <c r="L28" s="67"/>
    </row>
    <row r="29" spans="1:22">
      <c r="M29" s="66" t="s">
        <v>253</v>
      </c>
    </row>
    <row r="30" spans="1:22">
      <c r="K30" s="117" t="s">
        <v>264</v>
      </c>
      <c r="L30" s="117"/>
      <c r="M30" s="64">
        <f>V61</f>
        <v>5.7813786680286565</v>
      </c>
    </row>
    <row r="31" spans="1:22">
      <c r="K31" s="117" t="s">
        <v>261</v>
      </c>
      <c r="L31" s="117"/>
      <c r="M31" s="64">
        <f>V82</f>
        <v>5.9286799378894397</v>
      </c>
    </row>
    <row r="32" spans="1:22">
      <c r="K32" s="117" t="s">
        <v>263</v>
      </c>
      <c r="L32" s="117"/>
      <c r="M32" s="64">
        <f>M30-M31</f>
        <v>-0.14730126986078318</v>
      </c>
    </row>
    <row r="42" spans="1:22">
      <c r="A42" s="117" t="s">
        <v>262</v>
      </c>
      <c r="B42" s="117"/>
    </row>
    <row r="44" spans="1:22">
      <c r="A44" s="117" t="s">
        <v>260</v>
      </c>
      <c r="B44" s="117"/>
    </row>
    <row r="45" spans="1:22">
      <c r="B45" s="66" t="s">
        <v>258</v>
      </c>
      <c r="C45" s="66">
        <v>2022</v>
      </c>
      <c r="D45" s="66">
        <f t="shared" ref="D45:U45" si="0">C45+1</f>
        <v>2023</v>
      </c>
      <c r="E45" s="66">
        <f t="shared" si="0"/>
        <v>2024</v>
      </c>
      <c r="F45" s="66">
        <f t="shared" si="0"/>
        <v>2025</v>
      </c>
      <c r="G45" s="66">
        <f t="shared" si="0"/>
        <v>2026</v>
      </c>
      <c r="H45" s="66">
        <f t="shared" si="0"/>
        <v>2027</v>
      </c>
      <c r="I45" s="66">
        <f t="shared" si="0"/>
        <v>2028</v>
      </c>
      <c r="J45" s="66">
        <f t="shared" si="0"/>
        <v>2029</v>
      </c>
      <c r="K45" s="66">
        <f t="shared" si="0"/>
        <v>2030</v>
      </c>
      <c r="L45" s="66">
        <f t="shared" si="0"/>
        <v>2031</v>
      </c>
      <c r="M45" s="66">
        <f t="shared" si="0"/>
        <v>2032</v>
      </c>
      <c r="N45" s="66">
        <f t="shared" si="0"/>
        <v>2033</v>
      </c>
      <c r="O45" s="66">
        <f t="shared" si="0"/>
        <v>2034</v>
      </c>
      <c r="P45" s="66">
        <f t="shared" si="0"/>
        <v>2035</v>
      </c>
      <c r="Q45" s="66">
        <f t="shared" si="0"/>
        <v>2036</v>
      </c>
      <c r="R45" s="66">
        <f t="shared" si="0"/>
        <v>2037</v>
      </c>
      <c r="S45" s="66">
        <f t="shared" si="0"/>
        <v>2038</v>
      </c>
      <c r="T45" s="66">
        <f t="shared" si="0"/>
        <v>2039</v>
      </c>
      <c r="U45" s="66">
        <f t="shared" si="0"/>
        <v>2040</v>
      </c>
      <c r="V45" s="66"/>
    </row>
    <row r="46" spans="1:22">
      <c r="B46" s="66" t="s">
        <v>257</v>
      </c>
      <c r="C46" s="64">
        <v>0.19363761799723228</v>
      </c>
      <c r="D46" s="64">
        <v>0.22398499765103125</v>
      </c>
      <c r="E46" s="64">
        <v>0.25933694764905302</v>
      </c>
      <c r="F46" s="64">
        <v>0.30054093639240098</v>
      </c>
      <c r="G46" s="64">
        <v>0.34859027043172802</v>
      </c>
      <c r="H46" s="64">
        <v>0.40464944786084223</v>
      </c>
      <c r="I46" s="64">
        <v>0.47008394831638628</v>
      </c>
      <c r="J46" s="64">
        <v>0.54649523926988752</v>
      </c>
      <c r="K46" s="64">
        <v>0.63576191570210638</v>
      </c>
      <c r="L46" s="64">
        <v>0.74008805191180149</v>
      </c>
      <c r="M46" s="64">
        <v>0.80638639260198464</v>
      </c>
      <c r="N46" s="64">
        <v>0.80638639260198464</v>
      </c>
      <c r="O46" s="64">
        <v>0.80638639260198464</v>
      </c>
      <c r="P46" s="64">
        <v>0.80638639260198464</v>
      </c>
      <c r="Q46" s="64">
        <v>0.80638639260198464</v>
      </c>
      <c r="R46" s="64">
        <v>0.80638639260198464</v>
      </c>
      <c r="S46" s="64">
        <v>0.80638639260198464</v>
      </c>
      <c r="T46" s="64">
        <v>0.80638639260198464</v>
      </c>
      <c r="U46" s="64">
        <v>0.80638639260198464</v>
      </c>
    </row>
    <row r="47" spans="1:22">
      <c r="B47" s="66" t="s">
        <v>256</v>
      </c>
      <c r="C47" s="64">
        <v>3.5016089891353715E-3</v>
      </c>
      <c r="D47" s="64">
        <v>4.0503900498173161E-3</v>
      </c>
      <c r="E47" s="64">
        <v>4.689670305259761E-3</v>
      </c>
      <c r="F47" s="64">
        <v>5.4347747889040609E-3</v>
      </c>
      <c r="G47" s="64">
        <v>6.3036657705958553E-3</v>
      </c>
      <c r="H47" s="64">
        <v>7.3174012298500932E-3</v>
      </c>
      <c r="I47" s="64">
        <v>8.5006735576370965E-3</v>
      </c>
      <c r="J47" s="64">
        <v>9.8824425859983262E-3</v>
      </c>
      <c r="K47" s="64">
        <v>1.1496679529512907E-2</v>
      </c>
      <c r="L47" s="64">
        <v>1.3383241346023429E-2</v>
      </c>
      <c r="M47" s="64">
        <v>1.4582134764185717E-2</v>
      </c>
      <c r="N47" s="64">
        <v>1.4582134764185717E-2</v>
      </c>
      <c r="O47" s="64">
        <v>1.4582134764185717E-2</v>
      </c>
      <c r="P47" s="64">
        <v>1.4582134764185717E-2</v>
      </c>
      <c r="Q47" s="64">
        <v>1.4582134764185717E-2</v>
      </c>
      <c r="R47" s="64">
        <v>1.4582134764185717E-2</v>
      </c>
      <c r="S47" s="64">
        <v>1.4582134764185717E-2</v>
      </c>
      <c r="T47" s="64">
        <v>1.4582134764185717E-2</v>
      </c>
      <c r="U47" s="64">
        <v>1.4582134764185717E-2</v>
      </c>
    </row>
    <row r="48" spans="1:22">
      <c r="B48" s="66" t="s">
        <v>255</v>
      </c>
      <c r="C48" s="64">
        <v>1</v>
      </c>
      <c r="D48" s="64">
        <f t="shared" ref="D48:U48" si="1">(1-C47)*C48</f>
        <v>0.99649839101086468</v>
      </c>
      <c r="E48" s="64">
        <f t="shared" si="1"/>
        <v>0.99246218384325524</v>
      </c>
      <c r="F48" s="64">
        <f t="shared" si="1"/>
        <v>0.98780786341059224</v>
      </c>
      <c r="G48" s="64">
        <f t="shared" si="1"/>
        <v>0.98243935013824712</v>
      </c>
      <c r="H48" s="64">
        <f t="shared" si="1"/>
        <v>0.9762463808350943</v>
      </c>
      <c r="I48" s="64">
        <f t="shared" si="1"/>
        <v>0.96910279436733482</v>
      </c>
      <c r="J48" s="64">
        <f t="shared" si="1"/>
        <v>0.96086476786862418</v>
      </c>
      <c r="K48" s="64">
        <f t="shared" si="1"/>
        <v>0.95136907696725381</v>
      </c>
      <c r="L48" s="64">
        <f t="shared" si="1"/>
        <v>0.94043149157507278</v>
      </c>
      <c r="M48" s="64">
        <f t="shared" si="1"/>
        <v>0.92784546995392281</v>
      </c>
      <c r="N48" s="64">
        <f t="shared" si="1"/>
        <v>0.91431550227071545</v>
      </c>
      <c r="O48" s="64">
        <f t="shared" si="1"/>
        <v>0.90098283039961979</v>
      </c>
      <c r="P48" s="64">
        <f t="shared" si="1"/>
        <v>0.88784457734651512</v>
      </c>
      <c r="Q48" s="64">
        <f t="shared" si="1"/>
        <v>0.87489790806999679</v>
      </c>
      <c r="R48" s="64">
        <f t="shared" si="1"/>
        <v>0.86214002886961594</v>
      </c>
      <c r="S48" s="64">
        <f t="shared" si="1"/>
        <v>0.84956818678304025</v>
      </c>
      <c r="T48" s="64">
        <f t="shared" si="1"/>
        <v>0.83717966899200513</v>
      </c>
      <c r="U48" s="64">
        <f t="shared" si="1"/>
        <v>0.82497180223692734</v>
      </c>
    </row>
    <row r="49" spans="1:22">
      <c r="B49" s="66" t="s">
        <v>254</v>
      </c>
      <c r="C49" s="64">
        <f t="shared" ref="C49:U49" si="2">C48*C46</f>
        <v>0.19363761799723228</v>
      </c>
      <c r="D49" s="64">
        <f t="shared" si="2"/>
        <v>0.22320068976982493</v>
      </c>
      <c r="E49" s="64">
        <f t="shared" si="2"/>
        <v>0.25738211341502309</v>
      </c>
      <c r="F49" s="64">
        <f t="shared" si="2"/>
        <v>0.2968767002451963</v>
      </c>
      <c r="G49" s="64">
        <f t="shared" si="2"/>
        <v>0.34246879874746272</v>
      </c>
      <c r="H49" s="64">
        <f t="shared" si="2"/>
        <v>0.39503755898106641</v>
      </c>
      <c r="I49" s="64">
        <f t="shared" si="2"/>
        <v>0.45555966790063973</v>
      </c>
      <c r="J49" s="64">
        <f t="shared" si="2"/>
        <v>0.52510802122236866</v>
      </c>
      <c r="K49" s="64">
        <f t="shared" si="2"/>
        <v>0.60484422691244599</v>
      </c>
      <c r="L49" s="64">
        <f t="shared" si="2"/>
        <v>0.69600211055630534</v>
      </c>
      <c r="M49" s="64">
        <f t="shared" si="2"/>
        <v>0.74820196140823692</v>
      </c>
      <c r="N49" s="64">
        <f t="shared" si="2"/>
        <v>0.73729157957615388</v>
      </c>
      <c r="O49" s="64">
        <f t="shared" si="2"/>
        <v>0.72654029440227519</v>
      </c>
      <c r="P49" s="64">
        <f t="shared" si="2"/>
        <v>0.71594578591769009</v>
      </c>
      <c r="Q49" s="64">
        <f t="shared" si="2"/>
        <v>0.70550576798358744</v>
      </c>
      <c r="R49" s="64">
        <f t="shared" si="2"/>
        <v>0.69521798779794053</v>
      </c>
      <c r="S49" s="64">
        <f t="shared" si="2"/>
        <v>0.68508022540938496</v>
      </c>
      <c r="T49" s="64">
        <f t="shared" si="2"/>
        <v>0.67509029323818659</v>
      </c>
      <c r="U49" s="64">
        <f t="shared" si="2"/>
        <v>0.66524603560419371</v>
      </c>
    </row>
    <row r="51" spans="1:22">
      <c r="A51" s="117" t="s">
        <v>259</v>
      </c>
      <c r="B51" s="117"/>
    </row>
    <row r="52" spans="1:22">
      <c r="B52" s="66" t="s">
        <v>258</v>
      </c>
      <c r="C52" s="66">
        <v>2022</v>
      </c>
      <c r="D52" s="66">
        <f t="shared" ref="D52:U52" si="3">C52+1</f>
        <v>2023</v>
      </c>
      <c r="E52" s="66">
        <f t="shared" si="3"/>
        <v>2024</v>
      </c>
      <c r="F52" s="66">
        <f t="shared" si="3"/>
        <v>2025</v>
      </c>
      <c r="G52" s="66">
        <f t="shared" si="3"/>
        <v>2026</v>
      </c>
      <c r="H52" s="66">
        <f t="shared" si="3"/>
        <v>2027</v>
      </c>
      <c r="I52" s="66">
        <f t="shared" si="3"/>
        <v>2028</v>
      </c>
      <c r="J52" s="66">
        <f t="shared" si="3"/>
        <v>2029</v>
      </c>
      <c r="K52" s="66">
        <f t="shared" si="3"/>
        <v>2030</v>
      </c>
      <c r="L52" s="66">
        <f t="shared" si="3"/>
        <v>2031</v>
      </c>
      <c r="M52" s="66">
        <f t="shared" si="3"/>
        <v>2032</v>
      </c>
      <c r="N52" s="66">
        <f t="shared" si="3"/>
        <v>2033</v>
      </c>
      <c r="O52" s="66">
        <f t="shared" si="3"/>
        <v>2034</v>
      </c>
      <c r="P52" s="66">
        <f t="shared" si="3"/>
        <v>2035</v>
      </c>
      <c r="Q52" s="66">
        <f t="shared" si="3"/>
        <v>2036</v>
      </c>
      <c r="R52" s="66">
        <f t="shared" si="3"/>
        <v>2037</v>
      </c>
      <c r="S52" s="66">
        <f t="shared" si="3"/>
        <v>2038</v>
      </c>
      <c r="T52" s="66">
        <f t="shared" si="3"/>
        <v>2039</v>
      </c>
      <c r="U52" s="66">
        <f t="shared" si="3"/>
        <v>2040</v>
      </c>
      <c r="V52" s="66"/>
    </row>
    <row r="53" spans="1:22">
      <c r="B53" s="66" t="s">
        <v>257</v>
      </c>
      <c r="C53" s="64">
        <v>0.19363761799723228</v>
      </c>
      <c r="D53" s="64">
        <v>0.22398499765103125</v>
      </c>
      <c r="E53" s="64">
        <v>0.25933694764905302</v>
      </c>
      <c r="F53" s="64">
        <v>0.30054093639240098</v>
      </c>
      <c r="G53" s="64">
        <v>0.34859027043172802</v>
      </c>
      <c r="H53" s="64">
        <v>5.5870471919994003E-2</v>
      </c>
      <c r="I53" s="64">
        <v>6.1512898923170398E-2</v>
      </c>
      <c r="J53" s="64">
        <v>6.7779383399455925E-2</v>
      </c>
      <c r="K53" s="64">
        <v>7.4741957008230955E-2</v>
      </c>
      <c r="L53" s="64">
        <v>8.2481181615680257E-2</v>
      </c>
      <c r="M53" s="64">
        <v>9.1087175903491732E-2</v>
      </c>
      <c r="N53" s="64">
        <v>0.10066076682820625</v>
      </c>
      <c r="O53" s="64">
        <v>0.11131478122018848</v>
      </c>
      <c r="P53" s="64">
        <v>0.12317549469133889</v>
      </c>
      <c r="Q53" s="64">
        <v>0.13638425713333316</v>
      </c>
      <c r="R53" s="64">
        <v>0.15109931646155397</v>
      </c>
      <c r="S53" s="64">
        <v>0.16749786492620822</v>
      </c>
      <c r="T53" s="64">
        <v>0.18577833530762283</v>
      </c>
      <c r="U53" s="64">
        <v>0.20616297767809244</v>
      </c>
    </row>
    <row r="54" spans="1:22">
      <c r="B54" s="66" t="s">
        <v>256</v>
      </c>
      <c r="C54" s="64">
        <v>3.5016089891353715E-3</v>
      </c>
      <c r="D54" s="64">
        <v>4.0503900498173161E-3</v>
      </c>
      <c r="E54" s="64">
        <v>4.689670305259761E-3</v>
      </c>
      <c r="F54" s="64">
        <v>5.4347747889040609E-3</v>
      </c>
      <c r="G54" s="64">
        <v>6.3036657705958553E-3</v>
      </c>
      <c r="H54" s="64">
        <v>1.0103230391255171E-3</v>
      </c>
      <c r="I54" s="64">
        <v>1.112356793297404E-3</v>
      </c>
      <c r="J54" s="64">
        <v>1.2256755719489382E-3</v>
      </c>
      <c r="K54" s="64">
        <v>1.3515819458661787E-3</v>
      </c>
      <c r="L54" s="64">
        <v>1.4915327402142558E-3</v>
      </c>
      <c r="M54" s="64">
        <v>1.6471575990114709E-3</v>
      </c>
      <c r="N54" s="64">
        <v>1.8202798073251691E-3</v>
      </c>
      <c r="O54" s="64">
        <v>2.0129396476557589E-3</v>
      </c>
      <c r="P54" s="64">
        <v>2.2274206009833966E-3</v>
      </c>
      <c r="Q54" s="64">
        <v>2.4662787411558391E-3</v>
      </c>
      <c r="R54" s="64">
        <v>2.7323757142145291E-3</v>
      </c>
      <c r="S54" s="64">
        <v>3.0289157424719828E-3</v>
      </c>
      <c r="T54" s="64">
        <v>3.3594871473221458E-3</v>
      </c>
      <c r="U54" s="64">
        <v>3.7281089456225481E-3</v>
      </c>
    </row>
    <row r="55" spans="1:22">
      <c r="B55" s="66" t="s">
        <v>255</v>
      </c>
      <c r="C55" s="64">
        <v>1</v>
      </c>
      <c r="D55" s="64">
        <f t="shared" ref="D55:U55" si="4">(1-C54)*C55</f>
        <v>0.99649839101086468</v>
      </c>
      <c r="E55" s="64">
        <f t="shared" si="4"/>
        <v>0.99246218384325524</v>
      </c>
      <c r="F55" s="64">
        <f t="shared" si="4"/>
        <v>0.98780786341059224</v>
      </c>
      <c r="G55" s="64">
        <f t="shared" si="4"/>
        <v>0.98243935013824712</v>
      </c>
      <c r="H55" s="64">
        <f t="shared" si="4"/>
        <v>0.9762463808350943</v>
      </c>
      <c r="I55" s="64">
        <f t="shared" si="4"/>
        <v>0.97526005662467374</v>
      </c>
      <c r="J55" s="64">
        <f t="shared" si="4"/>
        <v>0.97417521947545571</v>
      </c>
      <c r="K55" s="64">
        <f t="shared" si="4"/>
        <v>0.97298119670614658</v>
      </c>
      <c r="L55" s="64">
        <f t="shared" si="4"/>
        <v>0.97166613288701131</v>
      </c>
      <c r="M55" s="64">
        <f t="shared" si="4"/>
        <v>0.97021686103725291</v>
      </c>
      <c r="N55" s="64">
        <f t="shared" si="4"/>
        <v>0.96861876096190636</v>
      </c>
      <c r="O55" s="64">
        <f t="shared" si="4"/>
        <v>0.96685560379033109</v>
      </c>
      <c r="P55" s="64">
        <f t="shared" si="4"/>
        <v>0.96490938181190333</v>
      </c>
      <c r="Q55" s="64">
        <f t="shared" si="4"/>
        <v>0.96276012277677336</v>
      </c>
      <c r="R55" s="64">
        <f t="shared" si="4"/>
        <v>0.9603856879531365</v>
      </c>
      <c r="S55" s="64">
        <f t="shared" si="4"/>
        <v>0.95776155342309421</v>
      </c>
      <c r="T55" s="64">
        <f t="shared" si="4"/>
        <v>0.9548605743763966</v>
      </c>
      <c r="U55" s="64">
        <f t="shared" si="4"/>
        <v>0.9516527325492945</v>
      </c>
    </row>
    <row r="56" spans="1:22">
      <c r="B56" s="66" t="s">
        <v>254</v>
      </c>
      <c r="C56" s="64">
        <f t="shared" ref="C56:U56" si="5">C55*C53</f>
        <v>0.19363761799723228</v>
      </c>
      <c r="D56" s="64">
        <f t="shared" si="5"/>
        <v>0.22320068976982493</v>
      </c>
      <c r="E56" s="64">
        <f t="shared" si="5"/>
        <v>0.25738211341502309</v>
      </c>
      <c r="F56" s="64">
        <f t="shared" si="5"/>
        <v>0.2968767002451963</v>
      </c>
      <c r="G56" s="64">
        <f t="shared" si="5"/>
        <v>0.34246879874746272</v>
      </c>
      <c r="H56" s="64">
        <f t="shared" si="5"/>
        <v>5.4543346007442907E-2</v>
      </c>
      <c r="I56" s="64">
        <f t="shared" si="5"/>
        <v>5.9991073286958997E-2</v>
      </c>
      <c r="J56" s="64">
        <f t="shared" si="5"/>
        <v>6.602899569907604E-2</v>
      </c>
      <c r="K56" s="64">
        <f t="shared" si="5"/>
        <v>7.2722518774027911E-2</v>
      </c>
      <c r="L56" s="64">
        <f t="shared" si="5"/>
        <v>8.0144170776459286E-2</v>
      </c>
      <c r="M56" s="64">
        <f t="shared" si="5"/>
        <v>8.8374313885833847E-2</v>
      </c>
      <c r="N56" s="64">
        <f t="shared" si="5"/>
        <v>9.7501907242612498E-2</v>
      </c>
      <c r="O56" s="64">
        <f t="shared" si="5"/>
        <v>0.10762532000743394</v>
      </c>
      <c r="P56" s="64">
        <f t="shared" si="5"/>
        <v>0.11885319043699519</v>
      </c>
      <c r="Q56" s="64">
        <f t="shared" si="5"/>
        <v>0.13130532414250687</v>
      </c>
      <c r="R56" s="64">
        <f t="shared" si="5"/>
        <v>0.14511362098917818</v>
      </c>
      <c r="S56" s="64">
        <f t="shared" si="5"/>
        <v>0.1604230153067768</v>
      </c>
      <c r="T56" s="64">
        <f t="shared" si="5"/>
        <v>0.17739240795852754</v>
      </c>
      <c r="U56" s="64">
        <f t="shared" si="5"/>
        <v>0.19619556105785588</v>
      </c>
    </row>
    <row r="58" spans="1:22">
      <c r="A58" s="117" t="s">
        <v>253</v>
      </c>
      <c r="B58" s="117"/>
    </row>
    <row r="59" spans="1:22">
      <c r="B59" s="65" t="s">
        <v>258</v>
      </c>
      <c r="C59" s="66">
        <v>2022</v>
      </c>
      <c r="D59" s="66">
        <f t="shared" ref="D59:U59" si="6">C59+1</f>
        <v>2023</v>
      </c>
      <c r="E59" s="66">
        <f t="shared" si="6"/>
        <v>2024</v>
      </c>
      <c r="F59" s="66">
        <f t="shared" si="6"/>
        <v>2025</v>
      </c>
      <c r="G59" s="66">
        <f t="shared" si="6"/>
        <v>2026</v>
      </c>
      <c r="H59" s="66">
        <f t="shared" si="6"/>
        <v>2027</v>
      </c>
      <c r="I59" s="66">
        <f t="shared" si="6"/>
        <v>2028</v>
      </c>
      <c r="J59" s="66">
        <f t="shared" si="6"/>
        <v>2029</v>
      </c>
      <c r="K59" s="66">
        <f t="shared" si="6"/>
        <v>2030</v>
      </c>
      <c r="L59" s="66">
        <f t="shared" si="6"/>
        <v>2031</v>
      </c>
      <c r="M59" s="66">
        <f t="shared" si="6"/>
        <v>2032</v>
      </c>
      <c r="N59" s="66">
        <f t="shared" si="6"/>
        <v>2033</v>
      </c>
      <c r="O59" s="66">
        <f t="shared" si="6"/>
        <v>2034</v>
      </c>
      <c r="P59" s="66">
        <f t="shared" si="6"/>
        <v>2035</v>
      </c>
      <c r="Q59" s="66">
        <f t="shared" si="6"/>
        <v>2036</v>
      </c>
      <c r="R59" s="66">
        <f t="shared" si="6"/>
        <v>2037</v>
      </c>
      <c r="S59" s="66">
        <f t="shared" si="6"/>
        <v>2038</v>
      </c>
      <c r="T59" s="66">
        <f t="shared" si="6"/>
        <v>2039</v>
      </c>
      <c r="U59" s="66">
        <f t="shared" si="6"/>
        <v>2040</v>
      </c>
      <c r="V59" s="66" t="s">
        <v>251</v>
      </c>
    </row>
    <row r="60" spans="1:22">
      <c r="B60" s="65" t="s">
        <v>250</v>
      </c>
      <c r="C60" s="64">
        <f t="shared" ref="C60:U60" si="7">C49-C56</f>
        <v>0</v>
      </c>
      <c r="D60" s="64">
        <f t="shared" si="7"/>
        <v>0</v>
      </c>
      <c r="E60" s="64">
        <f t="shared" si="7"/>
        <v>0</v>
      </c>
      <c r="F60" s="64">
        <f t="shared" si="7"/>
        <v>0</v>
      </c>
      <c r="G60" s="64">
        <f t="shared" si="7"/>
        <v>0</v>
      </c>
      <c r="H60" s="64">
        <f t="shared" si="7"/>
        <v>0.34049421297362348</v>
      </c>
      <c r="I60" s="64">
        <f t="shared" si="7"/>
        <v>0.39556859461368071</v>
      </c>
      <c r="J60" s="64">
        <f t="shared" si="7"/>
        <v>0.45907902552329261</v>
      </c>
      <c r="K60" s="64">
        <f t="shared" si="7"/>
        <v>0.53212170813841808</v>
      </c>
      <c r="L60" s="64">
        <f t="shared" si="7"/>
        <v>0.61585793977984604</v>
      </c>
      <c r="M60" s="64">
        <f t="shared" si="7"/>
        <v>0.65982764752240308</v>
      </c>
      <c r="N60" s="64">
        <f t="shared" si="7"/>
        <v>0.63978967233354134</v>
      </c>
      <c r="O60" s="64">
        <f t="shared" si="7"/>
        <v>0.61891497439484122</v>
      </c>
      <c r="P60" s="64">
        <f t="shared" si="7"/>
        <v>0.59709259548069493</v>
      </c>
      <c r="Q60" s="64">
        <f t="shared" si="7"/>
        <v>0.5742004438410806</v>
      </c>
      <c r="R60" s="64">
        <f t="shared" si="7"/>
        <v>0.5501043668087624</v>
      </c>
      <c r="S60" s="64">
        <f t="shared" si="7"/>
        <v>0.52465721010260813</v>
      </c>
      <c r="T60" s="64">
        <f t="shared" si="7"/>
        <v>0.49769788527965908</v>
      </c>
      <c r="U60" s="64">
        <f t="shared" si="7"/>
        <v>0.46905047454633786</v>
      </c>
    </row>
    <row r="61" spans="1:22">
      <c r="B61" s="65" t="s">
        <v>249</v>
      </c>
      <c r="C61" s="64">
        <f t="shared" ref="C61:U61" si="8">C60*MIN(1,(1+3.5%)^-MIN(C$59-2026,30) * (1+3%)^-MAX(C$59-2026-30,0))</f>
        <v>0</v>
      </c>
      <c r="D61" s="64">
        <f t="shared" si="8"/>
        <v>0</v>
      </c>
      <c r="E61" s="64">
        <f t="shared" si="8"/>
        <v>0</v>
      </c>
      <c r="F61" s="64">
        <f t="shared" si="8"/>
        <v>0</v>
      </c>
      <c r="G61" s="64">
        <f t="shared" si="8"/>
        <v>0</v>
      </c>
      <c r="H61" s="64">
        <f t="shared" si="8"/>
        <v>0.32897991591654446</v>
      </c>
      <c r="I61" s="64">
        <f t="shared" si="8"/>
        <v>0.36926751580077083</v>
      </c>
      <c r="J61" s="64">
        <f t="shared" si="8"/>
        <v>0.41406297839591766</v>
      </c>
      <c r="K61" s="64">
        <f t="shared" si="8"/>
        <v>0.46371332674691262</v>
      </c>
      <c r="L61" s="64">
        <f t="shared" si="8"/>
        <v>0.51853585989140327</v>
      </c>
      <c r="M61" s="64">
        <f t="shared" si="8"/>
        <v>0.53677021639154376</v>
      </c>
      <c r="N61" s="64">
        <f t="shared" si="8"/>
        <v>0.50286889919302602</v>
      </c>
      <c r="O61" s="64">
        <f t="shared" si="8"/>
        <v>0.47001118387072727</v>
      </c>
      <c r="P61" s="64">
        <f t="shared" si="8"/>
        <v>0.43810533056927031</v>
      </c>
      <c r="Q61" s="64">
        <f t="shared" si="8"/>
        <v>0.40706149747944353</v>
      </c>
      <c r="R61" s="64">
        <f t="shared" si="8"/>
        <v>0.37679162814940409</v>
      </c>
      <c r="S61" s="64">
        <f t="shared" si="8"/>
        <v>0.34720937897287651</v>
      </c>
      <c r="T61" s="64">
        <f t="shared" si="8"/>
        <v>0.31823009475545644</v>
      </c>
      <c r="U61" s="64">
        <f t="shared" si="8"/>
        <v>0.28977084189535968</v>
      </c>
      <c r="V61" s="64">
        <f>SUM(C61:U61)</f>
        <v>5.7813786680286565</v>
      </c>
    </row>
    <row r="63" spans="1:22">
      <c r="A63" s="117" t="s">
        <v>261</v>
      </c>
      <c r="B63" s="117"/>
    </row>
    <row r="65" spans="1:22">
      <c r="A65" s="117" t="s">
        <v>260</v>
      </c>
      <c r="B65" s="117"/>
    </row>
    <row r="66" spans="1:22">
      <c r="B66" s="66" t="s">
        <v>258</v>
      </c>
      <c r="C66" s="66">
        <v>2022</v>
      </c>
      <c r="D66" s="66">
        <f t="shared" ref="D66:U66" si="9">C66+1</f>
        <v>2023</v>
      </c>
      <c r="E66" s="66">
        <f t="shared" si="9"/>
        <v>2024</v>
      </c>
      <c r="F66" s="66">
        <f t="shared" si="9"/>
        <v>2025</v>
      </c>
      <c r="G66" s="66">
        <f t="shared" si="9"/>
        <v>2026</v>
      </c>
      <c r="H66" s="66">
        <f t="shared" si="9"/>
        <v>2027</v>
      </c>
      <c r="I66" s="66">
        <f t="shared" si="9"/>
        <v>2028</v>
      </c>
      <c r="J66" s="66">
        <f t="shared" si="9"/>
        <v>2029</v>
      </c>
      <c r="K66" s="66">
        <f t="shared" si="9"/>
        <v>2030</v>
      </c>
      <c r="L66" s="66">
        <f t="shared" si="9"/>
        <v>2031</v>
      </c>
      <c r="M66" s="66">
        <f t="shared" si="9"/>
        <v>2032</v>
      </c>
      <c r="N66" s="66">
        <f t="shared" si="9"/>
        <v>2033</v>
      </c>
      <c r="O66" s="66">
        <f t="shared" si="9"/>
        <v>2034</v>
      </c>
      <c r="P66" s="66">
        <f t="shared" si="9"/>
        <v>2035</v>
      </c>
      <c r="Q66" s="66">
        <f t="shared" si="9"/>
        <v>2036</v>
      </c>
      <c r="R66" s="66">
        <f t="shared" si="9"/>
        <v>2037</v>
      </c>
      <c r="S66" s="66">
        <f t="shared" si="9"/>
        <v>2038</v>
      </c>
      <c r="T66" s="66">
        <f t="shared" si="9"/>
        <v>2039</v>
      </c>
      <c r="U66" s="66">
        <f t="shared" si="9"/>
        <v>2040</v>
      </c>
    </row>
    <row r="67" spans="1:22">
      <c r="B67" s="66" t="s">
        <v>257</v>
      </c>
      <c r="C67" s="64">
        <v>0.19363761799723228</v>
      </c>
      <c r="D67" s="64">
        <v>0.22398499765103125</v>
      </c>
      <c r="E67" s="64">
        <v>0.25933694764905302</v>
      </c>
      <c r="F67" s="64">
        <v>0.30054093639240098</v>
      </c>
      <c r="G67" s="64">
        <v>0.34859027043172802</v>
      </c>
      <c r="H67" s="64">
        <v>0.40464944786084223</v>
      </c>
      <c r="I67" s="64">
        <v>0.47008394831638628</v>
      </c>
      <c r="J67" s="64">
        <v>0.54649523926988752</v>
      </c>
      <c r="K67" s="64">
        <v>0.63576191570210638</v>
      </c>
      <c r="L67" s="64">
        <v>0.74008805191180149</v>
      </c>
      <c r="M67" s="64">
        <v>0.80638639260198464</v>
      </c>
      <c r="N67" s="64">
        <v>0.80638639260198464</v>
      </c>
      <c r="O67" s="64">
        <v>0.80638639260198464</v>
      </c>
      <c r="P67" s="64">
        <v>0.80638639260198464</v>
      </c>
      <c r="Q67" s="64">
        <v>0.80638639260198464</v>
      </c>
      <c r="R67" s="64">
        <v>0.80638639260198464</v>
      </c>
      <c r="S67" s="64">
        <v>0.80638639260198464</v>
      </c>
      <c r="T67" s="64">
        <v>0.80638639260198464</v>
      </c>
      <c r="U67" s="64">
        <v>0.80638639260198464</v>
      </c>
    </row>
    <row r="68" spans="1:22">
      <c r="B68" s="66" t="s">
        <v>256</v>
      </c>
      <c r="C68" s="64">
        <v>3.5016089891353715E-3</v>
      </c>
      <c r="D68" s="64">
        <v>4.0503900498173161E-3</v>
      </c>
      <c r="E68" s="64">
        <v>4.689670305259761E-3</v>
      </c>
      <c r="F68" s="64">
        <v>5.4347747889040609E-3</v>
      </c>
      <c r="G68" s="64">
        <v>6.3036657705958553E-3</v>
      </c>
      <c r="H68" s="64">
        <v>7.3174012298500932E-3</v>
      </c>
      <c r="I68" s="64">
        <v>8.5006735576370965E-3</v>
      </c>
      <c r="J68" s="64">
        <v>9.8824425859983262E-3</v>
      </c>
      <c r="K68" s="64">
        <v>1.1496679529512907E-2</v>
      </c>
      <c r="L68" s="64">
        <v>1.3383241346023429E-2</v>
      </c>
      <c r="M68" s="64">
        <v>1.4582134764185717E-2</v>
      </c>
      <c r="N68" s="64">
        <v>1.4582134764185717E-2</v>
      </c>
      <c r="O68" s="64">
        <v>1.4582134764185717E-2</v>
      </c>
      <c r="P68" s="64">
        <v>1.4582134764185717E-2</v>
      </c>
      <c r="Q68" s="64">
        <v>1.4582134764185717E-2</v>
      </c>
      <c r="R68" s="64">
        <v>1.4582134764185717E-2</v>
      </c>
      <c r="S68" s="64">
        <v>1.4582134764185717E-2</v>
      </c>
      <c r="T68" s="64">
        <v>1.4582134764185717E-2</v>
      </c>
      <c r="U68" s="64">
        <v>1.4582134764185717E-2</v>
      </c>
    </row>
    <row r="69" spans="1:22">
      <c r="B69" s="66" t="s">
        <v>255</v>
      </c>
      <c r="C69" s="64">
        <v>1</v>
      </c>
      <c r="D69" s="64">
        <f t="shared" ref="D69:U69" si="10">(1-C68)*C69</f>
        <v>0.99649839101086468</v>
      </c>
      <c r="E69" s="64">
        <f t="shared" si="10"/>
        <v>0.99246218384325524</v>
      </c>
      <c r="F69" s="64">
        <f t="shared" si="10"/>
        <v>0.98780786341059224</v>
      </c>
      <c r="G69" s="64">
        <f t="shared" si="10"/>
        <v>0.98243935013824712</v>
      </c>
      <c r="H69" s="64">
        <f t="shared" si="10"/>
        <v>0.9762463808350943</v>
      </c>
      <c r="I69" s="64">
        <f t="shared" si="10"/>
        <v>0.96910279436733482</v>
      </c>
      <c r="J69" s="64">
        <f t="shared" si="10"/>
        <v>0.96086476786862418</v>
      </c>
      <c r="K69" s="64">
        <f t="shared" si="10"/>
        <v>0.95136907696725381</v>
      </c>
      <c r="L69" s="64">
        <f t="shared" si="10"/>
        <v>0.94043149157507278</v>
      </c>
      <c r="M69" s="64">
        <f t="shared" si="10"/>
        <v>0.92784546995392281</v>
      </c>
      <c r="N69" s="64">
        <f t="shared" si="10"/>
        <v>0.91431550227071545</v>
      </c>
      <c r="O69" s="64">
        <f t="shared" si="10"/>
        <v>0.90098283039961979</v>
      </c>
      <c r="P69" s="64">
        <f t="shared" si="10"/>
        <v>0.88784457734651512</v>
      </c>
      <c r="Q69" s="64">
        <f t="shared" si="10"/>
        <v>0.87489790806999679</v>
      </c>
      <c r="R69" s="64">
        <f t="shared" si="10"/>
        <v>0.86214002886961594</v>
      </c>
      <c r="S69" s="64">
        <f t="shared" si="10"/>
        <v>0.84956818678304025</v>
      </c>
      <c r="T69" s="64">
        <f t="shared" si="10"/>
        <v>0.83717966899200513</v>
      </c>
      <c r="U69" s="64">
        <f t="shared" si="10"/>
        <v>0.82497180223692734</v>
      </c>
    </row>
    <row r="70" spans="1:22">
      <c r="B70" s="66" t="s">
        <v>254</v>
      </c>
      <c r="C70" s="64">
        <f t="shared" ref="C70:U70" si="11">C69*C67</f>
        <v>0.19363761799723228</v>
      </c>
      <c r="D70" s="64">
        <f t="shared" si="11"/>
        <v>0.22320068976982493</v>
      </c>
      <c r="E70" s="64">
        <f t="shared" si="11"/>
        <v>0.25738211341502309</v>
      </c>
      <c r="F70" s="64">
        <f t="shared" si="11"/>
        <v>0.2968767002451963</v>
      </c>
      <c r="G70" s="64">
        <f t="shared" si="11"/>
        <v>0.34246879874746272</v>
      </c>
      <c r="H70" s="64">
        <f t="shared" si="11"/>
        <v>0.39503755898106641</v>
      </c>
      <c r="I70" s="64">
        <f t="shared" si="11"/>
        <v>0.45555966790063973</v>
      </c>
      <c r="J70" s="64">
        <f t="shared" si="11"/>
        <v>0.52510802122236866</v>
      </c>
      <c r="K70" s="64">
        <f t="shared" si="11"/>
        <v>0.60484422691244599</v>
      </c>
      <c r="L70" s="64">
        <f t="shared" si="11"/>
        <v>0.69600211055630534</v>
      </c>
      <c r="M70" s="64">
        <f t="shared" si="11"/>
        <v>0.74820196140823692</v>
      </c>
      <c r="N70" s="64">
        <f t="shared" si="11"/>
        <v>0.73729157957615388</v>
      </c>
      <c r="O70" s="64">
        <f t="shared" si="11"/>
        <v>0.72654029440227519</v>
      </c>
      <c r="P70" s="64">
        <f t="shared" si="11"/>
        <v>0.71594578591769009</v>
      </c>
      <c r="Q70" s="64">
        <f t="shared" si="11"/>
        <v>0.70550576798358744</v>
      </c>
      <c r="R70" s="64">
        <f t="shared" si="11"/>
        <v>0.69521798779794053</v>
      </c>
      <c r="S70" s="64">
        <f t="shared" si="11"/>
        <v>0.68508022540938496</v>
      </c>
      <c r="T70" s="64">
        <f t="shared" si="11"/>
        <v>0.67509029323818659</v>
      </c>
      <c r="U70" s="64">
        <f t="shared" si="11"/>
        <v>0.66524603560419371</v>
      </c>
    </row>
    <row r="72" spans="1:22">
      <c r="A72" s="117" t="s">
        <v>259</v>
      </c>
      <c r="B72" s="117"/>
    </row>
    <row r="73" spans="1:22">
      <c r="B73" s="66" t="s">
        <v>258</v>
      </c>
      <c r="C73" s="66">
        <v>2022</v>
      </c>
      <c r="D73" s="66">
        <f t="shared" ref="D73:U73" si="12">C73+1</f>
        <v>2023</v>
      </c>
      <c r="E73" s="66">
        <f t="shared" si="12"/>
        <v>2024</v>
      </c>
      <c r="F73" s="66">
        <f t="shared" si="12"/>
        <v>2025</v>
      </c>
      <c r="G73" s="66">
        <f t="shared" si="12"/>
        <v>2026</v>
      </c>
      <c r="H73" s="66">
        <f t="shared" si="12"/>
        <v>2027</v>
      </c>
      <c r="I73" s="66">
        <f t="shared" si="12"/>
        <v>2028</v>
      </c>
      <c r="J73" s="66">
        <f t="shared" si="12"/>
        <v>2029</v>
      </c>
      <c r="K73" s="66">
        <f t="shared" si="12"/>
        <v>2030</v>
      </c>
      <c r="L73" s="66">
        <f t="shared" si="12"/>
        <v>2031</v>
      </c>
      <c r="M73" s="66">
        <f t="shared" si="12"/>
        <v>2032</v>
      </c>
      <c r="N73" s="66">
        <f t="shared" si="12"/>
        <v>2033</v>
      </c>
      <c r="O73" s="66">
        <f t="shared" si="12"/>
        <v>2034</v>
      </c>
      <c r="P73" s="66">
        <f t="shared" si="12"/>
        <v>2035</v>
      </c>
      <c r="Q73" s="66">
        <f t="shared" si="12"/>
        <v>2036</v>
      </c>
      <c r="R73" s="66">
        <f t="shared" si="12"/>
        <v>2037</v>
      </c>
      <c r="S73" s="66">
        <f t="shared" si="12"/>
        <v>2038</v>
      </c>
      <c r="T73" s="66">
        <f t="shared" si="12"/>
        <v>2039</v>
      </c>
      <c r="U73" s="66">
        <f t="shared" si="12"/>
        <v>2040</v>
      </c>
    </row>
    <row r="74" spans="1:22">
      <c r="B74" s="66" t="s">
        <v>257</v>
      </c>
      <c r="C74" s="64">
        <v>0.19363761799723228</v>
      </c>
      <c r="D74" s="64">
        <v>0.22398499765103125</v>
      </c>
      <c r="E74" s="64">
        <v>0.25933694764905302</v>
      </c>
      <c r="F74" s="64">
        <v>0.30054093639240098</v>
      </c>
      <c r="G74" s="64">
        <f t="shared" ref="G74:U74" si="13">G53*0.9</f>
        <v>0.31373124338855524</v>
      </c>
      <c r="H74" s="64">
        <f t="shared" si="13"/>
        <v>5.0283424727994602E-2</v>
      </c>
      <c r="I74" s="64">
        <f t="shared" si="13"/>
        <v>5.5361609030853361E-2</v>
      </c>
      <c r="J74" s="64">
        <f t="shared" si="13"/>
        <v>6.1001445059510336E-2</v>
      </c>
      <c r="K74" s="64">
        <f t="shared" si="13"/>
        <v>6.7267761307407858E-2</v>
      </c>
      <c r="L74" s="64">
        <f t="shared" si="13"/>
        <v>7.4233063454112236E-2</v>
      </c>
      <c r="M74" s="64">
        <f t="shared" si="13"/>
        <v>8.1978458313142558E-2</v>
      </c>
      <c r="N74" s="64">
        <f t="shared" si="13"/>
        <v>9.0594690145385626E-2</v>
      </c>
      <c r="O74" s="64">
        <f t="shared" si="13"/>
        <v>0.10018330309816964</v>
      </c>
      <c r="P74" s="64">
        <f t="shared" si="13"/>
        <v>0.110857945222205</v>
      </c>
      <c r="Q74" s="64">
        <f t="shared" si="13"/>
        <v>0.12274583141999984</v>
      </c>
      <c r="R74" s="64">
        <f t="shared" si="13"/>
        <v>0.13598938481539857</v>
      </c>
      <c r="S74" s="64">
        <f t="shared" si="13"/>
        <v>0.1507480784335874</v>
      </c>
      <c r="T74" s="64">
        <f t="shared" si="13"/>
        <v>0.16720050177686055</v>
      </c>
      <c r="U74" s="64">
        <f t="shared" si="13"/>
        <v>0.1855466799102832</v>
      </c>
    </row>
    <row r="75" spans="1:22">
      <c r="B75" s="66" t="s">
        <v>256</v>
      </c>
      <c r="C75" s="64">
        <v>3.5016089891353715E-3</v>
      </c>
      <c r="D75" s="64">
        <v>4.0503900498173161E-3</v>
      </c>
      <c r="E75" s="64">
        <v>4.689670305259761E-3</v>
      </c>
      <c r="F75" s="64">
        <v>5.4347747889040609E-3</v>
      </c>
      <c r="G75" s="64">
        <f t="shared" ref="G75:U75" si="14">G54*0.9</f>
        <v>5.67329919353627E-3</v>
      </c>
      <c r="H75" s="64">
        <f t="shared" si="14"/>
        <v>9.0929073521296537E-4</v>
      </c>
      <c r="I75" s="64">
        <f t="shared" si="14"/>
        <v>1.0011211139676636E-3</v>
      </c>
      <c r="J75" s="64">
        <f t="shared" si="14"/>
        <v>1.1031080147540443E-3</v>
      </c>
      <c r="K75" s="64">
        <f t="shared" si="14"/>
        <v>1.2164237512795608E-3</v>
      </c>
      <c r="L75" s="64">
        <f t="shared" si="14"/>
        <v>1.3423794661928303E-3</v>
      </c>
      <c r="M75" s="64">
        <f t="shared" si="14"/>
        <v>1.4824418391103239E-3</v>
      </c>
      <c r="N75" s="64">
        <f t="shared" si="14"/>
        <v>1.6382518265926523E-3</v>
      </c>
      <c r="O75" s="64">
        <f t="shared" si="14"/>
        <v>1.8116456828901832E-3</v>
      </c>
      <c r="P75" s="64">
        <f t="shared" si="14"/>
        <v>2.004678540885057E-3</v>
      </c>
      <c r="Q75" s="64">
        <f t="shared" si="14"/>
        <v>2.2196508670402552E-3</v>
      </c>
      <c r="R75" s="64">
        <f t="shared" si="14"/>
        <v>2.4591381427930764E-3</v>
      </c>
      <c r="S75" s="64">
        <f t="shared" si="14"/>
        <v>2.7260241682247844E-3</v>
      </c>
      <c r="T75" s="64">
        <f t="shared" si="14"/>
        <v>3.0235384325899314E-3</v>
      </c>
      <c r="U75" s="64">
        <f t="shared" si="14"/>
        <v>3.3552980510602932E-3</v>
      </c>
    </row>
    <row r="76" spans="1:22">
      <c r="B76" s="66" t="s">
        <v>255</v>
      </c>
      <c r="C76" s="64">
        <v>1</v>
      </c>
      <c r="D76" s="64">
        <f t="shared" ref="D76:U76" si="15">(1-C75)*C76</f>
        <v>0.99649839101086468</v>
      </c>
      <c r="E76" s="64">
        <f t="shared" si="15"/>
        <v>0.99246218384325524</v>
      </c>
      <c r="F76" s="64">
        <f t="shared" si="15"/>
        <v>0.98780786341059224</v>
      </c>
      <c r="G76" s="64">
        <f t="shared" si="15"/>
        <v>0.98243935013824712</v>
      </c>
      <c r="H76" s="64">
        <f t="shared" si="15"/>
        <v>0.97686567776540945</v>
      </c>
      <c r="I76" s="64">
        <f t="shared" si="15"/>
        <v>0.97597742285506983</v>
      </c>
      <c r="J76" s="64">
        <f t="shared" si="15"/>
        <v>0.97500035125029383</v>
      </c>
      <c r="K76" s="64">
        <f t="shared" si="15"/>
        <v>0.97392482054844165</v>
      </c>
      <c r="L76" s="64">
        <f t="shared" si="15"/>
        <v>0.97274011526476578</v>
      </c>
      <c r="M76" s="64">
        <f t="shared" si="15"/>
        <v>0.97143432890809223</v>
      </c>
      <c r="N76" s="64">
        <f t="shared" si="15"/>
        <v>0.96999423401497087</v>
      </c>
      <c r="O76" s="64">
        <f t="shared" si="15"/>
        <v>0.96840513918931159</v>
      </c>
      <c r="P76" s="64">
        <f t="shared" si="15"/>
        <v>0.96665073219961062</v>
      </c>
      <c r="Q76" s="64">
        <f t="shared" si="15"/>
        <v>0.96471290822023925</v>
      </c>
      <c r="R76" s="64">
        <f t="shared" si="15"/>
        <v>0.96257158237706331</v>
      </c>
      <c r="S76" s="64">
        <f t="shared" si="15"/>
        <v>0.96020448588367113</v>
      </c>
      <c r="T76" s="64">
        <f t="shared" si="15"/>
        <v>0.95758694524871446</v>
      </c>
      <c r="U76" s="64">
        <f t="shared" si="15"/>
        <v>0.95469164431720854</v>
      </c>
    </row>
    <row r="77" spans="1:22">
      <c r="B77" s="66" t="s">
        <v>254</v>
      </c>
      <c r="C77" s="64">
        <f t="shared" ref="C77:U77" si="16">C76*C74</f>
        <v>0.19363761799723228</v>
      </c>
      <c r="D77" s="64">
        <f t="shared" si="16"/>
        <v>0.22320068976982493</v>
      </c>
      <c r="E77" s="64">
        <f t="shared" si="16"/>
        <v>0.25738211341502309</v>
      </c>
      <c r="F77" s="64">
        <f t="shared" si="16"/>
        <v>0.2968767002451963</v>
      </c>
      <c r="G77" s="64">
        <f t="shared" si="16"/>
        <v>0.30822191887271644</v>
      </c>
      <c r="H77" s="64">
        <f t="shared" si="16"/>
        <v>4.9120151777278395E-2</v>
      </c>
      <c r="I77" s="64">
        <f t="shared" si="16"/>
        <v>5.4031680507042226E-2</v>
      </c>
      <c r="J77" s="64">
        <f t="shared" si="16"/>
        <v>5.9476430359798077E-2</v>
      </c>
      <c r="K77" s="64">
        <f t="shared" si="16"/>
        <v>6.5513742360012603E-2</v>
      </c>
      <c r="L77" s="64">
        <f t="shared" si="16"/>
        <v>7.2209478700809807E-2</v>
      </c>
      <c r="M77" s="64">
        <f t="shared" si="16"/>
        <v>7.9636688636347652E-2</v>
      </c>
      <c r="N77" s="64">
        <f t="shared" si="16"/>
        <v>8.7876327073396959E-2</v>
      </c>
      <c r="O77" s="64">
        <f t="shared" si="16"/>
        <v>9.7018025581227962E-2</v>
      </c>
      <c r="P77" s="64">
        <f t="shared" si="16"/>
        <v>0.10716091391918879</v>
      </c>
      <c r="Q77" s="64">
        <f t="shared" si="16"/>
        <v>0.11841448800109927</v>
      </c>
      <c r="R77" s="64">
        <f t="shared" si="16"/>
        <v>0.13089951732824159</v>
      </c>
      <c r="S77" s="64">
        <f t="shared" si="16"/>
        <v>0.14474898115027413</v>
      </c>
      <c r="T77" s="64">
        <f t="shared" si="16"/>
        <v>0.16010901774055614</v>
      </c>
      <c r="U77" s="64">
        <f t="shared" si="16"/>
        <v>0.17713986494114703</v>
      </c>
    </row>
    <row r="79" spans="1:22">
      <c r="A79" s="117" t="s">
        <v>253</v>
      </c>
      <c r="B79" s="117"/>
    </row>
    <row r="80" spans="1:22">
      <c r="B80" s="65" t="s">
        <v>252</v>
      </c>
      <c r="C80" s="66">
        <v>2022</v>
      </c>
      <c r="D80" s="66">
        <f t="shared" ref="D80:U80" si="17">C80+1</f>
        <v>2023</v>
      </c>
      <c r="E80" s="66">
        <f t="shared" si="17"/>
        <v>2024</v>
      </c>
      <c r="F80" s="66">
        <f t="shared" si="17"/>
        <v>2025</v>
      </c>
      <c r="G80" s="66">
        <f t="shared" si="17"/>
        <v>2026</v>
      </c>
      <c r="H80" s="66">
        <f t="shared" si="17"/>
        <v>2027</v>
      </c>
      <c r="I80" s="66">
        <f t="shared" si="17"/>
        <v>2028</v>
      </c>
      <c r="J80" s="66">
        <f t="shared" si="17"/>
        <v>2029</v>
      </c>
      <c r="K80" s="66">
        <f t="shared" si="17"/>
        <v>2030</v>
      </c>
      <c r="L80" s="66">
        <f t="shared" si="17"/>
        <v>2031</v>
      </c>
      <c r="M80" s="66">
        <f t="shared" si="17"/>
        <v>2032</v>
      </c>
      <c r="N80" s="66">
        <f t="shared" si="17"/>
        <v>2033</v>
      </c>
      <c r="O80" s="66">
        <f t="shared" si="17"/>
        <v>2034</v>
      </c>
      <c r="P80" s="66">
        <f t="shared" si="17"/>
        <v>2035</v>
      </c>
      <c r="Q80" s="66">
        <f t="shared" si="17"/>
        <v>2036</v>
      </c>
      <c r="R80" s="66">
        <f t="shared" si="17"/>
        <v>2037</v>
      </c>
      <c r="S80" s="66">
        <f t="shared" si="17"/>
        <v>2038</v>
      </c>
      <c r="T80" s="66">
        <f t="shared" si="17"/>
        <v>2039</v>
      </c>
      <c r="U80" s="66">
        <f t="shared" si="17"/>
        <v>2040</v>
      </c>
      <c r="V80" s="66" t="s">
        <v>251</v>
      </c>
    </row>
    <row r="81" spans="2:22">
      <c r="B81" s="65" t="s">
        <v>250</v>
      </c>
      <c r="C81" s="64">
        <f t="shared" ref="C81:U81" si="18">C70-C77</f>
        <v>0</v>
      </c>
      <c r="D81" s="64">
        <f t="shared" si="18"/>
        <v>0</v>
      </c>
      <c r="E81" s="64">
        <f t="shared" si="18"/>
        <v>0</v>
      </c>
      <c r="F81" s="64">
        <f t="shared" si="18"/>
        <v>0</v>
      </c>
      <c r="G81" s="64">
        <f t="shared" si="18"/>
        <v>3.4246879874746283E-2</v>
      </c>
      <c r="H81" s="64">
        <f t="shared" si="18"/>
        <v>0.345917407203788</v>
      </c>
      <c r="I81" s="64">
        <f t="shared" si="18"/>
        <v>0.40152798739359752</v>
      </c>
      <c r="J81" s="64">
        <f t="shared" si="18"/>
        <v>0.46563159086257055</v>
      </c>
      <c r="K81" s="64">
        <f t="shared" si="18"/>
        <v>0.53933048455243338</v>
      </c>
      <c r="L81" s="64">
        <f t="shared" si="18"/>
        <v>0.62379263185549549</v>
      </c>
      <c r="M81" s="64">
        <f t="shared" si="18"/>
        <v>0.66856527277188926</v>
      </c>
      <c r="N81" s="64">
        <f t="shared" si="18"/>
        <v>0.64941525250275689</v>
      </c>
      <c r="O81" s="64">
        <f t="shared" si="18"/>
        <v>0.62952226882104723</v>
      </c>
      <c r="P81" s="64">
        <f t="shared" si="18"/>
        <v>0.60878487199850129</v>
      </c>
      <c r="Q81" s="64">
        <f t="shared" si="18"/>
        <v>0.58709127998248811</v>
      </c>
      <c r="R81" s="64">
        <f t="shared" si="18"/>
        <v>0.56431847046969896</v>
      </c>
      <c r="S81" s="64">
        <f t="shared" si="18"/>
        <v>0.54033124425911083</v>
      </c>
      <c r="T81" s="64">
        <f t="shared" si="18"/>
        <v>0.5149812754976304</v>
      </c>
      <c r="U81" s="64">
        <f t="shared" si="18"/>
        <v>0.48810617066304668</v>
      </c>
    </row>
    <row r="82" spans="2:22">
      <c r="B82" s="65" t="s">
        <v>249</v>
      </c>
      <c r="C82" s="64">
        <f t="shared" ref="C82:U82" si="19">C81*MIN(1,(1+3.5%)^-MIN(C$59-2026,30) * (1+3%)^-MAX(C$59-2026-30,0))</f>
        <v>0</v>
      </c>
      <c r="D82" s="64">
        <f t="shared" si="19"/>
        <v>0</v>
      </c>
      <c r="E82" s="64">
        <f t="shared" si="19"/>
        <v>0</v>
      </c>
      <c r="F82" s="64">
        <f t="shared" si="19"/>
        <v>0</v>
      </c>
      <c r="G82" s="64">
        <f t="shared" si="19"/>
        <v>3.4246879874746283E-2</v>
      </c>
      <c r="H82" s="64">
        <f t="shared" si="19"/>
        <v>0.33421971710510923</v>
      </c>
      <c r="I82" s="64">
        <f t="shared" si="19"/>
        <v>0.37483067272850945</v>
      </c>
      <c r="J82" s="64">
        <f t="shared" si="19"/>
        <v>0.41997301690709249</v>
      </c>
      <c r="K82" s="64">
        <f t="shared" si="19"/>
        <v>0.46999535892412303</v>
      </c>
      <c r="L82" s="64">
        <f t="shared" si="19"/>
        <v>0.52521665770638504</v>
      </c>
      <c r="M82" s="64">
        <f t="shared" si="19"/>
        <v>0.54387828016172046</v>
      </c>
      <c r="N82" s="64">
        <f t="shared" si="19"/>
        <v>0.51043451819736685</v>
      </c>
      <c r="O82" s="64">
        <f t="shared" si="19"/>
        <v>0.47806648583817629</v>
      </c>
      <c r="P82" s="64">
        <f t="shared" si="19"/>
        <v>0.44668431598579017</v>
      </c>
      <c r="Q82" s="64">
        <f t="shared" si="19"/>
        <v>0.41620005374453717</v>
      </c>
      <c r="R82" s="64">
        <f t="shared" si="19"/>
        <v>0.3865275175264658</v>
      </c>
      <c r="S82" s="64">
        <f t="shared" si="19"/>
        <v>0.35758219299446337</v>
      </c>
      <c r="T82" s="64">
        <f t="shared" si="19"/>
        <v>0.32928116623764692</v>
      </c>
      <c r="U82" s="64">
        <f t="shared" si="19"/>
        <v>0.30154310395730827</v>
      </c>
      <c r="V82" s="64">
        <f>SUM(C82:U82)</f>
        <v>5.9286799378894397</v>
      </c>
    </row>
  </sheetData>
  <mergeCells count="11">
    <mergeCell ref="A63:B63"/>
    <mergeCell ref="A65:B65"/>
    <mergeCell ref="A72:B72"/>
    <mergeCell ref="A79:B79"/>
    <mergeCell ref="K30:L30"/>
    <mergeCell ref="K31:L31"/>
    <mergeCell ref="K32:L32"/>
    <mergeCell ref="A42:B42"/>
    <mergeCell ref="A51:B51"/>
    <mergeCell ref="A44:B44"/>
    <mergeCell ref="A58:B5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25"/>
  <sheetViews>
    <sheetView showGridLines="0" workbookViewId="0"/>
  </sheetViews>
  <sheetFormatPr defaultColWidth="8" defaultRowHeight="12.75"/>
  <cols>
    <col min="1" max="1" width="30.875" style="49" customWidth="1"/>
    <col min="2" max="2" width="69.75" style="49" bestFit="1" customWidth="1"/>
    <col min="3" max="3" width="6" style="49" customWidth="1"/>
    <col min="4" max="5" width="16.75" style="50" bestFit="1" customWidth="1"/>
    <col min="6" max="46" width="8" style="49"/>
    <col min="47" max="47" width="8.25" style="49" bestFit="1" customWidth="1"/>
    <col min="48" max="16384" width="8" style="49"/>
  </cols>
  <sheetData>
    <row r="1" spans="1:7" s="46" customFormat="1" ht="24.75">
      <c r="A1" s="1" t="s">
        <v>283</v>
      </c>
      <c r="B1" s="45"/>
      <c r="C1" s="1"/>
      <c r="D1" s="2"/>
      <c r="E1" s="2"/>
      <c r="F1" s="2"/>
      <c r="G1" s="2"/>
    </row>
    <row r="2" spans="1:7" s="47" customFormat="1" ht="15">
      <c r="A2" s="5" t="str">
        <f ca="1">IFERROR("Sheet: " &amp;VLOOKUP(RIGHT(CELL("filename",A1),LEN(CELL("filename",A1))-FIND("]",CELL("filename",A1))),Contents!$A$10:$B$21,2,FALSE),"Sheet name does not match Contents sheet")</f>
        <v>Sheet: Contents</v>
      </c>
      <c r="B2" s="6"/>
      <c r="C2" s="5"/>
      <c r="D2" s="6"/>
      <c r="E2" s="6"/>
      <c r="F2" s="6"/>
      <c r="G2" s="6"/>
    </row>
    <row r="3" spans="1:7" s="47" customFormat="1" ht="15">
      <c r="A3" s="5"/>
      <c r="B3" s="6"/>
      <c r="C3" s="5"/>
      <c r="D3" s="6"/>
      <c r="E3" s="6"/>
      <c r="F3" s="6"/>
      <c r="G3" s="6"/>
    </row>
    <row r="4" spans="1:7" s="47" customFormat="1" ht="15">
      <c r="A4" s="5"/>
      <c r="B4" s="6"/>
      <c r="C4" s="5"/>
      <c r="D4" s="6"/>
      <c r="E4" s="6"/>
      <c r="F4" s="6"/>
      <c r="G4" s="6"/>
    </row>
    <row r="5" spans="1:7" s="47" customFormat="1" ht="15">
      <c r="A5" s="5"/>
      <c r="B5" s="6"/>
      <c r="C5" s="5"/>
      <c r="D5" s="6"/>
      <c r="E5" s="6"/>
      <c r="F5" s="6"/>
      <c r="G5" s="6"/>
    </row>
    <row r="6" spans="1:7" s="47" customFormat="1" ht="15">
      <c r="A6" s="5"/>
      <c r="B6" s="6"/>
      <c r="C6" s="5"/>
      <c r="D6" s="6"/>
      <c r="E6" s="6"/>
      <c r="F6" s="6"/>
      <c r="G6" s="6"/>
    </row>
    <row r="8" spans="1:7" ht="19.5">
      <c r="A8" s="48" t="str">
        <f ca="1">IFERROR(VLOOKUP(RIGHT(CELL("filename",A1),LEN(CELL("filename",A1))-FIND("]",CELL("filename",A1))),Contents!$A$10:$B$21,2,FALSE), "Sheet name does not match Contents sheet")</f>
        <v>Contents</v>
      </c>
    </row>
    <row r="10" spans="1:7">
      <c r="A10" s="51" t="s">
        <v>209</v>
      </c>
      <c r="B10" s="51" t="s">
        <v>210</v>
      </c>
      <c r="C10" s="52" t="s">
        <v>211</v>
      </c>
      <c r="D10" s="52" t="s">
        <v>212</v>
      </c>
      <c r="E10" s="52" t="s">
        <v>213</v>
      </c>
    </row>
    <row r="11" spans="1:7">
      <c r="A11" s="98" t="s">
        <v>267</v>
      </c>
      <c r="B11" s="98" t="s">
        <v>268</v>
      </c>
      <c r="C11" s="53" t="str">
        <f>IF($A11 = "", "-", HYPERLINK("#'"&amp; $A11 &amp;"'!A1","Go"))</f>
        <v>Go</v>
      </c>
      <c r="D11" s="53" t="str">
        <f ca="1">IF($A11="", "-", IF(ISERROR(INDIRECT($A11 &amp; "!A1")),"Unknown Tab Name","OK"))</f>
        <v>OK</v>
      </c>
      <c r="E11" s="53" t="str">
        <f ca="1">IFERROR(IF(SUBSTITUTE(INDIRECT($A11 &amp; "!A7"),"Error Checks: ","")="Error","Error","-"),"-")</f>
        <v>-</v>
      </c>
    </row>
    <row r="12" spans="1:7">
      <c r="A12" s="98" t="s">
        <v>269</v>
      </c>
      <c r="B12" s="98" t="s">
        <v>269</v>
      </c>
      <c r="C12" s="54" t="str">
        <f>IF($A12 = "", "-", HYPERLINK("#'"&amp; $A12 &amp;"'!A1","Go"))</f>
        <v>Go</v>
      </c>
      <c r="D12" s="53" t="str">
        <f ca="1">IF($A12="", "-", IF(ISERROR(INDIRECT($A12 &amp; "!A1")),"Unknown Tab Name","OK"))</f>
        <v>OK</v>
      </c>
      <c r="E12" s="53" t="str">
        <f ca="1">IFERROR(IF(SUBSTITUTE(INDIRECT($A12 &amp; "!A7"),"Error Checks: ","")="Error","Error","-"),"-")</f>
        <v>-</v>
      </c>
    </row>
    <row r="13" spans="1:7">
      <c r="A13" s="68" t="s">
        <v>271</v>
      </c>
      <c r="B13" s="68"/>
      <c r="C13" s="68"/>
      <c r="D13" s="68"/>
      <c r="E13" s="68"/>
    </row>
    <row r="14" spans="1:7">
      <c r="A14" s="98" t="s">
        <v>270</v>
      </c>
      <c r="B14" s="98" t="s">
        <v>279</v>
      </c>
      <c r="C14" s="54" t="str">
        <f t="shared" ref="C14:C19" si="0">IF($A14 = "", "-", HYPERLINK("#'"&amp; $A14 &amp;"'!A1","Go"))</f>
        <v>Go</v>
      </c>
      <c r="D14" s="53" t="str">
        <f t="shared" ref="D14:D19" ca="1" si="1">IF($A14="", "-", IF(ISERROR(INDIRECT($A14 &amp; "!A1")),"Unknown Tab Name","OK"))</f>
        <v>OK</v>
      </c>
      <c r="E14" s="53" t="str">
        <f t="shared" ref="E14:E19" ca="1" si="2">IFERROR(IF(SUBSTITUTE(INDIRECT($A14 &amp; "!A7"),"Error Checks: ","")="Error","Error","-"),"-")</f>
        <v>-</v>
      </c>
    </row>
    <row r="15" spans="1:7">
      <c r="A15" s="98" t="s">
        <v>319</v>
      </c>
      <c r="B15" s="98" t="s">
        <v>323</v>
      </c>
      <c r="C15" s="54" t="str">
        <f t="shared" si="0"/>
        <v>Go</v>
      </c>
      <c r="D15" s="53" t="str">
        <f t="shared" ca="1" si="1"/>
        <v>OK</v>
      </c>
      <c r="E15" s="53" t="str">
        <f t="shared" ca="1" si="2"/>
        <v>-</v>
      </c>
    </row>
    <row r="16" spans="1:7">
      <c r="A16" s="98" t="s">
        <v>436</v>
      </c>
      <c r="B16" s="98" t="s">
        <v>278</v>
      </c>
      <c r="C16" s="54" t="str">
        <f t="shared" si="0"/>
        <v>Go</v>
      </c>
      <c r="D16" s="53" t="str">
        <f t="shared" ca="1" si="1"/>
        <v>OK</v>
      </c>
      <c r="E16" s="53" t="str">
        <f t="shared" ca="1" si="2"/>
        <v>-</v>
      </c>
    </row>
    <row r="17" spans="1:5">
      <c r="A17" s="98" t="s">
        <v>320</v>
      </c>
      <c r="B17" s="98" t="s">
        <v>280</v>
      </c>
      <c r="C17" s="54" t="str">
        <f t="shared" si="0"/>
        <v>Go</v>
      </c>
      <c r="D17" s="53" t="str">
        <f t="shared" ca="1" si="1"/>
        <v>OK</v>
      </c>
      <c r="E17" s="53" t="str">
        <f t="shared" ca="1" si="2"/>
        <v>-</v>
      </c>
    </row>
    <row r="18" spans="1:5">
      <c r="A18" s="98" t="s">
        <v>321</v>
      </c>
      <c r="B18" s="98" t="s">
        <v>281</v>
      </c>
      <c r="C18" s="54" t="str">
        <f t="shared" si="0"/>
        <v>Go</v>
      </c>
      <c r="D18" s="53" t="str">
        <f t="shared" ca="1" si="1"/>
        <v>OK</v>
      </c>
      <c r="E18" s="53" t="str">
        <f t="shared" ca="1" si="2"/>
        <v>-</v>
      </c>
    </row>
    <row r="19" spans="1:5">
      <c r="A19" s="98" t="s">
        <v>322</v>
      </c>
      <c r="B19" s="98" t="s">
        <v>282</v>
      </c>
      <c r="C19" s="54" t="str">
        <f t="shared" si="0"/>
        <v>Go</v>
      </c>
      <c r="D19" s="53" t="str">
        <f t="shared" ca="1" si="1"/>
        <v>OK</v>
      </c>
      <c r="E19" s="53" t="str">
        <f t="shared" ca="1" si="2"/>
        <v>-</v>
      </c>
    </row>
    <row r="20" spans="1:5">
      <c r="A20" s="69" t="s">
        <v>275</v>
      </c>
      <c r="B20" s="69"/>
      <c r="C20" s="69"/>
      <c r="D20" s="69"/>
      <c r="E20" s="69"/>
    </row>
    <row r="21" spans="1:5">
      <c r="A21" s="98" t="s">
        <v>272</v>
      </c>
      <c r="B21" s="98" t="s">
        <v>276</v>
      </c>
      <c r="C21" s="54" t="str">
        <f>IF($A21 = "", "-", HYPERLINK("#'"&amp; $A21 &amp;"'!A1","Go"))</f>
        <v>Go</v>
      </c>
      <c r="D21" s="53" t="str">
        <f ca="1">IF($A21="", "-", IF(ISERROR(INDIRECT($A21 &amp; "!A1")),"Unknown Tab Name","OK"))</f>
        <v>OK</v>
      </c>
      <c r="E21" s="53" t="str">
        <f ca="1">IFERROR(IF(SUBSTITUTE(INDIRECT($A21 &amp; "!A7"),"Error Checks: ","")="Error","Error","-"),"-")</f>
        <v>-</v>
      </c>
    </row>
    <row r="22" spans="1:5">
      <c r="A22" s="70" t="s">
        <v>277</v>
      </c>
      <c r="B22" s="71"/>
      <c r="C22" s="71"/>
      <c r="D22" s="71"/>
      <c r="E22" s="71"/>
    </row>
    <row r="23" spans="1:5">
      <c r="A23" s="98" t="s">
        <v>273</v>
      </c>
      <c r="B23" s="98" t="s">
        <v>274</v>
      </c>
      <c r="C23" s="54" t="str">
        <f>IF($A23 = "", "-", HYPERLINK("#'"&amp; $A23 &amp;"'!A1","Go"))</f>
        <v>Go</v>
      </c>
      <c r="D23" s="53" t="str">
        <f ca="1">IF($A23="", "-", IF(ISERROR(INDIRECT($A23 &amp; "!A1")),"Unknown Tab Name","OK"))</f>
        <v>OK</v>
      </c>
      <c r="E23" s="53" t="str">
        <f ca="1">IFERROR(IF(SUBSTITUTE(INDIRECT($A23 &amp; "!A7"),"Error Checks: ","")="Error","Error","-"),"-")</f>
        <v>-</v>
      </c>
    </row>
    <row r="24" spans="1:5">
      <c r="A24" s="98"/>
      <c r="B24" s="98"/>
      <c r="C24" s="54" t="str">
        <f>IF($A24 = "", "-", HYPERLINK("#'"&amp; $A24 &amp;"'!A1","Go"))</f>
        <v>-</v>
      </c>
      <c r="D24" s="53" t="str">
        <f ca="1">IF($A24="", "-", IF(ISERROR(INDIRECT($A24 &amp; "!A1")),"Unknown Tab Name","OK"))</f>
        <v>-</v>
      </c>
      <c r="E24" s="53" t="str">
        <f ca="1">IFERROR(IF(SUBSTITUTE(INDIRECT($A24 &amp; "!A7"),"Error Checks: ","")="Error","Error","-"),"-")</f>
        <v>-</v>
      </c>
    </row>
    <row r="25" spans="1:5">
      <c r="A25" s="99"/>
      <c r="B25" s="100"/>
      <c r="C25" s="55" t="str">
        <f>IF($A25 = "", "-", HYPERLINK("#'"&amp; $A25 &amp;"'!A1","Go"))</f>
        <v>-</v>
      </c>
      <c r="D25" s="55" t="str">
        <f ca="1">IF($A25="", "-", IF(ISERROR(INDIRECT($A25 &amp; "!A1")),"Unknown Tab Name","OK"))</f>
        <v>-</v>
      </c>
      <c r="E25" s="5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pageSetUpPr fitToPage="1"/>
  </sheetPr>
  <dimension ref="A1:H110"/>
  <sheetViews>
    <sheetView showGridLines="0" workbookViewId="0"/>
  </sheetViews>
  <sheetFormatPr defaultColWidth="8.875" defaultRowHeight="12.75"/>
  <cols>
    <col min="1" max="1" width="60.5" style="9" customWidth="1"/>
    <col min="2" max="2" width="13" style="9" customWidth="1"/>
    <col min="3" max="3" width="33" style="9" customWidth="1"/>
    <col min="4" max="8" width="13" style="9" customWidth="1"/>
    <col min="9" max="16384" width="8.875" style="9"/>
  </cols>
  <sheetData>
    <row r="1" spans="1:8" s="4" customFormat="1" ht="24.75">
      <c r="A1" s="1" t="s">
        <v>283</v>
      </c>
      <c r="B1" s="2"/>
      <c r="C1" s="2"/>
      <c r="D1" s="2"/>
      <c r="E1" s="2"/>
      <c r="F1" s="3"/>
      <c r="G1" s="2"/>
      <c r="H1" s="2"/>
    </row>
    <row r="2" spans="1:8" s="7" customFormat="1" ht="15">
      <c r="A2" s="5" t="str">
        <f ca="1">IFERROR("Sheet: " &amp;VLOOKUP(RIGHT(CELL("filename",A1),LEN(CELL("filename",A1))-FIND("]",CELL("filename",A1))),Contents!$A$10:$B$29,2,FALSE),"Sheet name does not match Contents sheet")</f>
        <v>Sheet: Funding adjustment and penalty calculation and results</v>
      </c>
      <c r="B2" s="6"/>
      <c r="C2" s="6"/>
      <c r="D2" s="6"/>
      <c r="E2" s="6"/>
      <c r="F2" s="5"/>
      <c r="G2" s="6"/>
      <c r="H2" s="6"/>
    </row>
    <row r="3" spans="1:8" s="7" customFormat="1" ht="15">
      <c r="A3" s="5"/>
      <c r="B3" s="6"/>
      <c r="C3" s="6"/>
      <c r="D3" s="6"/>
      <c r="E3" s="6"/>
      <c r="F3" s="6"/>
      <c r="G3" s="6"/>
      <c r="H3" s="6"/>
    </row>
    <row r="4" spans="1:8" s="7" customFormat="1" ht="15">
      <c r="A4" s="5"/>
      <c r="B4" s="6"/>
      <c r="C4" s="6"/>
      <c r="D4" s="6"/>
      <c r="E4" s="6"/>
      <c r="F4" s="6"/>
      <c r="G4" s="6"/>
      <c r="H4" s="6"/>
    </row>
    <row r="5" spans="1:8" s="7" customFormat="1" ht="15">
      <c r="A5" s="5"/>
      <c r="B5" s="6"/>
      <c r="C5" s="6"/>
      <c r="D5" s="6"/>
      <c r="E5" s="6"/>
      <c r="F5" s="6"/>
      <c r="G5" s="6"/>
      <c r="H5" s="6"/>
    </row>
    <row r="6" spans="1:8" s="7" customFormat="1" ht="15">
      <c r="A6" s="5"/>
      <c r="B6" s="6"/>
      <c r="C6" s="6"/>
      <c r="D6" s="6"/>
      <c r="E6" s="6"/>
      <c r="F6" s="6"/>
      <c r="G6" s="6"/>
      <c r="H6" s="6"/>
    </row>
    <row r="8" spans="1:8" ht="19.5">
      <c r="A8" s="8" t="str">
        <f ca="1">IFERROR(VLOOKUP(RIGHT(CELL("filename",A1),LEN(CELL("filename",A1))-FIND("]",CELL("filename",A1))),Contents!$A$10:$B$29,2,FALSE), "Sheet name does not match Contents sheet")</f>
        <v>Funding adjustment and penalty calculation and results</v>
      </c>
    </row>
    <row r="9" spans="1:8" ht="19.5">
      <c r="A9" s="8"/>
    </row>
    <row r="10" spans="1:8" s="12" customFormat="1">
      <c r="A10" s="10" t="s">
        <v>0</v>
      </c>
      <c r="B10" s="10"/>
      <c r="C10" s="10"/>
      <c r="D10" s="10"/>
      <c r="E10" s="10"/>
      <c r="F10" s="10"/>
      <c r="G10" s="10"/>
      <c r="H10" s="10"/>
    </row>
    <row r="11" spans="1:8" s="101" customFormat="1"/>
    <row r="12" spans="1:8" s="101" customFormat="1">
      <c r="A12" s="13" t="s">
        <v>1</v>
      </c>
      <c r="D12" s="95" t="s">
        <v>2</v>
      </c>
      <c r="E12" s="95" t="s">
        <v>3</v>
      </c>
      <c r="F12" s="95" t="s">
        <v>4</v>
      </c>
    </row>
    <row r="13" spans="1:8" s="101" customFormat="1">
      <c r="A13" s="102" t="s">
        <v>5</v>
      </c>
      <c r="D13" s="103" t="s">
        <v>6</v>
      </c>
      <c r="E13" s="103"/>
      <c r="F13" s="17" t="str">
        <f>'1.2_Input_Parameters'!F13</f>
        <v>ABC</v>
      </c>
    </row>
    <row r="14" spans="1:8" s="101" customFormat="1">
      <c r="A14" s="102" t="s">
        <v>7</v>
      </c>
      <c r="D14" s="103" t="s">
        <v>8</v>
      </c>
      <c r="E14" s="103" t="s">
        <v>9</v>
      </c>
      <c r="F14" s="18">
        <f>'1.2_Input_Parameters'!F14</f>
        <v>0.95</v>
      </c>
    </row>
    <row r="15" spans="1:8" s="101" customFormat="1">
      <c r="A15" s="102" t="s">
        <v>10</v>
      </c>
      <c r="D15" s="103" t="s">
        <v>11</v>
      </c>
      <c r="E15" s="103" t="s">
        <v>12</v>
      </c>
      <c r="F15" s="19">
        <f>'1.2_Input_Parameters'!F15</f>
        <v>1</v>
      </c>
      <c r="G15" s="101" t="s">
        <v>13</v>
      </c>
    </row>
    <row r="16" spans="1:8" s="101" customFormat="1">
      <c r="A16" s="102" t="s">
        <v>14</v>
      </c>
      <c r="D16" s="103" t="s">
        <v>8</v>
      </c>
      <c r="E16" s="103" t="s">
        <v>15</v>
      </c>
      <c r="F16" s="18">
        <f>'1.2_Input_Parameters'!F16</f>
        <v>2.5000000000000001E-2</v>
      </c>
    </row>
    <row r="17" spans="1:8" s="101" customFormat="1"/>
    <row r="18" spans="1:8" s="12" customFormat="1">
      <c r="A18" s="10" t="s">
        <v>16</v>
      </c>
      <c r="B18" s="10"/>
      <c r="C18" s="10"/>
      <c r="D18" s="10"/>
      <c r="E18" s="10"/>
      <c r="F18" s="10"/>
      <c r="G18" s="10"/>
      <c r="H18" s="10"/>
    </row>
    <row r="19" spans="1:8" s="101" customFormat="1"/>
    <row r="20" spans="1:8" s="12" customFormat="1">
      <c r="A20" s="20" t="s">
        <v>434</v>
      </c>
      <c r="B20" s="20"/>
      <c r="C20" s="20"/>
      <c r="D20" s="20"/>
      <c r="E20" s="20"/>
      <c r="F20" s="20"/>
      <c r="G20" s="20"/>
      <c r="H20" s="20"/>
    </row>
    <row r="21" spans="1:8" s="101" customFormat="1"/>
    <row r="22" spans="1:8" s="101" customFormat="1">
      <c r="E22" s="22" t="s">
        <v>17</v>
      </c>
      <c r="F22" s="22"/>
      <c r="G22" s="22"/>
      <c r="H22" s="22"/>
    </row>
    <row r="23" spans="1:8" s="101" customFormat="1">
      <c r="A23" s="13" t="s">
        <v>435</v>
      </c>
      <c r="B23" s="13" t="s">
        <v>3</v>
      </c>
      <c r="C23" s="13" t="s">
        <v>18</v>
      </c>
      <c r="D23" s="13" t="s">
        <v>2</v>
      </c>
      <c r="E23" s="23" t="s">
        <v>19</v>
      </c>
      <c r="F23" s="23" t="s">
        <v>20</v>
      </c>
      <c r="G23" s="23" t="s">
        <v>21</v>
      </c>
      <c r="H23" s="23" t="s">
        <v>22</v>
      </c>
    </row>
    <row r="24" spans="1:8" s="101" customFormat="1">
      <c r="A24" s="102" t="s">
        <v>427</v>
      </c>
      <c r="B24" s="102" t="s">
        <v>342</v>
      </c>
      <c r="C24" s="102"/>
      <c r="D24" s="102" t="s">
        <v>23</v>
      </c>
      <c r="E24" s="24">
        <f ca="1">'1.3_Input_Baseline_Allowances'!D14</f>
        <v>560</v>
      </c>
      <c r="F24" s="24">
        <f ca="1">'1.3_Input_Baseline_Allowances'!E14</f>
        <v>86</v>
      </c>
      <c r="G24" s="24">
        <f ca="1">'1.3_Input_Baseline_Allowances'!F14</f>
        <v>85</v>
      </c>
      <c r="H24" s="24">
        <f>'1.3_Input_Baseline_Allowances'!G14</f>
        <v>0</v>
      </c>
    </row>
    <row r="25" spans="1:8" s="101" customFormat="1">
      <c r="A25" s="102" t="s">
        <v>439</v>
      </c>
      <c r="B25" s="102" t="s">
        <v>343</v>
      </c>
      <c r="C25" s="102"/>
      <c r="D25" s="102" t="s">
        <v>24</v>
      </c>
      <c r="E25" s="24">
        <f ca="1">'1.3_Input_Baseline_Allowances'!D15</f>
        <v>507</v>
      </c>
      <c r="F25" s="24">
        <f ca="1">'1.3_Input_Baseline_Allowances'!E15</f>
        <v>70</v>
      </c>
      <c r="G25" s="24">
        <f ca="1">'1.3_Input_Baseline_Allowances'!F15</f>
        <v>89</v>
      </c>
      <c r="H25" s="24">
        <f>'1.3_Input_Baseline_Allowances'!G15</f>
        <v>0</v>
      </c>
    </row>
    <row r="26" spans="1:8" s="101" customFormat="1">
      <c r="A26" s="102" t="s">
        <v>429</v>
      </c>
      <c r="B26" s="102" t="s">
        <v>344</v>
      </c>
      <c r="C26" s="102" t="s">
        <v>345</v>
      </c>
      <c r="D26" s="102" t="s">
        <v>25</v>
      </c>
      <c r="E26" s="25">
        <f ca="1">E24/E25</f>
        <v>1.1045364891518739</v>
      </c>
    </row>
    <row r="27" spans="1:8" s="101" customFormat="1"/>
    <row r="28" spans="1:8" s="12" customFormat="1">
      <c r="A28" s="20" t="s">
        <v>26</v>
      </c>
      <c r="B28" s="20"/>
      <c r="C28" s="20"/>
      <c r="D28" s="20"/>
      <c r="E28" s="20"/>
      <c r="F28" s="20"/>
      <c r="G28" s="20"/>
      <c r="H28" s="20"/>
    </row>
    <row r="29" spans="1:8" s="101" customFormat="1"/>
    <row r="30" spans="1:8" s="101" customFormat="1">
      <c r="A30" s="13" t="s">
        <v>27</v>
      </c>
      <c r="B30" s="13" t="s">
        <v>3</v>
      </c>
      <c r="C30" s="13" t="s">
        <v>18</v>
      </c>
      <c r="D30" s="13" t="s">
        <v>2</v>
      </c>
      <c r="E30" s="23" t="s">
        <v>19</v>
      </c>
      <c r="F30" s="23" t="s">
        <v>20</v>
      </c>
      <c r="G30" s="23" t="s">
        <v>21</v>
      </c>
      <c r="H30" s="23" t="s">
        <v>22</v>
      </c>
    </row>
    <row r="31" spans="1:8" s="101" customFormat="1">
      <c r="A31" s="102" t="s">
        <v>28</v>
      </c>
      <c r="B31" s="102" t="s">
        <v>29</v>
      </c>
      <c r="C31" s="102"/>
      <c r="D31" s="102" t="s">
        <v>23</v>
      </c>
      <c r="E31" s="24">
        <f ca="1">'1.4_Input_Outturn_Delivery'!D14</f>
        <v>564.25000000000011</v>
      </c>
      <c r="F31" s="24">
        <f ca="1">'1.4_Input_Outturn_Delivery'!E14</f>
        <v>85.65</v>
      </c>
      <c r="G31" s="24">
        <f ca="1">'1.4_Input_Outturn_Delivery'!F14</f>
        <v>83.029999999999987</v>
      </c>
      <c r="H31" s="24">
        <f ca="1">'1.4_Input_Outturn_Delivery'!G14</f>
        <v>0</v>
      </c>
    </row>
    <row r="32" spans="1:8" s="101" customFormat="1">
      <c r="A32" s="102" t="s">
        <v>30</v>
      </c>
      <c r="B32" s="102" t="s">
        <v>31</v>
      </c>
      <c r="C32" s="102"/>
      <c r="D32" s="102" t="s">
        <v>24</v>
      </c>
      <c r="E32" s="24">
        <f ca="1">'1.4_Input_Outturn_Delivery'!D15</f>
        <v>492.13</v>
      </c>
      <c r="F32" s="24">
        <f ca="1">'1.4_Input_Outturn_Delivery'!E15</f>
        <v>68.52</v>
      </c>
      <c r="G32" s="24">
        <f ca="1">'1.4_Input_Outturn_Delivery'!F15</f>
        <v>90.339999999999989</v>
      </c>
      <c r="H32" s="24">
        <f ca="1">'1.4_Input_Outturn_Delivery'!G15</f>
        <v>0</v>
      </c>
    </row>
    <row r="33" spans="1:8" s="101" customFormat="1">
      <c r="A33" s="102" t="s">
        <v>32</v>
      </c>
      <c r="B33" s="102" t="s">
        <v>33</v>
      </c>
      <c r="C33" s="102" t="s">
        <v>34</v>
      </c>
      <c r="D33" s="102" t="s">
        <v>25</v>
      </c>
      <c r="E33" s="25">
        <f ca="1">E31/E32</f>
        <v>1.1465466441793837</v>
      </c>
    </row>
    <row r="34" spans="1:8" s="101" customFormat="1"/>
    <row r="35" spans="1:8" s="12" customFormat="1">
      <c r="A35" s="20" t="s">
        <v>35</v>
      </c>
      <c r="B35" s="20"/>
      <c r="C35" s="20"/>
      <c r="D35" s="20"/>
      <c r="E35" s="20"/>
      <c r="F35" s="20"/>
      <c r="G35" s="20"/>
      <c r="H35" s="20"/>
    </row>
    <row r="36" spans="1:8" s="101" customFormat="1"/>
    <row r="37" spans="1:8" s="12" customFormat="1">
      <c r="A37" s="26" t="s">
        <v>36</v>
      </c>
      <c r="B37" s="26"/>
      <c r="C37" s="26"/>
      <c r="D37" s="26"/>
      <c r="E37" s="26"/>
      <c r="F37" s="26"/>
      <c r="G37" s="26"/>
      <c r="H37" s="26"/>
    </row>
    <row r="38" spans="1:8" s="101" customFormat="1">
      <c r="A38" s="13" t="s">
        <v>37</v>
      </c>
      <c r="B38" s="13" t="s">
        <v>3</v>
      </c>
      <c r="C38" s="13" t="s">
        <v>18</v>
      </c>
      <c r="D38" s="13" t="s">
        <v>2</v>
      </c>
      <c r="E38" s="23" t="s">
        <v>19</v>
      </c>
      <c r="F38" s="23" t="s">
        <v>20</v>
      </c>
      <c r="G38" s="23" t="s">
        <v>21</v>
      </c>
      <c r="H38" s="23" t="s">
        <v>22</v>
      </c>
    </row>
    <row r="39" spans="1:8" s="101" customFormat="1">
      <c r="A39" s="102" t="s">
        <v>38</v>
      </c>
      <c r="B39" s="102" t="s">
        <v>39</v>
      </c>
      <c r="C39" s="102"/>
      <c r="D39" s="102" t="s">
        <v>24</v>
      </c>
      <c r="E39" s="28">
        <f ca="1">'1.5_Input_Non_Intervention_Adj'!D14</f>
        <v>-4.5</v>
      </c>
      <c r="F39" s="28">
        <f ca="1">F$32 * RANDBETWEEN(-3,3)/100</f>
        <v>0</v>
      </c>
      <c r="G39" s="28">
        <f ca="1">G$32 * RANDBETWEEN(-3,3)/100</f>
        <v>0.90339999999999987</v>
      </c>
      <c r="H39" s="28">
        <f ca="1">H$32 * RANDBETWEEN(-3,3)/100</f>
        <v>0</v>
      </c>
    </row>
    <row r="40" spans="1:8" s="101" customFormat="1"/>
    <row r="41" spans="1:8" s="101" customFormat="1">
      <c r="A41" s="13" t="s">
        <v>40</v>
      </c>
      <c r="B41" s="13" t="s">
        <v>3</v>
      </c>
      <c r="C41" s="13" t="s">
        <v>18</v>
      </c>
      <c r="D41" s="13" t="s">
        <v>2</v>
      </c>
      <c r="E41" s="23" t="s">
        <v>19</v>
      </c>
      <c r="F41" s="23" t="s">
        <v>20</v>
      </c>
      <c r="G41" s="23" t="s">
        <v>21</v>
      </c>
      <c r="H41" s="23" t="s">
        <v>22</v>
      </c>
    </row>
    <row r="42" spans="1:8" s="101" customFormat="1">
      <c r="A42" s="102" t="s">
        <v>41</v>
      </c>
      <c r="B42" s="102" t="s">
        <v>42</v>
      </c>
      <c r="C42" s="102" t="s">
        <v>43</v>
      </c>
      <c r="D42" s="102" t="s">
        <v>24</v>
      </c>
      <c r="E42" s="29">
        <f ca="1">E32+E39</f>
        <v>487.63</v>
      </c>
      <c r="F42" s="29">
        <f ca="1">F32+F39</f>
        <v>68.52</v>
      </c>
      <c r="G42" s="29">
        <f ca="1">G32+G39</f>
        <v>91.243399999999994</v>
      </c>
      <c r="H42" s="29">
        <f ca="1">H32+H39</f>
        <v>0</v>
      </c>
    </row>
    <row r="43" spans="1:8" s="101" customFormat="1">
      <c r="A43" s="102" t="s">
        <v>44</v>
      </c>
      <c r="B43" s="102" t="s">
        <v>45</v>
      </c>
      <c r="C43" s="102" t="s">
        <v>46</v>
      </c>
      <c r="D43" s="102" t="s">
        <v>25</v>
      </c>
      <c r="E43" s="25">
        <f ca="1">E31/E42</f>
        <v>1.1571273301478582</v>
      </c>
    </row>
    <row r="44" spans="1:8" s="101" customFormat="1">
      <c r="E44" s="104"/>
    </row>
    <row r="45" spans="1:8" s="12" customFormat="1">
      <c r="A45" s="26" t="s">
        <v>47</v>
      </c>
      <c r="B45" s="26"/>
      <c r="C45" s="26"/>
      <c r="D45" s="26"/>
      <c r="E45" s="26"/>
      <c r="F45" s="26"/>
      <c r="G45" s="26"/>
      <c r="H45" s="26"/>
    </row>
    <row r="46" spans="1:8" s="101" customFormat="1">
      <c r="A46" s="12" t="s">
        <v>48</v>
      </c>
      <c r="B46" s="13" t="s">
        <v>3</v>
      </c>
      <c r="C46" s="13" t="s">
        <v>18</v>
      </c>
      <c r="D46" s="13" t="s">
        <v>2</v>
      </c>
      <c r="E46" s="23" t="s">
        <v>19</v>
      </c>
    </row>
    <row r="47" spans="1:8" s="101" customFormat="1">
      <c r="A47" s="102" t="s">
        <v>49</v>
      </c>
      <c r="B47" s="102" t="s">
        <v>50</v>
      </c>
      <c r="C47" s="102"/>
      <c r="D47" s="102" t="s">
        <v>24</v>
      </c>
      <c r="E47" s="24">
        <f ca="1">'1.6_Input_Efficient_Delivery'!D15</f>
        <v>68.59999999999998</v>
      </c>
    </row>
    <row r="48" spans="1:8" s="101" customFormat="1">
      <c r="A48" s="102" t="s">
        <v>451</v>
      </c>
      <c r="B48" s="102" t="s">
        <v>465</v>
      </c>
      <c r="C48" s="102"/>
      <c r="D48" s="102" t="s">
        <v>23</v>
      </c>
      <c r="E48" s="24">
        <f ca="1">'1.6_Input_Efficient_Delivery'!D14</f>
        <v>118.16424999999998</v>
      </c>
    </row>
    <row r="49" spans="1:8" s="101" customFormat="1">
      <c r="A49" s="102" t="s">
        <v>51</v>
      </c>
      <c r="B49" s="102" t="s">
        <v>52</v>
      </c>
      <c r="C49" s="102"/>
      <c r="D49" s="102" t="s">
        <v>23</v>
      </c>
      <c r="E49" s="24">
        <f ca="1">'1.6_Input_Efficient_Delivery'!D16</f>
        <v>12.540000000000001</v>
      </c>
    </row>
    <row r="50" spans="1:8" s="101" customFormat="1">
      <c r="A50" s="105"/>
      <c r="B50" s="105"/>
      <c r="C50" s="105"/>
      <c r="D50" s="105"/>
      <c r="E50" s="105"/>
    </row>
    <row r="51" spans="1:8" s="101" customFormat="1">
      <c r="A51" s="13" t="s">
        <v>53</v>
      </c>
      <c r="B51" s="13" t="s">
        <v>3</v>
      </c>
      <c r="C51" s="13" t="s">
        <v>18</v>
      </c>
      <c r="D51" s="13" t="s">
        <v>2</v>
      </c>
      <c r="E51" s="23" t="s">
        <v>19</v>
      </c>
    </row>
    <row r="52" spans="1:8" s="101" customFormat="1">
      <c r="A52" s="102" t="s">
        <v>54</v>
      </c>
      <c r="B52" s="102" t="s">
        <v>55</v>
      </c>
      <c r="C52" s="102" t="s">
        <v>56</v>
      </c>
      <c r="D52" s="102" t="s">
        <v>24</v>
      </c>
      <c r="E52" s="29">
        <f ca="1">E42-E47</f>
        <v>419.03000000000003</v>
      </c>
    </row>
    <row r="53" spans="1:8" s="101" customFormat="1">
      <c r="A53" s="102" t="s">
        <v>214</v>
      </c>
      <c r="B53" s="102" t="s">
        <v>57</v>
      </c>
      <c r="C53" s="102" t="s">
        <v>58</v>
      </c>
      <c r="D53" s="102" t="s">
        <v>23</v>
      </c>
      <c r="E53" s="29">
        <f ca="1">E31-E48+E49</f>
        <v>458.62575000000015</v>
      </c>
    </row>
    <row r="54" spans="1:8" s="101" customFormat="1">
      <c r="A54" s="102" t="s">
        <v>59</v>
      </c>
      <c r="B54" s="102" t="s">
        <v>60</v>
      </c>
      <c r="C54" s="102" t="s">
        <v>61</v>
      </c>
      <c r="D54" s="102" t="s">
        <v>25</v>
      </c>
      <c r="E54" s="25">
        <f ca="1">E53/E52</f>
        <v>1.0944938309906216</v>
      </c>
    </row>
    <row r="55" spans="1:8" s="101" customFormat="1">
      <c r="A55" s="105"/>
      <c r="B55" s="105"/>
      <c r="C55" s="105"/>
      <c r="D55" s="105"/>
      <c r="E55" s="105"/>
    </row>
    <row r="56" spans="1:8" s="101" customFormat="1">
      <c r="A56" s="13" t="s">
        <v>430</v>
      </c>
      <c r="B56" s="42" t="s">
        <v>3</v>
      </c>
      <c r="C56" s="42" t="s">
        <v>18</v>
      </c>
      <c r="D56" s="42" t="s">
        <v>2</v>
      </c>
      <c r="E56" s="43" t="s">
        <v>19</v>
      </c>
    </row>
    <row r="57" spans="1:8" s="101" customFormat="1">
      <c r="A57" s="102" t="s">
        <v>431</v>
      </c>
      <c r="B57" s="102" t="s">
        <v>346</v>
      </c>
      <c r="C57" s="102" t="s">
        <v>347</v>
      </c>
      <c r="D57" s="102" t="s">
        <v>24</v>
      </c>
      <c r="E57" s="29">
        <f ca="1">E25-E47</f>
        <v>438.40000000000003</v>
      </c>
    </row>
    <row r="58" spans="1:8" s="101" customFormat="1">
      <c r="A58" s="102" t="s">
        <v>432</v>
      </c>
      <c r="B58" s="102" t="s">
        <v>348</v>
      </c>
      <c r="C58" s="102" t="s">
        <v>466</v>
      </c>
      <c r="D58" s="102" t="s">
        <v>23</v>
      </c>
      <c r="E58" s="29">
        <f ca="1">E24-E48</f>
        <v>441.83575000000002</v>
      </c>
    </row>
    <row r="59" spans="1:8" s="101" customFormat="1">
      <c r="A59" s="102" t="s">
        <v>433</v>
      </c>
      <c r="B59" s="102" t="s">
        <v>349</v>
      </c>
      <c r="C59" s="102" t="s">
        <v>350</v>
      </c>
      <c r="D59" s="102" t="s">
        <v>25</v>
      </c>
      <c r="E59" s="25">
        <f ca="1">E58/E57</f>
        <v>1.0078370209854015</v>
      </c>
    </row>
    <row r="60" spans="1:8" s="101" customFormat="1">
      <c r="E60" s="104"/>
    </row>
    <row r="61" spans="1:8" s="12" customFormat="1">
      <c r="A61" s="26" t="s">
        <v>62</v>
      </c>
      <c r="B61" s="26"/>
      <c r="C61" s="26"/>
      <c r="D61" s="26"/>
      <c r="E61" s="26"/>
      <c r="F61" s="26"/>
      <c r="G61" s="26"/>
      <c r="H61" s="26"/>
    </row>
    <row r="62" spans="1:8" s="101" customFormat="1"/>
    <row r="63" spans="1:8" s="101" customFormat="1">
      <c r="A63" s="13" t="s">
        <v>63</v>
      </c>
      <c r="B63" s="13" t="s">
        <v>3</v>
      </c>
      <c r="C63" s="13" t="s">
        <v>18</v>
      </c>
      <c r="D63" s="13" t="s">
        <v>2</v>
      </c>
      <c r="E63" s="23" t="s">
        <v>4</v>
      </c>
    </row>
    <row r="64" spans="1:8" s="101" customFormat="1">
      <c r="A64" s="102" t="s">
        <v>64</v>
      </c>
      <c r="B64" s="102" t="s">
        <v>65</v>
      </c>
      <c r="C64" s="102" t="s">
        <v>66</v>
      </c>
      <c r="D64" s="102" t="s">
        <v>25</v>
      </c>
      <c r="E64" s="25">
        <f ca="1">IF(F15=0, E59 - (E59 - E54) * F14, MIN(E59,E59 - (E59 - E54) * F14))</f>
        <v>1.0078370209854015</v>
      </c>
      <c r="F64" s="106"/>
      <c r="G64" s="107"/>
    </row>
    <row r="65" spans="1:7" s="101" customFormat="1">
      <c r="A65" s="106"/>
    </row>
    <row r="66" spans="1:7" s="101" customFormat="1"/>
    <row r="67" spans="1:7" s="101" customFormat="1">
      <c r="A67" s="13" t="s">
        <v>67</v>
      </c>
      <c r="B67" s="13" t="s">
        <v>3</v>
      </c>
      <c r="C67" s="13" t="s">
        <v>18</v>
      </c>
      <c r="D67" s="13" t="s">
        <v>2</v>
      </c>
      <c r="E67" s="23" t="s">
        <v>4</v>
      </c>
    </row>
    <row r="68" spans="1:7" s="101" customFormat="1">
      <c r="A68" s="102" t="s">
        <v>68</v>
      </c>
      <c r="B68" s="102" t="s">
        <v>69</v>
      </c>
      <c r="C68" s="102" t="s">
        <v>351</v>
      </c>
      <c r="D68" s="102" t="s">
        <v>24</v>
      </c>
      <c r="E68" s="25">
        <f ca="1">E42-E25</f>
        <v>-19.370000000000005</v>
      </c>
    </row>
    <row r="69" spans="1:7" s="101" customFormat="1">
      <c r="A69" s="102" t="s">
        <v>70</v>
      </c>
      <c r="B69" s="102" t="s">
        <v>71</v>
      </c>
      <c r="C69" s="102"/>
      <c r="D69" s="102" t="s">
        <v>6</v>
      </c>
      <c r="E69" s="25" t="str">
        <f ca="1">IF($E$68&gt;0,"Over-Delivery",IF($E$68&lt;0,"Under-Delivery","Baseline"))</f>
        <v>Under-Delivery</v>
      </c>
    </row>
    <row r="70" spans="1:7" s="101" customFormat="1">
      <c r="A70" s="102" t="s">
        <v>441</v>
      </c>
      <c r="B70" s="102" t="s">
        <v>442</v>
      </c>
      <c r="C70" s="102"/>
      <c r="D70" s="102" t="s">
        <v>72</v>
      </c>
      <c r="E70" s="31">
        <f ca="1">IF(E68=0,1,0)</f>
        <v>0</v>
      </c>
    </row>
    <row r="71" spans="1:7" s="101" customFormat="1">
      <c r="A71" s="102" t="s">
        <v>73</v>
      </c>
      <c r="B71" s="102" t="s">
        <v>74</v>
      </c>
      <c r="C71" s="102"/>
      <c r="D71" s="102" t="s">
        <v>72</v>
      </c>
      <c r="E71" s="31">
        <f ca="1">IF(E68&gt;0,1,0)</f>
        <v>0</v>
      </c>
    </row>
    <row r="72" spans="1:7" s="101" customFormat="1">
      <c r="A72" s="102" t="s">
        <v>75</v>
      </c>
      <c r="B72" s="102" t="s">
        <v>76</v>
      </c>
      <c r="C72" s="102"/>
      <c r="D72" s="102" t="s">
        <v>72</v>
      </c>
      <c r="E72" s="31">
        <f ca="1">IF(E68&lt;0,1,0)</f>
        <v>1</v>
      </c>
    </row>
    <row r="73" spans="1:7" s="101" customFormat="1"/>
    <row r="74" spans="1:7" s="101" customFormat="1">
      <c r="A74" s="13" t="s">
        <v>77</v>
      </c>
      <c r="B74" s="13" t="s">
        <v>3</v>
      </c>
      <c r="C74" s="13" t="s">
        <v>18</v>
      </c>
      <c r="D74" s="13" t="s">
        <v>2</v>
      </c>
      <c r="E74" s="23" t="s">
        <v>4</v>
      </c>
    </row>
    <row r="75" spans="1:7" s="101" customFormat="1">
      <c r="A75" s="102" t="s">
        <v>78</v>
      </c>
      <c r="B75" s="102" t="s">
        <v>79</v>
      </c>
      <c r="C75" s="102"/>
      <c r="D75" s="102" t="s">
        <v>8</v>
      </c>
      <c r="E75" s="32">
        <f>'1.2_Input_Parameters'!E22</f>
        <v>0.3</v>
      </c>
    </row>
    <row r="76" spans="1:7" s="101" customFormat="1"/>
    <row r="77" spans="1:7" s="101" customFormat="1">
      <c r="A77" s="13" t="s">
        <v>80</v>
      </c>
      <c r="B77" s="13" t="s">
        <v>3</v>
      </c>
      <c r="C77" s="13" t="s">
        <v>18</v>
      </c>
      <c r="D77" s="13" t="s">
        <v>2</v>
      </c>
      <c r="E77" s="23" t="s">
        <v>4</v>
      </c>
    </row>
    <row r="78" spans="1:7" s="101" customFormat="1">
      <c r="A78" s="108" t="s">
        <v>440</v>
      </c>
      <c r="B78" s="102" t="s">
        <v>81</v>
      </c>
      <c r="C78" s="102" t="s">
        <v>82</v>
      </c>
      <c r="D78" s="102" t="s">
        <v>83</v>
      </c>
      <c r="E78" s="29">
        <f ca="1">$E$52 * $E$64 * $E$70</f>
        <v>0</v>
      </c>
    </row>
    <row r="79" spans="1:7" s="101" customFormat="1">
      <c r="A79" s="108" t="s">
        <v>84</v>
      </c>
      <c r="B79" s="102" t="s">
        <v>85</v>
      </c>
      <c r="C79" s="102" t="s">
        <v>352</v>
      </c>
      <c r="D79" s="102" t="s">
        <v>83</v>
      </c>
      <c r="E79" s="29">
        <f ca="1">$E$57* $E$64 * (1 - $E$75)  * $E$71</f>
        <v>0</v>
      </c>
      <c r="F79" s="106"/>
      <c r="G79" s="106"/>
    </row>
    <row r="80" spans="1:7" s="101" customFormat="1">
      <c r="A80" s="108" t="s">
        <v>86</v>
      </c>
      <c r="B80" s="102" t="s">
        <v>87</v>
      </c>
      <c r="C80" s="102" t="s">
        <v>88</v>
      </c>
      <c r="D80" s="102" t="s">
        <v>83</v>
      </c>
      <c r="E80" s="29">
        <f ca="1">$E$52 * $E$64 * ($E$75)  * $E$71</f>
        <v>0</v>
      </c>
      <c r="F80" s="106"/>
      <c r="G80" s="106"/>
    </row>
    <row r="81" spans="1:8" s="101" customFormat="1">
      <c r="A81" s="108" t="s">
        <v>89</v>
      </c>
      <c r="B81" s="102" t="s">
        <v>90</v>
      </c>
      <c r="C81" s="102" t="s">
        <v>91</v>
      </c>
      <c r="D81" s="102" t="s">
        <v>83</v>
      </c>
      <c r="E81" s="29">
        <f ca="1">$E$52 * $E$64 *  $E$72</f>
        <v>422.31394690351283</v>
      </c>
      <c r="F81" s="106"/>
      <c r="G81" s="106"/>
    </row>
    <row r="82" spans="1:8" s="101" customFormat="1">
      <c r="A82" s="102" t="s">
        <v>92</v>
      </c>
      <c r="B82" s="102" t="s">
        <v>93</v>
      </c>
      <c r="C82" s="102" t="s">
        <v>94</v>
      </c>
      <c r="D82" s="102" t="s">
        <v>83</v>
      </c>
      <c r="E82" s="29">
        <f ca="1">SUM(E78:E81)</f>
        <v>422.31394690351283</v>
      </c>
      <c r="F82" s="106"/>
      <c r="G82" s="106"/>
    </row>
    <row r="83" spans="1:8" s="101" customFormat="1">
      <c r="A83" s="102" t="s">
        <v>95</v>
      </c>
      <c r="B83" s="102" t="s">
        <v>96</v>
      </c>
      <c r="C83" s="102" t="s">
        <v>97</v>
      </c>
      <c r="D83" s="102" t="s">
        <v>83</v>
      </c>
      <c r="E83" s="29">
        <f ca="1">E53-E82</f>
        <v>36.311803096487324</v>
      </c>
      <c r="F83" s="34">
        <f ca="1">E83/E82</f>
        <v>8.5982959745309048E-2</v>
      </c>
      <c r="G83" s="106"/>
    </row>
    <row r="84" spans="1:8" s="101" customFormat="1">
      <c r="A84" s="106"/>
      <c r="B84" s="106"/>
      <c r="C84" s="106"/>
      <c r="D84" s="106"/>
      <c r="E84" s="106"/>
      <c r="F84" s="106"/>
      <c r="G84" s="106"/>
    </row>
    <row r="85" spans="1:8" s="12" customFormat="1">
      <c r="A85" s="26" t="s">
        <v>98</v>
      </c>
      <c r="B85" s="26"/>
      <c r="C85" s="26"/>
      <c r="D85" s="26"/>
      <c r="E85" s="26"/>
      <c r="F85" s="26"/>
      <c r="G85" s="26"/>
      <c r="H85" s="26"/>
    </row>
    <row r="86" spans="1:8" s="101" customFormat="1"/>
    <row r="87" spans="1:8" s="101" customFormat="1">
      <c r="A87" s="13" t="s">
        <v>99</v>
      </c>
      <c r="B87" s="13" t="s">
        <v>3</v>
      </c>
      <c r="C87" s="13" t="s">
        <v>18</v>
      </c>
      <c r="D87" s="39" t="s">
        <v>2</v>
      </c>
      <c r="E87" s="23"/>
    </row>
    <row r="88" spans="1:8" s="101" customFormat="1">
      <c r="A88" s="102" t="s">
        <v>100</v>
      </c>
      <c r="B88" s="102" t="s">
        <v>348</v>
      </c>
      <c r="C88" s="102"/>
      <c r="D88" s="109" t="s">
        <v>83</v>
      </c>
      <c r="E88" s="29">
        <f ca="1">'1.6_Input_Efficient_Delivery'!D14</f>
        <v>118.16424999999998</v>
      </c>
    </row>
    <row r="89" spans="1:8" s="101" customFormat="1">
      <c r="E89" s="102"/>
    </row>
    <row r="90" spans="1:8" s="101" customFormat="1">
      <c r="A90" s="13" t="s">
        <v>101</v>
      </c>
      <c r="B90" s="13" t="s">
        <v>3</v>
      </c>
      <c r="C90" s="13" t="s">
        <v>18</v>
      </c>
      <c r="D90" s="39" t="s">
        <v>2</v>
      </c>
      <c r="E90" s="23"/>
    </row>
    <row r="91" spans="1:8" s="101" customFormat="1">
      <c r="A91" s="102" t="s">
        <v>102</v>
      </c>
      <c r="B91" s="102" t="s">
        <v>103</v>
      </c>
      <c r="C91" s="102" t="s">
        <v>452</v>
      </c>
      <c r="D91" s="109" t="s">
        <v>83</v>
      </c>
      <c r="E91" s="29">
        <f ca="1">E82+E88</f>
        <v>540.47819690351275</v>
      </c>
    </row>
    <row r="92" spans="1:8" s="101" customFormat="1">
      <c r="A92" s="102" t="s">
        <v>104</v>
      </c>
      <c r="B92" s="102" t="s">
        <v>105</v>
      </c>
      <c r="C92" s="102" t="s">
        <v>106</v>
      </c>
      <c r="D92" s="109" t="s">
        <v>107</v>
      </c>
      <c r="E92" s="29">
        <f ca="1">E31 - E91</f>
        <v>23.771803096487361</v>
      </c>
      <c r="F92" s="34">
        <f ca="1">E92/E91</f>
        <v>4.3982908529298453E-2</v>
      </c>
    </row>
    <row r="93" spans="1:8" s="101" customFormat="1"/>
    <row r="94" spans="1:8" s="101" customFormat="1">
      <c r="A94" s="26" t="s">
        <v>108</v>
      </c>
      <c r="B94" s="26"/>
      <c r="C94" s="26"/>
      <c r="D94" s="26"/>
      <c r="E94" s="26"/>
      <c r="F94" s="26"/>
      <c r="G94" s="26"/>
      <c r="H94" s="26"/>
    </row>
    <row r="95" spans="1:8" s="101" customFormat="1"/>
    <row r="96" spans="1:8" s="101" customFormat="1">
      <c r="A96" s="13" t="s">
        <v>109</v>
      </c>
      <c r="B96" s="13" t="s">
        <v>3</v>
      </c>
      <c r="C96" s="13" t="s">
        <v>18</v>
      </c>
      <c r="D96" s="13" t="s">
        <v>2</v>
      </c>
      <c r="E96" s="23" t="s">
        <v>4</v>
      </c>
      <c r="F96" s="106"/>
      <c r="G96" s="106"/>
    </row>
    <row r="97" spans="1:8" s="101" customFormat="1">
      <c r="A97" s="102" t="s">
        <v>110</v>
      </c>
      <c r="B97" s="102" t="s">
        <v>90</v>
      </c>
      <c r="C97" s="102" t="s">
        <v>90</v>
      </c>
      <c r="D97" s="102" t="s">
        <v>107</v>
      </c>
      <c r="E97" s="29">
        <f ca="1">E81</f>
        <v>422.31394690351283</v>
      </c>
    </row>
    <row r="98" spans="1:8" s="101" customFormat="1">
      <c r="A98" s="102" t="s">
        <v>111</v>
      </c>
      <c r="B98" s="102" t="s">
        <v>112</v>
      </c>
      <c r="C98" s="102" t="s">
        <v>341</v>
      </c>
      <c r="D98" s="102" t="s">
        <v>107</v>
      </c>
      <c r="E98" s="29">
        <f ca="1">IF(E97&gt;0, E97-E58, 0)</f>
        <v>-19.52180309648719</v>
      </c>
    </row>
    <row r="99" spans="1:8" s="101" customFormat="1">
      <c r="A99" s="102" t="s">
        <v>113</v>
      </c>
      <c r="B99" s="102" t="s">
        <v>114</v>
      </c>
      <c r="C99" s="102" t="s">
        <v>115</v>
      </c>
      <c r="D99" s="102" t="s">
        <v>107</v>
      </c>
      <c r="E99" s="29">
        <f ca="1">E98*(1-E75)*$F$16</f>
        <v>-0.34163155418852581</v>
      </c>
    </row>
    <row r="100" spans="1:8" s="101" customFormat="1"/>
    <row r="101" spans="1:8" s="101" customFormat="1">
      <c r="A101" s="20" t="s">
        <v>116</v>
      </c>
      <c r="B101" s="20"/>
      <c r="C101" s="20"/>
      <c r="D101" s="20"/>
      <c r="E101" s="20"/>
      <c r="F101" s="20"/>
      <c r="G101" s="20"/>
      <c r="H101" s="20"/>
    </row>
    <row r="102" spans="1:8" s="101" customFormat="1"/>
    <row r="103" spans="1:8" s="101" customFormat="1">
      <c r="A103" s="13" t="s">
        <v>117</v>
      </c>
      <c r="B103" s="13" t="s">
        <v>3</v>
      </c>
      <c r="C103" s="13" t="s">
        <v>18</v>
      </c>
      <c r="D103" s="13" t="s">
        <v>2</v>
      </c>
      <c r="E103" s="23" t="s">
        <v>4</v>
      </c>
    </row>
    <row r="104" spans="1:8" s="101" customFormat="1">
      <c r="A104" s="102" t="s">
        <v>443</v>
      </c>
      <c r="B104" s="102" t="s">
        <v>105</v>
      </c>
      <c r="C104" s="102"/>
      <c r="D104" s="102" t="s">
        <v>107</v>
      </c>
      <c r="E104" s="29">
        <f ca="1">E92</f>
        <v>23.771803096487361</v>
      </c>
    </row>
    <row r="105" spans="1:8" s="101" customFormat="1">
      <c r="A105" s="102" t="s">
        <v>444</v>
      </c>
      <c r="B105" s="102" t="s">
        <v>438</v>
      </c>
      <c r="C105" s="102"/>
      <c r="D105" s="102" t="s">
        <v>445</v>
      </c>
      <c r="E105" s="32">
        <f>'1.2_Input_Parameters'!F17</f>
        <v>0.4</v>
      </c>
    </row>
    <row r="106" spans="1:8" s="101" customFormat="1">
      <c r="A106" s="102" t="s">
        <v>446</v>
      </c>
      <c r="B106" s="102" t="s">
        <v>447</v>
      </c>
      <c r="C106" s="110" t="s">
        <v>448</v>
      </c>
      <c r="D106" s="102" t="s">
        <v>107</v>
      </c>
      <c r="E106" s="29">
        <f ca="1">-E104*E105</f>
        <v>-9.5087212385949442</v>
      </c>
    </row>
    <row r="107" spans="1:8" s="101" customFormat="1">
      <c r="A107" s="102" t="s">
        <v>450</v>
      </c>
      <c r="B107" s="102" t="s">
        <v>118</v>
      </c>
      <c r="C107" s="102" t="s">
        <v>449</v>
      </c>
      <c r="D107" s="102" t="s">
        <v>107</v>
      </c>
      <c r="E107" s="29">
        <f ca="1">E106+E99</f>
        <v>-9.85035279278347</v>
      </c>
      <c r="F107" s="34">
        <f ca="1">E107/E31</f>
        <v>-1.74574263053318E-2</v>
      </c>
      <c r="G107" s="34" t="str">
        <f ca="1">IF(E107&gt;=0,"GAIN","LOSS")</f>
        <v>LOSS</v>
      </c>
    </row>
    <row r="108" spans="1:8" s="101" customFormat="1">
      <c r="B108" s="101" t="s">
        <v>453</v>
      </c>
    </row>
    <row r="109" spans="1:8" s="101" customFormat="1"/>
    <row r="110" spans="1:8" s="101" customFormat="1">
      <c r="A110" s="26"/>
      <c r="B110" s="26"/>
      <c r="C110" s="26"/>
      <c r="D110" s="26"/>
      <c r="E110" s="26"/>
      <c r="F110" s="26"/>
      <c r="G110" s="26"/>
      <c r="H110" s="26"/>
    </row>
  </sheetData>
  <pageMargins left="0.25" right="0.25" top="0.75" bottom="0.75" header="0.3" footer="0.3"/>
  <pageSetup paperSize="9" scale="5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pageSetUpPr fitToPage="1"/>
  </sheetPr>
  <dimension ref="A1:H22"/>
  <sheetViews>
    <sheetView showGridLines="0" workbookViewId="0"/>
  </sheetViews>
  <sheetFormatPr defaultColWidth="8.875" defaultRowHeight="12.75"/>
  <cols>
    <col min="1" max="1" width="60.5" style="9" customWidth="1"/>
    <col min="2" max="2" width="13" style="9" customWidth="1"/>
    <col min="3" max="3" width="33" style="9" customWidth="1"/>
    <col min="4" max="8" width="13" style="9" customWidth="1"/>
    <col min="9" max="16384" width="8.875" style="9"/>
  </cols>
  <sheetData>
    <row r="1" spans="1:8" s="4" customFormat="1" ht="24.75">
      <c r="A1" s="1" t="s">
        <v>283</v>
      </c>
      <c r="B1" s="2"/>
      <c r="C1" s="2"/>
      <c r="D1" s="2"/>
      <c r="E1" s="2"/>
      <c r="F1" s="3"/>
      <c r="G1" s="2"/>
      <c r="H1" s="2"/>
    </row>
    <row r="2" spans="1:8" s="7" customFormat="1" ht="15">
      <c r="A2" s="5" t="str">
        <f ca="1">IFERROR("Sheet: " &amp;VLOOKUP(RIGHT(CELL("filename",A1),LEN(CELL("filename",A1))-FIND("]",CELL("filename",A1))),Contents!$A$10:$B$29,2,FALSE),"Sheet name does not match Contents sheet")</f>
        <v>Sheet: Input data sheet: NARM Funding Adjustment and Penalty Mechanism Parameters</v>
      </c>
      <c r="B2" s="6"/>
      <c r="C2" s="6"/>
      <c r="D2" s="6"/>
      <c r="E2" s="6"/>
      <c r="F2" s="5"/>
      <c r="G2" s="6"/>
      <c r="H2" s="6"/>
    </row>
    <row r="3" spans="1:8" s="7" customFormat="1" ht="15">
      <c r="A3" s="5"/>
      <c r="B3" s="6"/>
      <c r="C3" s="6"/>
      <c r="D3" s="6"/>
      <c r="E3" s="6"/>
      <c r="F3" s="6"/>
      <c r="G3" s="6"/>
      <c r="H3" s="6"/>
    </row>
    <row r="4" spans="1:8" s="7" customFormat="1" ht="15">
      <c r="A4" s="5"/>
      <c r="B4" s="6"/>
      <c r="C4" s="6"/>
      <c r="D4" s="6"/>
      <c r="E4" s="6"/>
      <c r="F4" s="6"/>
      <c r="G4" s="6"/>
      <c r="H4" s="6"/>
    </row>
    <row r="5" spans="1:8" s="7" customFormat="1" ht="15">
      <c r="A5" s="5"/>
      <c r="B5" s="6"/>
      <c r="C5" s="6"/>
      <c r="D5" s="6"/>
      <c r="E5" s="6"/>
      <c r="F5" s="6"/>
      <c r="G5" s="6"/>
      <c r="H5" s="6"/>
    </row>
    <row r="6" spans="1:8" s="7" customFormat="1" ht="15">
      <c r="A6" s="5"/>
      <c r="B6" s="6"/>
      <c r="C6" s="6"/>
      <c r="D6" s="6"/>
      <c r="E6" s="6"/>
      <c r="F6" s="6"/>
      <c r="G6" s="6"/>
      <c r="H6" s="6"/>
    </row>
    <row r="8" spans="1:8" ht="19.5">
      <c r="A8" s="8" t="str">
        <f ca="1">IFERROR(VLOOKUP(RIGHT(CELL("filename",A1),LEN(CELL("filename",A1))-FIND("]",CELL("filename",A1))),Contents!$A$10:$B$29,2,FALSE), "Sheet name does not match Contents sheet")</f>
        <v>Input data sheet: NARM Funding Adjustment and Penalty Mechanism Parameters</v>
      </c>
    </row>
    <row r="9" spans="1:8" ht="19.5">
      <c r="A9" s="8"/>
    </row>
    <row r="10" spans="1:8" s="12" customFormat="1">
      <c r="A10" s="10" t="s">
        <v>0</v>
      </c>
      <c r="B10" s="10"/>
      <c r="C10" s="10"/>
      <c r="D10" s="10"/>
      <c r="E10" s="10"/>
      <c r="F10" s="10"/>
      <c r="G10" s="10"/>
      <c r="H10" s="10"/>
    </row>
    <row r="11" spans="1:8" s="101" customFormat="1"/>
    <row r="12" spans="1:8" s="101" customFormat="1">
      <c r="A12" s="13" t="s">
        <v>1</v>
      </c>
      <c r="D12" s="95" t="s">
        <v>2</v>
      </c>
      <c r="E12" s="95" t="s">
        <v>3</v>
      </c>
      <c r="F12" s="95" t="s">
        <v>4</v>
      </c>
    </row>
    <row r="13" spans="1:8" s="101" customFormat="1">
      <c r="A13" s="102" t="s">
        <v>5</v>
      </c>
      <c r="D13" s="103" t="s">
        <v>6</v>
      </c>
      <c r="E13" s="103"/>
      <c r="F13" s="73" t="s">
        <v>266</v>
      </c>
    </row>
    <row r="14" spans="1:8" s="101" customFormat="1">
      <c r="A14" s="102" t="s">
        <v>7</v>
      </c>
      <c r="D14" s="103" t="s">
        <v>8</v>
      </c>
      <c r="E14" s="103" t="s">
        <v>9</v>
      </c>
      <c r="F14" s="74">
        <v>0.95</v>
      </c>
    </row>
    <row r="15" spans="1:8" s="101" customFormat="1">
      <c r="A15" s="102" t="s">
        <v>10</v>
      </c>
      <c r="D15" s="103" t="s">
        <v>11</v>
      </c>
      <c r="E15" s="103" t="s">
        <v>12</v>
      </c>
      <c r="F15" s="75">
        <v>1</v>
      </c>
      <c r="G15" s="101" t="s">
        <v>13</v>
      </c>
    </row>
    <row r="16" spans="1:8" s="101" customFormat="1">
      <c r="A16" s="102" t="s">
        <v>14</v>
      </c>
      <c r="D16" s="103" t="s">
        <v>8</v>
      </c>
      <c r="E16" s="103" t="s">
        <v>15</v>
      </c>
      <c r="F16" s="74">
        <v>2.5000000000000001E-2</v>
      </c>
    </row>
    <row r="17" spans="1:8" s="101" customFormat="1">
      <c r="A17" s="102" t="s">
        <v>437</v>
      </c>
      <c r="D17" s="103" t="s">
        <v>8</v>
      </c>
      <c r="E17" s="103" t="s">
        <v>438</v>
      </c>
      <c r="F17" s="74">
        <v>0.4</v>
      </c>
    </row>
    <row r="18" spans="1:8" s="101" customFormat="1"/>
    <row r="19" spans="1:8" s="12" customFormat="1">
      <c r="A19" s="10" t="s">
        <v>284</v>
      </c>
      <c r="B19" s="10"/>
      <c r="C19" s="10"/>
      <c r="D19" s="10"/>
      <c r="E19" s="10"/>
      <c r="F19" s="10"/>
      <c r="G19" s="10"/>
      <c r="H19" s="10"/>
    </row>
    <row r="20" spans="1:8" s="101" customFormat="1"/>
    <row r="21" spans="1:8" s="101" customFormat="1">
      <c r="A21" s="13" t="s">
        <v>77</v>
      </c>
      <c r="B21" s="13" t="s">
        <v>3</v>
      </c>
      <c r="C21" s="13" t="s">
        <v>18</v>
      </c>
      <c r="D21" s="13" t="s">
        <v>2</v>
      </c>
      <c r="E21" s="23" t="s">
        <v>4</v>
      </c>
    </row>
    <row r="22" spans="1:8" s="101" customFormat="1">
      <c r="A22" s="102" t="s">
        <v>78</v>
      </c>
      <c r="B22" s="102" t="s">
        <v>79</v>
      </c>
      <c r="C22" s="102"/>
      <c r="D22" s="102" t="s">
        <v>8</v>
      </c>
      <c r="E22" s="72">
        <v>0.3</v>
      </c>
    </row>
  </sheetData>
  <pageMargins left="0.25" right="0.25" top="0.75" bottom="0.75" header="0.3" footer="0.3"/>
  <pageSetup paperSize="9" scale="5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39997558519241921"/>
  </sheetPr>
  <dimension ref="A1:K97"/>
  <sheetViews>
    <sheetView showGridLines="0" workbookViewId="0"/>
  </sheetViews>
  <sheetFormatPr defaultRowHeight="12.75"/>
  <cols>
    <col min="1" max="1" width="42.5" customWidth="1"/>
    <col min="2" max="11" width="13" customWidth="1"/>
  </cols>
  <sheetData>
    <row r="1" spans="1:11" s="4" customFormat="1" ht="24.75">
      <c r="A1" s="1" t="s">
        <v>283</v>
      </c>
      <c r="B1" s="2"/>
      <c r="C1" s="2"/>
      <c r="D1" s="2"/>
      <c r="E1" s="3"/>
      <c r="F1" s="2"/>
      <c r="G1" s="2"/>
    </row>
    <row r="2" spans="1:11" s="7" customFormat="1" ht="15">
      <c r="A2" s="5" t="str">
        <f ca="1">IFERROR("Sheet: " &amp;VLOOKUP(RIGHT(CELL("filename",A1),LEN(CELL("filename",A1))-FIND("]",CELL("filename",A1))),Contents!$A$10:$B$29,2,FALSE),"Sheet name does not match Contents sheet")</f>
        <v>Sheet: Input data sheet: initial allowances</v>
      </c>
      <c r="B2" s="6"/>
      <c r="C2" s="6"/>
      <c r="D2" s="6"/>
      <c r="E2" s="5"/>
      <c r="F2" s="6"/>
      <c r="G2" s="6"/>
    </row>
    <row r="3" spans="1:11" s="7" customFormat="1" ht="15">
      <c r="A3" s="5"/>
      <c r="B3" s="6"/>
      <c r="C3" s="6"/>
      <c r="D3" s="6"/>
      <c r="E3" s="6"/>
      <c r="F3" s="6"/>
      <c r="G3" s="6"/>
    </row>
    <row r="4" spans="1:11" s="7" customFormat="1" ht="15">
      <c r="A4" s="5"/>
      <c r="B4" s="6"/>
      <c r="C4" s="6"/>
      <c r="D4" s="6"/>
      <c r="E4" s="6"/>
      <c r="F4" s="6"/>
      <c r="G4" s="6"/>
    </row>
    <row r="5" spans="1:11" s="7" customFormat="1" ht="15">
      <c r="A5" s="5"/>
      <c r="B5" s="6"/>
      <c r="C5" s="6"/>
      <c r="D5" s="6"/>
      <c r="E5" s="6"/>
      <c r="F5" s="6"/>
      <c r="G5" s="6"/>
    </row>
    <row r="6" spans="1:11" s="7" customFormat="1" ht="15">
      <c r="A6" s="5"/>
      <c r="B6" s="6"/>
      <c r="C6" s="6"/>
      <c r="D6" s="6"/>
      <c r="E6" s="6"/>
      <c r="F6" s="6"/>
      <c r="G6" s="6"/>
    </row>
    <row r="7" spans="1:11" s="9" customFormat="1"/>
    <row r="8" spans="1:11" s="9" customFormat="1" ht="19.5">
      <c r="A8" s="8" t="str">
        <f ca="1">IFERROR(VLOOKUP(RIGHT(CELL("filename",A1),LEN(CELL("filename",A1))-FIND("]",CELL("filename",A1))),Contents!$A$10:$B$29,2,FALSE), "Sheet name does not match Contents sheet")</f>
        <v>Input data sheet: initial allowances</v>
      </c>
    </row>
    <row r="10" spans="1:11" s="12" customFormat="1">
      <c r="A10" s="20" t="s">
        <v>119</v>
      </c>
      <c r="B10" s="20"/>
      <c r="C10" s="20"/>
      <c r="D10" s="20"/>
      <c r="E10" s="20"/>
      <c r="F10" s="20"/>
      <c r="G10" s="20"/>
    </row>
    <row r="11" spans="1:11" s="101" customFormat="1"/>
    <row r="12" spans="1:11" s="101" customFormat="1">
      <c r="D12" s="22" t="s">
        <v>17</v>
      </c>
      <c r="E12" s="22"/>
      <c r="F12" s="22"/>
      <c r="G12" s="22"/>
    </row>
    <row r="13" spans="1:11" s="101" customFormat="1">
      <c r="A13" s="13" t="s">
        <v>435</v>
      </c>
      <c r="B13" s="13" t="s">
        <v>3</v>
      </c>
      <c r="C13" s="13" t="s">
        <v>2</v>
      </c>
      <c r="D13" s="23" t="s">
        <v>19</v>
      </c>
      <c r="E13" s="23" t="s">
        <v>20</v>
      </c>
      <c r="F13" s="23" t="s">
        <v>21</v>
      </c>
      <c r="G13" s="23" t="s">
        <v>22</v>
      </c>
    </row>
    <row r="14" spans="1:11" s="101" customFormat="1">
      <c r="A14" s="102" t="s">
        <v>427</v>
      </c>
      <c r="B14" s="102" t="s">
        <v>342</v>
      </c>
      <c r="C14" s="102" t="s">
        <v>83</v>
      </c>
      <c r="D14" s="29">
        <f ca="1">SUM(D20:D56)</f>
        <v>560</v>
      </c>
      <c r="E14" s="29">
        <f t="shared" ref="E14:G14" ca="1" si="0">SUM(E20:E56)</f>
        <v>86</v>
      </c>
      <c r="F14" s="29">
        <f t="shared" ca="1" si="0"/>
        <v>85</v>
      </c>
      <c r="G14" s="29">
        <f t="shared" si="0"/>
        <v>0</v>
      </c>
    </row>
    <row r="15" spans="1:11" s="101" customFormat="1">
      <c r="A15" s="102" t="s">
        <v>428</v>
      </c>
      <c r="B15" s="102" t="s">
        <v>343</v>
      </c>
      <c r="C15" s="102" t="s">
        <v>107</v>
      </c>
      <c r="D15" s="29">
        <f ca="1">SUM(D61:D97)</f>
        <v>507</v>
      </c>
      <c r="E15" s="29">
        <f t="shared" ref="E15:G15" ca="1" si="1">SUM(E61:E97)</f>
        <v>70</v>
      </c>
      <c r="F15" s="29">
        <f t="shared" ca="1" si="1"/>
        <v>89</v>
      </c>
      <c r="G15" s="29">
        <f t="shared" si="1"/>
        <v>0</v>
      </c>
    </row>
    <row r="16" spans="1:11" s="111" customFormat="1">
      <c r="H16" s="101"/>
      <c r="I16" s="101"/>
      <c r="J16" s="101"/>
      <c r="K16" s="101"/>
    </row>
    <row r="17" spans="1:11" s="12" customFormat="1">
      <c r="A17" s="20" t="s">
        <v>120</v>
      </c>
      <c r="B17" s="20"/>
      <c r="C17" s="20"/>
      <c r="D17" s="20"/>
      <c r="E17" s="20"/>
      <c r="F17" s="20"/>
      <c r="G17" s="20"/>
    </row>
    <row r="18" spans="1:11" s="111" customFormat="1">
      <c r="H18" s="101"/>
      <c r="I18" s="101"/>
      <c r="J18" s="101"/>
      <c r="K18" s="101"/>
    </row>
    <row r="19" spans="1:11" s="111" customFormat="1">
      <c r="A19" s="13" t="s">
        <v>121</v>
      </c>
      <c r="B19" s="13" t="s">
        <v>3</v>
      </c>
      <c r="C19" s="13" t="s">
        <v>2</v>
      </c>
      <c r="D19" s="23" t="s">
        <v>19</v>
      </c>
      <c r="E19" s="23" t="s">
        <v>20</v>
      </c>
      <c r="F19" s="23" t="s">
        <v>21</v>
      </c>
      <c r="G19" s="23" t="s">
        <v>22</v>
      </c>
      <c r="H19" s="101"/>
      <c r="I19" s="101"/>
      <c r="J19" s="101"/>
      <c r="K19" s="101"/>
    </row>
    <row r="20" spans="1:11" s="111" customFormat="1">
      <c r="A20" s="112" t="s">
        <v>122</v>
      </c>
      <c r="B20" s="102" t="s">
        <v>372</v>
      </c>
      <c r="C20" s="102" t="s">
        <v>83</v>
      </c>
      <c r="D20" s="24">
        <f ca="1">RANDBETWEEN(0,50)</f>
        <v>39</v>
      </c>
      <c r="E20" s="24">
        <f ca="1">RANDBETWEEN(0,10)</f>
        <v>1</v>
      </c>
      <c r="F20" s="24">
        <f ca="1">RANDBETWEEN(0,10)</f>
        <v>7</v>
      </c>
      <c r="G20" s="24"/>
      <c r="H20" s="101"/>
      <c r="I20" s="101"/>
      <c r="J20" s="101"/>
      <c r="K20" s="101"/>
    </row>
    <row r="21" spans="1:11" s="111" customFormat="1">
      <c r="A21" s="112" t="s">
        <v>123</v>
      </c>
      <c r="B21" s="102" t="s">
        <v>373</v>
      </c>
      <c r="C21" s="102" t="s">
        <v>83</v>
      </c>
      <c r="D21" s="24">
        <f t="shared" ref="D21:D37" ca="1" si="2">RANDBETWEEN(0,50)</f>
        <v>44</v>
      </c>
      <c r="E21" s="24">
        <f t="shared" ref="E21:F37" ca="1" si="3">RANDBETWEEN(0,10)</f>
        <v>3</v>
      </c>
      <c r="F21" s="24">
        <f t="shared" ca="1" si="3"/>
        <v>0</v>
      </c>
      <c r="G21" s="24"/>
      <c r="H21" s="101"/>
      <c r="I21" s="101"/>
      <c r="J21" s="101"/>
      <c r="K21" s="101"/>
    </row>
    <row r="22" spans="1:11" s="111" customFormat="1">
      <c r="A22" s="112" t="s">
        <v>124</v>
      </c>
      <c r="B22" s="102" t="s">
        <v>374</v>
      </c>
      <c r="C22" s="102" t="s">
        <v>83</v>
      </c>
      <c r="D22" s="24">
        <f t="shared" ca="1" si="2"/>
        <v>33</v>
      </c>
      <c r="E22" s="24">
        <f t="shared" ca="1" si="3"/>
        <v>3</v>
      </c>
      <c r="F22" s="24">
        <f t="shared" ca="1" si="3"/>
        <v>10</v>
      </c>
      <c r="G22" s="24"/>
      <c r="H22" s="101"/>
      <c r="I22" s="101"/>
      <c r="J22" s="101"/>
      <c r="K22" s="101"/>
    </row>
    <row r="23" spans="1:11" s="111" customFormat="1">
      <c r="A23" s="112" t="s">
        <v>125</v>
      </c>
      <c r="B23" s="102" t="s">
        <v>375</v>
      </c>
      <c r="C23" s="102" t="s">
        <v>83</v>
      </c>
      <c r="D23" s="24">
        <f t="shared" ca="1" si="2"/>
        <v>6</v>
      </c>
      <c r="E23" s="24">
        <f t="shared" ca="1" si="3"/>
        <v>4</v>
      </c>
      <c r="F23" s="24">
        <f t="shared" ca="1" si="3"/>
        <v>7</v>
      </c>
      <c r="G23" s="24"/>
      <c r="H23" s="101"/>
      <c r="I23" s="101"/>
      <c r="J23" s="101"/>
      <c r="K23" s="101"/>
    </row>
    <row r="24" spans="1:11" s="111" customFormat="1">
      <c r="A24" s="112" t="s">
        <v>126</v>
      </c>
      <c r="B24" s="102" t="s">
        <v>376</v>
      </c>
      <c r="C24" s="102" t="s">
        <v>83</v>
      </c>
      <c r="D24" s="24">
        <f t="shared" ca="1" si="2"/>
        <v>40</v>
      </c>
      <c r="E24" s="24">
        <f t="shared" ca="1" si="3"/>
        <v>5</v>
      </c>
      <c r="F24" s="24">
        <f t="shared" ca="1" si="3"/>
        <v>10</v>
      </c>
      <c r="G24" s="24"/>
      <c r="H24" s="101"/>
      <c r="I24" s="101"/>
      <c r="J24" s="101"/>
      <c r="K24" s="101"/>
    </row>
    <row r="25" spans="1:11" s="111" customFormat="1">
      <c r="A25" s="112" t="s">
        <v>127</v>
      </c>
      <c r="B25" s="102" t="s">
        <v>377</v>
      </c>
      <c r="C25" s="102" t="s">
        <v>83</v>
      </c>
      <c r="D25" s="24">
        <f t="shared" ca="1" si="2"/>
        <v>30</v>
      </c>
      <c r="E25" s="24">
        <f t="shared" ca="1" si="3"/>
        <v>6</v>
      </c>
      <c r="F25" s="24">
        <f t="shared" ca="1" si="3"/>
        <v>6</v>
      </c>
      <c r="G25" s="24"/>
      <c r="H25" s="101"/>
      <c r="I25" s="101"/>
      <c r="J25" s="101"/>
      <c r="K25" s="101"/>
    </row>
    <row r="26" spans="1:11" s="111" customFormat="1">
      <c r="A26" s="112" t="s">
        <v>128</v>
      </c>
      <c r="B26" s="102" t="s">
        <v>378</v>
      </c>
      <c r="C26" s="102" t="s">
        <v>83</v>
      </c>
      <c r="D26" s="24">
        <f t="shared" ca="1" si="2"/>
        <v>42</v>
      </c>
      <c r="E26" s="24">
        <f t="shared" ca="1" si="3"/>
        <v>10</v>
      </c>
      <c r="F26" s="24">
        <f t="shared" ca="1" si="3"/>
        <v>0</v>
      </c>
      <c r="G26" s="24"/>
      <c r="H26" s="101"/>
      <c r="I26" s="101"/>
      <c r="J26" s="101"/>
      <c r="K26" s="101"/>
    </row>
    <row r="27" spans="1:11" s="111" customFormat="1">
      <c r="A27" s="112" t="s">
        <v>129</v>
      </c>
      <c r="B27" s="102" t="s">
        <v>379</v>
      </c>
      <c r="C27" s="102" t="s">
        <v>83</v>
      </c>
      <c r="D27" s="24">
        <f t="shared" ca="1" si="2"/>
        <v>34</v>
      </c>
      <c r="E27" s="24">
        <f t="shared" ca="1" si="3"/>
        <v>4</v>
      </c>
      <c r="F27" s="24">
        <f t="shared" ca="1" si="3"/>
        <v>0</v>
      </c>
      <c r="G27" s="24"/>
      <c r="H27" s="101"/>
      <c r="I27" s="101"/>
      <c r="J27" s="101"/>
      <c r="K27" s="101"/>
    </row>
    <row r="28" spans="1:11" s="111" customFormat="1">
      <c r="A28" s="112" t="s">
        <v>130</v>
      </c>
      <c r="B28" s="102" t="s">
        <v>380</v>
      </c>
      <c r="C28" s="102" t="s">
        <v>83</v>
      </c>
      <c r="D28" s="24">
        <f t="shared" ca="1" si="2"/>
        <v>14</v>
      </c>
      <c r="E28" s="24">
        <f t="shared" ca="1" si="3"/>
        <v>9</v>
      </c>
      <c r="F28" s="24">
        <f t="shared" ca="1" si="3"/>
        <v>3</v>
      </c>
      <c r="G28" s="24"/>
      <c r="H28" s="101"/>
      <c r="I28" s="101"/>
      <c r="J28" s="101"/>
      <c r="K28" s="101"/>
    </row>
    <row r="29" spans="1:11" s="111" customFormat="1">
      <c r="A29" s="112" t="s">
        <v>131</v>
      </c>
      <c r="B29" s="102" t="s">
        <v>381</v>
      </c>
      <c r="C29" s="102" t="s">
        <v>83</v>
      </c>
      <c r="D29" s="24">
        <f t="shared" ca="1" si="2"/>
        <v>36</v>
      </c>
      <c r="E29" s="24">
        <f t="shared" ca="1" si="3"/>
        <v>2</v>
      </c>
      <c r="F29" s="24">
        <f t="shared" ca="1" si="3"/>
        <v>2</v>
      </c>
      <c r="G29" s="24"/>
      <c r="H29" s="101"/>
      <c r="I29" s="101"/>
      <c r="J29" s="101"/>
      <c r="K29" s="101"/>
    </row>
    <row r="30" spans="1:11" s="111" customFormat="1">
      <c r="A30" s="112" t="s">
        <v>132</v>
      </c>
      <c r="B30" s="102" t="s">
        <v>382</v>
      </c>
      <c r="C30" s="102" t="s">
        <v>83</v>
      </c>
      <c r="D30" s="24">
        <f t="shared" ca="1" si="2"/>
        <v>37</v>
      </c>
      <c r="E30" s="24">
        <f t="shared" ca="1" si="3"/>
        <v>10</v>
      </c>
      <c r="F30" s="24">
        <f t="shared" ca="1" si="3"/>
        <v>6</v>
      </c>
      <c r="G30" s="24"/>
      <c r="H30" s="101"/>
      <c r="I30" s="101"/>
      <c r="J30" s="101"/>
      <c r="K30" s="101"/>
    </row>
    <row r="31" spans="1:11" s="111" customFormat="1">
      <c r="A31" s="112" t="s">
        <v>133</v>
      </c>
      <c r="B31" s="102" t="s">
        <v>383</v>
      </c>
      <c r="C31" s="102" t="s">
        <v>83</v>
      </c>
      <c r="D31" s="24">
        <f t="shared" ca="1" si="2"/>
        <v>50</v>
      </c>
      <c r="E31" s="24">
        <f t="shared" ca="1" si="3"/>
        <v>3</v>
      </c>
      <c r="F31" s="24">
        <f t="shared" ca="1" si="3"/>
        <v>8</v>
      </c>
      <c r="G31" s="24"/>
      <c r="H31" s="101"/>
      <c r="I31" s="101"/>
      <c r="J31" s="101"/>
      <c r="K31" s="101"/>
    </row>
    <row r="32" spans="1:11" s="111" customFormat="1">
      <c r="A32" s="112" t="s">
        <v>134</v>
      </c>
      <c r="B32" s="102" t="s">
        <v>384</v>
      </c>
      <c r="C32" s="102" t="s">
        <v>83</v>
      </c>
      <c r="D32" s="24">
        <f t="shared" ca="1" si="2"/>
        <v>41</v>
      </c>
      <c r="E32" s="24">
        <f t="shared" ca="1" si="3"/>
        <v>10</v>
      </c>
      <c r="F32" s="24">
        <f t="shared" ca="1" si="3"/>
        <v>5</v>
      </c>
      <c r="G32" s="24"/>
      <c r="H32" s="101"/>
      <c r="I32" s="101"/>
      <c r="J32" s="101"/>
      <c r="K32" s="101"/>
    </row>
    <row r="33" spans="1:11" s="111" customFormat="1">
      <c r="A33" s="112" t="s">
        <v>135</v>
      </c>
      <c r="B33" s="102" t="s">
        <v>385</v>
      </c>
      <c r="C33" s="102" t="s">
        <v>83</v>
      </c>
      <c r="D33" s="24">
        <f t="shared" ca="1" si="2"/>
        <v>24</v>
      </c>
      <c r="E33" s="24">
        <f t="shared" ca="1" si="3"/>
        <v>0</v>
      </c>
      <c r="F33" s="24">
        <f t="shared" ca="1" si="3"/>
        <v>7</v>
      </c>
      <c r="G33" s="24"/>
      <c r="H33" s="101"/>
      <c r="I33" s="101"/>
      <c r="J33" s="101"/>
      <c r="K33" s="101"/>
    </row>
    <row r="34" spans="1:11" s="111" customFormat="1">
      <c r="A34" s="112" t="s">
        <v>136</v>
      </c>
      <c r="B34" s="102" t="s">
        <v>386</v>
      </c>
      <c r="C34" s="102" t="s">
        <v>83</v>
      </c>
      <c r="D34" s="24">
        <f t="shared" ca="1" si="2"/>
        <v>29</v>
      </c>
      <c r="E34" s="24">
        <f t="shared" ca="1" si="3"/>
        <v>2</v>
      </c>
      <c r="F34" s="24">
        <f t="shared" ca="1" si="3"/>
        <v>2</v>
      </c>
      <c r="G34" s="24"/>
      <c r="H34" s="101"/>
      <c r="I34" s="101"/>
      <c r="J34" s="101"/>
      <c r="K34" s="101"/>
    </row>
    <row r="35" spans="1:11" s="111" customFormat="1">
      <c r="A35" s="112" t="s">
        <v>137</v>
      </c>
      <c r="B35" s="102" t="s">
        <v>387</v>
      </c>
      <c r="C35" s="102" t="s">
        <v>83</v>
      </c>
      <c r="D35" s="24">
        <f t="shared" ca="1" si="2"/>
        <v>1</v>
      </c>
      <c r="E35" s="24">
        <f t="shared" ca="1" si="3"/>
        <v>5</v>
      </c>
      <c r="F35" s="24">
        <f t="shared" ca="1" si="3"/>
        <v>4</v>
      </c>
      <c r="G35" s="24"/>
      <c r="H35" s="101"/>
      <c r="I35" s="101"/>
      <c r="J35" s="101"/>
      <c r="K35" s="101"/>
    </row>
    <row r="36" spans="1:11" s="111" customFormat="1">
      <c r="A36" s="112" t="s">
        <v>138</v>
      </c>
      <c r="B36" s="102" t="s">
        <v>388</v>
      </c>
      <c r="C36" s="102" t="s">
        <v>83</v>
      </c>
      <c r="D36" s="24">
        <f t="shared" ca="1" si="2"/>
        <v>18</v>
      </c>
      <c r="E36" s="24">
        <f t="shared" ca="1" si="3"/>
        <v>0</v>
      </c>
      <c r="F36" s="24">
        <f t="shared" ca="1" si="3"/>
        <v>3</v>
      </c>
      <c r="G36" s="24"/>
      <c r="H36" s="101"/>
      <c r="I36" s="101"/>
      <c r="J36" s="101"/>
      <c r="K36" s="101"/>
    </row>
    <row r="37" spans="1:11" s="111" customFormat="1">
      <c r="A37" s="112" t="s">
        <v>139</v>
      </c>
      <c r="B37" s="102" t="s">
        <v>389</v>
      </c>
      <c r="C37" s="102" t="s">
        <v>83</v>
      </c>
      <c r="D37" s="24">
        <f t="shared" ca="1" si="2"/>
        <v>42</v>
      </c>
      <c r="E37" s="24">
        <f t="shared" ca="1" si="3"/>
        <v>9</v>
      </c>
      <c r="F37" s="24">
        <f t="shared" ca="1" si="3"/>
        <v>5</v>
      </c>
      <c r="G37" s="24"/>
      <c r="H37" s="101"/>
      <c r="I37" s="101"/>
      <c r="J37" s="101"/>
      <c r="K37" s="101"/>
    </row>
    <row r="38" spans="1:11" s="111" customFormat="1">
      <c r="A38" s="102"/>
      <c r="B38" s="102" t="s">
        <v>353</v>
      </c>
      <c r="C38" s="102" t="s">
        <v>83</v>
      </c>
      <c r="D38" s="24"/>
      <c r="E38" s="24"/>
      <c r="F38" s="24"/>
      <c r="G38" s="24"/>
      <c r="H38" s="101"/>
      <c r="I38" s="101"/>
      <c r="J38" s="101"/>
      <c r="K38" s="101"/>
    </row>
    <row r="39" spans="1:11" s="111" customFormat="1">
      <c r="A39" s="102"/>
      <c r="B39" s="102" t="s">
        <v>354</v>
      </c>
      <c r="C39" s="102" t="s">
        <v>83</v>
      </c>
      <c r="D39" s="24"/>
      <c r="E39" s="24"/>
      <c r="F39" s="24"/>
      <c r="G39" s="24"/>
      <c r="H39" s="101"/>
      <c r="I39" s="101"/>
      <c r="J39" s="101"/>
      <c r="K39" s="101"/>
    </row>
    <row r="40" spans="1:11" s="111" customFormat="1">
      <c r="A40" s="102"/>
      <c r="B40" s="102" t="s">
        <v>355</v>
      </c>
      <c r="C40" s="102" t="s">
        <v>83</v>
      </c>
      <c r="D40" s="24"/>
      <c r="E40" s="24"/>
      <c r="F40" s="24"/>
      <c r="G40" s="24"/>
      <c r="H40" s="101"/>
      <c r="I40" s="101"/>
      <c r="J40" s="101"/>
      <c r="K40" s="101"/>
    </row>
    <row r="41" spans="1:11" s="111" customFormat="1">
      <c r="A41" s="102"/>
      <c r="B41" s="102" t="s">
        <v>356</v>
      </c>
      <c r="C41" s="102" t="s">
        <v>83</v>
      </c>
      <c r="D41" s="24"/>
      <c r="E41" s="24"/>
      <c r="F41" s="24"/>
      <c r="G41" s="24"/>
      <c r="H41" s="101"/>
      <c r="I41" s="101"/>
      <c r="J41" s="101"/>
      <c r="K41" s="101"/>
    </row>
    <row r="42" spans="1:11" s="111" customFormat="1">
      <c r="A42" s="102"/>
      <c r="B42" s="102" t="s">
        <v>357</v>
      </c>
      <c r="C42" s="102" t="s">
        <v>83</v>
      </c>
      <c r="D42" s="24"/>
      <c r="E42" s="24"/>
      <c r="F42" s="24"/>
      <c r="G42" s="24"/>
      <c r="H42" s="101"/>
      <c r="I42" s="101"/>
      <c r="J42" s="101"/>
      <c r="K42" s="101"/>
    </row>
    <row r="43" spans="1:11" s="111" customFormat="1">
      <c r="A43" s="102"/>
      <c r="B43" s="102" t="s">
        <v>358</v>
      </c>
      <c r="C43" s="102" t="s">
        <v>83</v>
      </c>
      <c r="D43" s="24"/>
      <c r="E43" s="24"/>
      <c r="F43" s="24"/>
      <c r="G43" s="24"/>
      <c r="H43" s="101"/>
      <c r="I43" s="101"/>
      <c r="J43" s="101"/>
      <c r="K43" s="101"/>
    </row>
    <row r="44" spans="1:11" s="111" customFormat="1">
      <c r="A44" s="102"/>
      <c r="B44" s="102" t="s">
        <v>359</v>
      </c>
      <c r="C44" s="102" t="s">
        <v>83</v>
      </c>
      <c r="D44" s="24"/>
      <c r="E44" s="24"/>
      <c r="F44" s="24"/>
      <c r="G44" s="24"/>
      <c r="H44" s="101"/>
      <c r="I44" s="101"/>
      <c r="J44" s="101"/>
      <c r="K44" s="101"/>
    </row>
    <row r="45" spans="1:11" s="111" customFormat="1">
      <c r="A45" s="102"/>
      <c r="B45" s="102" t="s">
        <v>360</v>
      </c>
      <c r="C45" s="102" t="s">
        <v>83</v>
      </c>
      <c r="D45" s="24"/>
      <c r="E45" s="24"/>
      <c r="F45" s="24"/>
      <c r="G45" s="24"/>
      <c r="H45" s="101"/>
      <c r="I45" s="101"/>
      <c r="J45" s="101"/>
      <c r="K45" s="101"/>
    </row>
    <row r="46" spans="1:11" s="111" customFormat="1">
      <c r="A46" s="102"/>
      <c r="B46" s="102" t="s">
        <v>361</v>
      </c>
      <c r="C46" s="102" t="s">
        <v>83</v>
      </c>
      <c r="D46" s="24"/>
      <c r="E46" s="24"/>
      <c r="F46" s="24"/>
      <c r="G46" s="24"/>
      <c r="H46" s="101"/>
      <c r="I46" s="101"/>
      <c r="J46" s="101"/>
      <c r="K46" s="101"/>
    </row>
    <row r="47" spans="1:11" s="111" customFormat="1">
      <c r="A47" s="102"/>
      <c r="B47" s="102" t="s">
        <v>362</v>
      </c>
      <c r="C47" s="102" t="s">
        <v>83</v>
      </c>
      <c r="D47" s="24"/>
      <c r="E47" s="24"/>
      <c r="F47" s="24"/>
      <c r="G47" s="24"/>
      <c r="H47" s="101"/>
      <c r="I47" s="101"/>
      <c r="J47" s="101"/>
      <c r="K47" s="101"/>
    </row>
    <row r="48" spans="1:11" s="111" customFormat="1">
      <c r="A48" s="102"/>
      <c r="B48" s="102" t="s">
        <v>363</v>
      </c>
      <c r="C48" s="102" t="s">
        <v>83</v>
      </c>
      <c r="D48" s="24"/>
      <c r="E48" s="24"/>
      <c r="F48" s="24"/>
      <c r="G48" s="24"/>
      <c r="H48" s="101"/>
      <c r="I48" s="101"/>
      <c r="J48" s="101"/>
      <c r="K48" s="101"/>
    </row>
    <row r="49" spans="1:7" s="111" customFormat="1">
      <c r="A49" s="102"/>
      <c r="B49" s="102" t="s">
        <v>364</v>
      </c>
      <c r="C49" s="102" t="s">
        <v>83</v>
      </c>
      <c r="D49" s="24"/>
      <c r="E49" s="24"/>
      <c r="F49" s="24"/>
      <c r="G49" s="24"/>
    </row>
    <row r="50" spans="1:7" s="111" customFormat="1">
      <c r="A50" s="102"/>
      <c r="B50" s="102" t="s">
        <v>365</v>
      </c>
      <c r="C50" s="102" t="s">
        <v>83</v>
      </c>
      <c r="D50" s="24"/>
      <c r="E50" s="24"/>
      <c r="F50" s="24"/>
      <c r="G50" s="24"/>
    </row>
    <row r="51" spans="1:7" s="111" customFormat="1">
      <c r="A51" s="102"/>
      <c r="B51" s="102" t="s">
        <v>366</v>
      </c>
      <c r="C51" s="102" t="s">
        <v>83</v>
      </c>
      <c r="D51" s="24"/>
      <c r="E51" s="24"/>
      <c r="F51" s="24"/>
      <c r="G51" s="24"/>
    </row>
    <row r="52" spans="1:7" s="111" customFormat="1">
      <c r="A52" s="102"/>
      <c r="B52" s="102" t="s">
        <v>367</v>
      </c>
      <c r="C52" s="102" t="s">
        <v>83</v>
      </c>
      <c r="D52" s="24"/>
      <c r="E52" s="24"/>
      <c r="F52" s="24"/>
      <c r="G52" s="24"/>
    </row>
    <row r="53" spans="1:7" s="111" customFormat="1">
      <c r="A53" s="102"/>
      <c r="B53" s="102" t="s">
        <v>368</v>
      </c>
      <c r="C53" s="102" t="s">
        <v>83</v>
      </c>
      <c r="D53" s="24"/>
      <c r="E53" s="24"/>
      <c r="F53" s="24"/>
      <c r="G53" s="24"/>
    </row>
    <row r="54" spans="1:7" s="111" customFormat="1">
      <c r="A54" s="102"/>
      <c r="B54" s="102" t="s">
        <v>369</v>
      </c>
      <c r="C54" s="102" t="s">
        <v>83</v>
      </c>
      <c r="D54" s="24"/>
      <c r="E54" s="24"/>
      <c r="F54" s="24"/>
      <c r="G54" s="24"/>
    </row>
    <row r="55" spans="1:7" s="111" customFormat="1">
      <c r="A55" s="102"/>
      <c r="B55" s="102" t="s">
        <v>370</v>
      </c>
      <c r="C55" s="102" t="s">
        <v>83</v>
      </c>
      <c r="D55" s="24"/>
      <c r="E55" s="24"/>
      <c r="F55" s="24"/>
      <c r="G55" s="24"/>
    </row>
    <row r="56" spans="1:7" s="111" customFormat="1">
      <c r="A56" s="102"/>
      <c r="B56" s="102" t="s">
        <v>371</v>
      </c>
      <c r="C56" s="102" t="s">
        <v>83</v>
      </c>
      <c r="D56" s="24"/>
      <c r="E56" s="24"/>
      <c r="F56" s="24"/>
      <c r="G56" s="24"/>
    </row>
    <row r="57" spans="1:7" s="111" customFormat="1"/>
    <row r="58" spans="1:7" s="111" customFormat="1">
      <c r="A58" s="20" t="s">
        <v>140</v>
      </c>
      <c r="B58" s="20"/>
      <c r="C58" s="20"/>
      <c r="D58" s="20"/>
      <c r="E58" s="20"/>
      <c r="F58" s="20"/>
      <c r="G58" s="20"/>
    </row>
    <row r="59" spans="1:7" s="111" customFormat="1"/>
    <row r="60" spans="1:7" s="111" customFormat="1">
      <c r="A60" s="13" t="s">
        <v>121</v>
      </c>
      <c r="B60" s="13" t="s">
        <v>3</v>
      </c>
      <c r="C60" s="13" t="s">
        <v>2</v>
      </c>
      <c r="D60" s="23" t="s">
        <v>19</v>
      </c>
      <c r="E60" s="23" t="s">
        <v>20</v>
      </c>
      <c r="F60" s="23" t="s">
        <v>21</v>
      </c>
      <c r="G60" s="23" t="s">
        <v>22</v>
      </c>
    </row>
    <row r="61" spans="1:7" s="111" customFormat="1">
      <c r="A61" s="112" t="s">
        <v>122</v>
      </c>
      <c r="B61" s="102" t="s">
        <v>390</v>
      </c>
      <c r="C61" s="102" t="s">
        <v>107</v>
      </c>
      <c r="D61" s="24">
        <f ca="1">RANDBETWEEN(0,50)</f>
        <v>23</v>
      </c>
      <c r="E61" s="24">
        <f ca="1">RANDBETWEEN(0,10)</f>
        <v>2</v>
      </c>
      <c r="F61" s="24">
        <f ca="1">RANDBETWEEN(0,10)</f>
        <v>9</v>
      </c>
      <c r="G61" s="24"/>
    </row>
    <row r="62" spans="1:7" s="111" customFormat="1">
      <c r="A62" s="112" t="s">
        <v>123</v>
      </c>
      <c r="B62" s="102" t="s">
        <v>391</v>
      </c>
      <c r="C62" s="102" t="s">
        <v>107</v>
      </c>
      <c r="D62" s="24">
        <f t="shared" ref="D62:D78" ca="1" si="4">RANDBETWEEN(0,50)</f>
        <v>45</v>
      </c>
      <c r="E62" s="24">
        <f t="shared" ref="E62:F78" ca="1" si="5">RANDBETWEEN(0,10)</f>
        <v>0</v>
      </c>
      <c r="F62" s="24">
        <f t="shared" ca="1" si="5"/>
        <v>3</v>
      </c>
      <c r="G62" s="24"/>
    </row>
    <row r="63" spans="1:7" s="111" customFormat="1">
      <c r="A63" s="112" t="s">
        <v>124</v>
      </c>
      <c r="B63" s="102" t="s">
        <v>392</v>
      </c>
      <c r="C63" s="102" t="s">
        <v>107</v>
      </c>
      <c r="D63" s="24">
        <f t="shared" ca="1" si="4"/>
        <v>46</v>
      </c>
      <c r="E63" s="24">
        <f t="shared" ca="1" si="5"/>
        <v>0</v>
      </c>
      <c r="F63" s="24">
        <f t="shared" ca="1" si="5"/>
        <v>7</v>
      </c>
      <c r="G63" s="24"/>
    </row>
    <row r="64" spans="1:7" s="111" customFormat="1">
      <c r="A64" s="112" t="s">
        <v>125</v>
      </c>
      <c r="B64" s="102" t="s">
        <v>393</v>
      </c>
      <c r="C64" s="102" t="s">
        <v>107</v>
      </c>
      <c r="D64" s="24">
        <f t="shared" ca="1" si="4"/>
        <v>34</v>
      </c>
      <c r="E64" s="24">
        <f t="shared" ca="1" si="5"/>
        <v>2</v>
      </c>
      <c r="F64" s="24">
        <f t="shared" ca="1" si="5"/>
        <v>7</v>
      </c>
      <c r="G64" s="24"/>
    </row>
    <row r="65" spans="1:7" s="111" customFormat="1">
      <c r="A65" s="112" t="s">
        <v>126</v>
      </c>
      <c r="B65" s="102" t="s">
        <v>394</v>
      </c>
      <c r="C65" s="102" t="s">
        <v>107</v>
      </c>
      <c r="D65" s="24">
        <f t="shared" ca="1" si="4"/>
        <v>14</v>
      </c>
      <c r="E65" s="24">
        <f t="shared" ca="1" si="5"/>
        <v>0</v>
      </c>
      <c r="F65" s="24">
        <f t="shared" ca="1" si="5"/>
        <v>2</v>
      </c>
      <c r="G65" s="24"/>
    </row>
    <row r="66" spans="1:7" s="111" customFormat="1">
      <c r="A66" s="112" t="s">
        <v>127</v>
      </c>
      <c r="B66" s="102" t="s">
        <v>395</v>
      </c>
      <c r="C66" s="102" t="s">
        <v>107</v>
      </c>
      <c r="D66" s="24">
        <f t="shared" ca="1" si="4"/>
        <v>49</v>
      </c>
      <c r="E66" s="24">
        <f t="shared" ca="1" si="5"/>
        <v>0</v>
      </c>
      <c r="F66" s="24">
        <f t="shared" ca="1" si="5"/>
        <v>7</v>
      </c>
      <c r="G66" s="24"/>
    </row>
    <row r="67" spans="1:7" s="111" customFormat="1">
      <c r="A67" s="112" t="s">
        <v>128</v>
      </c>
      <c r="B67" s="102" t="s">
        <v>396</v>
      </c>
      <c r="C67" s="102" t="s">
        <v>107</v>
      </c>
      <c r="D67" s="24">
        <f t="shared" ca="1" si="4"/>
        <v>6</v>
      </c>
      <c r="E67" s="24">
        <f t="shared" ca="1" si="5"/>
        <v>3</v>
      </c>
      <c r="F67" s="24">
        <f t="shared" ca="1" si="5"/>
        <v>1</v>
      </c>
      <c r="G67" s="24"/>
    </row>
    <row r="68" spans="1:7" s="111" customFormat="1">
      <c r="A68" s="112" t="s">
        <v>129</v>
      </c>
      <c r="B68" s="102" t="s">
        <v>397</v>
      </c>
      <c r="C68" s="102" t="s">
        <v>107</v>
      </c>
      <c r="D68" s="24">
        <f t="shared" ca="1" si="4"/>
        <v>16</v>
      </c>
      <c r="E68" s="24">
        <f t="shared" ca="1" si="5"/>
        <v>8</v>
      </c>
      <c r="F68" s="24">
        <f t="shared" ca="1" si="5"/>
        <v>6</v>
      </c>
      <c r="G68" s="24"/>
    </row>
    <row r="69" spans="1:7" s="111" customFormat="1">
      <c r="A69" s="112" t="s">
        <v>130</v>
      </c>
      <c r="B69" s="102" t="s">
        <v>398</v>
      </c>
      <c r="C69" s="102" t="s">
        <v>107</v>
      </c>
      <c r="D69" s="24">
        <f t="shared" ca="1" si="4"/>
        <v>20</v>
      </c>
      <c r="E69" s="24">
        <f t="shared" ca="1" si="5"/>
        <v>1</v>
      </c>
      <c r="F69" s="24">
        <f t="shared" ca="1" si="5"/>
        <v>9</v>
      </c>
      <c r="G69" s="24"/>
    </row>
    <row r="70" spans="1:7" s="111" customFormat="1">
      <c r="A70" s="112" t="s">
        <v>131</v>
      </c>
      <c r="B70" s="102" t="s">
        <v>399</v>
      </c>
      <c r="C70" s="102" t="s">
        <v>107</v>
      </c>
      <c r="D70" s="24">
        <f t="shared" ca="1" si="4"/>
        <v>45</v>
      </c>
      <c r="E70" s="24">
        <f t="shared" ca="1" si="5"/>
        <v>5</v>
      </c>
      <c r="F70" s="24">
        <f t="shared" ca="1" si="5"/>
        <v>10</v>
      </c>
      <c r="G70" s="24"/>
    </row>
    <row r="71" spans="1:7" s="111" customFormat="1">
      <c r="A71" s="112" t="s">
        <v>132</v>
      </c>
      <c r="B71" s="102" t="s">
        <v>400</v>
      </c>
      <c r="C71" s="102" t="s">
        <v>107</v>
      </c>
      <c r="D71" s="24">
        <f t="shared" ca="1" si="4"/>
        <v>27</v>
      </c>
      <c r="E71" s="24">
        <f t="shared" ca="1" si="5"/>
        <v>0</v>
      </c>
      <c r="F71" s="24">
        <f t="shared" ca="1" si="5"/>
        <v>3</v>
      </c>
      <c r="G71" s="24"/>
    </row>
    <row r="72" spans="1:7" s="111" customFormat="1">
      <c r="A72" s="112" t="s">
        <v>133</v>
      </c>
      <c r="B72" s="102" t="s">
        <v>401</v>
      </c>
      <c r="C72" s="102" t="s">
        <v>107</v>
      </c>
      <c r="D72" s="24">
        <f t="shared" ca="1" si="4"/>
        <v>23</v>
      </c>
      <c r="E72" s="24">
        <f t="shared" ca="1" si="5"/>
        <v>0</v>
      </c>
      <c r="F72" s="24">
        <f t="shared" ca="1" si="5"/>
        <v>4</v>
      </c>
      <c r="G72" s="24"/>
    </row>
    <row r="73" spans="1:7" s="111" customFormat="1">
      <c r="A73" s="112" t="s">
        <v>134</v>
      </c>
      <c r="B73" s="102" t="s">
        <v>402</v>
      </c>
      <c r="C73" s="102" t="s">
        <v>107</v>
      </c>
      <c r="D73" s="24">
        <f t="shared" ca="1" si="4"/>
        <v>26</v>
      </c>
      <c r="E73" s="24">
        <f t="shared" ca="1" si="5"/>
        <v>10</v>
      </c>
      <c r="F73" s="24">
        <f t="shared" ca="1" si="5"/>
        <v>3</v>
      </c>
      <c r="G73" s="24"/>
    </row>
    <row r="74" spans="1:7" s="111" customFormat="1">
      <c r="A74" s="112" t="s">
        <v>135</v>
      </c>
      <c r="B74" s="102" t="s">
        <v>403</v>
      </c>
      <c r="C74" s="102" t="s">
        <v>107</v>
      </c>
      <c r="D74" s="24">
        <f t="shared" ca="1" si="4"/>
        <v>10</v>
      </c>
      <c r="E74" s="24">
        <f t="shared" ca="1" si="5"/>
        <v>6</v>
      </c>
      <c r="F74" s="24">
        <f t="shared" ca="1" si="5"/>
        <v>8</v>
      </c>
      <c r="G74" s="24"/>
    </row>
    <row r="75" spans="1:7" s="111" customFormat="1">
      <c r="A75" s="112" t="s">
        <v>136</v>
      </c>
      <c r="B75" s="102" t="s">
        <v>404</v>
      </c>
      <c r="C75" s="102" t="s">
        <v>107</v>
      </c>
      <c r="D75" s="24">
        <f t="shared" ca="1" si="4"/>
        <v>47</v>
      </c>
      <c r="E75" s="24">
        <f t="shared" ca="1" si="5"/>
        <v>6</v>
      </c>
      <c r="F75" s="24">
        <f t="shared" ca="1" si="5"/>
        <v>2</v>
      </c>
      <c r="G75" s="24"/>
    </row>
    <row r="76" spans="1:7" s="111" customFormat="1">
      <c r="A76" s="112" t="s">
        <v>137</v>
      </c>
      <c r="B76" s="102" t="s">
        <v>405</v>
      </c>
      <c r="C76" s="102" t="s">
        <v>107</v>
      </c>
      <c r="D76" s="24">
        <f t="shared" ca="1" si="4"/>
        <v>24</v>
      </c>
      <c r="E76" s="24">
        <f t="shared" ca="1" si="5"/>
        <v>9</v>
      </c>
      <c r="F76" s="24">
        <f t="shared" ca="1" si="5"/>
        <v>0</v>
      </c>
      <c r="G76" s="24"/>
    </row>
    <row r="77" spans="1:7" s="111" customFormat="1">
      <c r="A77" s="112" t="s">
        <v>138</v>
      </c>
      <c r="B77" s="102" t="s">
        <v>406</v>
      </c>
      <c r="C77" s="102" t="s">
        <v>107</v>
      </c>
      <c r="D77" s="24">
        <f t="shared" ca="1" si="4"/>
        <v>26</v>
      </c>
      <c r="E77" s="24">
        <f t="shared" ca="1" si="5"/>
        <v>8</v>
      </c>
      <c r="F77" s="24">
        <f t="shared" ca="1" si="5"/>
        <v>7</v>
      </c>
      <c r="G77" s="24"/>
    </row>
    <row r="78" spans="1:7" s="111" customFormat="1">
      <c r="A78" s="112" t="s">
        <v>139</v>
      </c>
      <c r="B78" s="102" t="s">
        <v>407</v>
      </c>
      <c r="C78" s="102" t="s">
        <v>107</v>
      </c>
      <c r="D78" s="24">
        <f t="shared" ca="1" si="4"/>
        <v>26</v>
      </c>
      <c r="E78" s="24">
        <f t="shared" ca="1" si="5"/>
        <v>10</v>
      </c>
      <c r="F78" s="24">
        <f t="shared" ca="1" si="5"/>
        <v>1</v>
      </c>
      <c r="G78" s="24"/>
    </row>
    <row r="79" spans="1:7" s="111" customFormat="1">
      <c r="A79" s="102"/>
      <c r="B79" s="102" t="s">
        <v>408</v>
      </c>
      <c r="C79" s="102" t="s">
        <v>107</v>
      </c>
      <c r="D79" s="24"/>
      <c r="E79" s="24"/>
      <c r="F79" s="24"/>
      <c r="G79" s="24"/>
    </row>
    <row r="80" spans="1:7" s="111" customFormat="1">
      <c r="A80" s="102"/>
      <c r="B80" s="102" t="s">
        <v>409</v>
      </c>
      <c r="C80" s="102" t="s">
        <v>107</v>
      </c>
      <c r="D80" s="24"/>
      <c r="E80" s="24"/>
      <c r="F80" s="24"/>
      <c r="G80" s="24"/>
    </row>
    <row r="81" spans="1:7" s="111" customFormat="1">
      <c r="A81" s="102"/>
      <c r="B81" s="102" t="s">
        <v>410</v>
      </c>
      <c r="C81" s="102" t="s">
        <v>107</v>
      </c>
      <c r="D81" s="24"/>
      <c r="E81" s="24"/>
      <c r="F81" s="24"/>
      <c r="G81" s="24"/>
    </row>
    <row r="82" spans="1:7" s="111" customFormat="1">
      <c r="A82" s="102"/>
      <c r="B82" s="102" t="s">
        <v>411</v>
      </c>
      <c r="C82" s="102" t="s">
        <v>107</v>
      </c>
      <c r="D82" s="24"/>
      <c r="E82" s="24"/>
      <c r="F82" s="24"/>
      <c r="G82" s="24"/>
    </row>
    <row r="83" spans="1:7" s="111" customFormat="1">
      <c r="A83" s="102"/>
      <c r="B83" s="102" t="s">
        <v>412</v>
      </c>
      <c r="C83" s="102" t="s">
        <v>107</v>
      </c>
      <c r="D83" s="24"/>
      <c r="E83" s="24"/>
      <c r="F83" s="24"/>
      <c r="G83" s="24"/>
    </row>
    <row r="84" spans="1:7" s="111" customFormat="1">
      <c r="A84" s="102"/>
      <c r="B84" s="102" t="s">
        <v>413</v>
      </c>
      <c r="C84" s="102" t="s">
        <v>107</v>
      </c>
      <c r="D84" s="24"/>
      <c r="E84" s="24"/>
      <c r="F84" s="24"/>
      <c r="G84" s="24"/>
    </row>
    <row r="85" spans="1:7" s="111" customFormat="1">
      <c r="A85" s="102"/>
      <c r="B85" s="102" t="s">
        <v>414</v>
      </c>
      <c r="C85" s="102" t="s">
        <v>107</v>
      </c>
      <c r="D85" s="24"/>
      <c r="E85" s="24"/>
      <c r="F85" s="24"/>
      <c r="G85" s="24"/>
    </row>
    <row r="86" spans="1:7" s="111" customFormat="1">
      <c r="A86" s="102"/>
      <c r="B86" s="102" t="s">
        <v>415</v>
      </c>
      <c r="C86" s="102" t="s">
        <v>107</v>
      </c>
      <c r="D86" s="24"/>
      <c r="E86" s="24"/>
      <c r="F86" s="24"/>
      <c r="G86" s="24"/>
    </row>
    <row r="87" spans="1:7" s="111" customFormat="1">
      <c r="A87" s="102"/>
      <c r="B87" s="102" t="s">
        <v>416</v>
      </c>
      <c r="C87" s="102" t="s">
        <v>107</v>
      </c>
      <c r="D87" s="24"/>
      <c r="E87" s="24"/>
      <c r="F87" s="24"/>
      <c r="G87" s="24"/>
    </row>
    <row r="88" spans="1:7" s="111" customFormat="1">
      <c r="A88" s="102"/>
      <c r="B88" s="102" t="s">
        <v>417</v>
      </c>
      <c r="C88" s="102" t="s">
        <v>107</v>
      </c>
      <c r="D88" s="24"/>
      <c r="E88" s="24"/>
      <c r="F88" s="24"/>
      <c r="G88" s="24"/>
    </row>
    <row r="89" spans="1:7" s="111" customFormat="1">
      <c r="A89" s="102"/>
      <c r="B89" s="102" t="s">
        <v>418</v>
      </c>
      <c r="C89" s="102" t="s">
        <v>107</v>
      </c>
      <c r="D89" s="24"/>
      <c r="E89" s="24"/>
      <c r="F89" s="24"/>
      <c r="G89" s="24"/>
    </row>
    <row r="90" spans="1:7" s="111" customFormat="1">
      <c r="A90" s="102"/>
      <c r="B90" s="102" t="s">
        <v>419</v>
      </c>
      <c r="C90" s="102" t="s">
        <v>107</v>
      </c>
      <c r="D90" s="24"/>
      <c r="E90" s="24"/>
      <c r="F90" s="24"/>
      <c r="G90" s="24"/>
    </row>
    <row r="91" spans="1:7" s="111" customFormat="1">
      <c r="A91" s="102"/>
      <c r="B91" s="102" t="s">
        <v>420</v>
      </c>
      <c r="C91" s="102" t="s">
        <v>107</v>
      </c>
      <c r="D91" s="24"/>
      <c r="E91" s="24"/>
      <c r="F91" s="24"/>
      <c r="G91" s="24"/>
    </row>
    <row r="92" spans="1:7" s="111" customFormat="1">
      <c r="A92" s="102"/>
      <c r="B92" s="102" t="s">
        <v>421</v>
      </c>
      <c r="C92" s="102" t="s">
        <v>107</v>
      </c>
      <c r="D92" s="24"/>
      <c r="E92" s="24"/>
      <c r="F92" s="24"/>
      <c r="G92" s="24"/>
    </row>
    <row r="93" spans="1:7" s="111" customFormat="1">
      <c r="A93" s="102"/>
      <c r="B93" s="102" t="s">
        <v>422</v>
      </c>
      <c r="C93" s="102" t="s">
        <v>107</v>
      </c>
      <c r="D93" s="24"/>
      <c r="E93" s="24"/>
      <c r="F93" s="24"/>
      <c r="G93" s="24"/>
    </row>
    <row r="94" spans="1:7" s="111" customFormat="1">
      <c r="A94" s="102"/>
      <c r="B94" s="102" t="s">
        <v>423</v>
      </c>
      <c r="C94" s="102" t="s">
        <v>107</v>
      </c>
      <c r="D94" s="24"/>
      <c r="E94" s="24"/>
      <c r="F94" s="24"/>
      <c r="G94" s="24"/>
    </row>
    <row r="95" spans="1:7" s="111" customFormat="1">
      <c r="A95" s="102"/>
      <c r="B95" s="102" t="s">
        <v>424</v>
      </c>
      <c r="C95" s="102" t="s">
        <v>107</v>
      </c>
      <c r="D95" s="24"/>
      <c r="E95" s="24"/>
      <c r="F95" s="24"/>
      <c r="G95" s="24"/>
    </row>
    <row r="96" spans="1:7" s="111" customFormat="1">
      <c r="A96" s="102"/>
      <c r="B96" s="102" t="s">
        <v>425</v>
      </c>
      <c r="C96" s="102" t="s">
        <v>107</v>
      </c>
      <c r="D96" s="24"/>
      <c r="E96" s="24"/>
      <c r="F96" s="24"/>
      <c r="G96" s="24"/>
    </row>
    <row r="97" spans="1:7" s="111" customFormat="1">
      <c r="A97" s="102"/>
      <c r="B97" s="102" t="s">
        <v>426</v>
      </c>
      <c r="C97" s="102" t="s">
        <v>107</v>
      </c>
      <c r="D97" s="24"/>
      <c r="E97" s="24"/>
      <c r="F97" s="24"/>
      <c r="G97"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39997558519241921"/>
  </sheetPr>
  <dimension ref="A1:K97"/>
  <sheetViews>
    <sheetView showGridLines="0" workbookViewId="0"/>
  </sheetViews>
  <sheetFormatPr defaultRowHeight="12.75"/>
  <cols>
    <col min="1" max="1" width="42.5" customWidth="1"/>
    <col min="2" max="11" width="13" customWidth="1"/>
  </cols>
  <sheetData>
    <row r="1" spans="1:11" s="4" customFormat="1" ht="24.75">
      <c r="A1" s="1" t="s">
        <v>283</v>
      </c>
      <c r="B1" s="2"/>
      <c r="C1" s="2"/>
      <c r="D1" s="2"/>
      <c r="E1" s="3"/>
      <c r="F1" s="2"/>
      <c r="G1" s="2"/>
    </row>
    <row r="2" spans="1:11" s="7" customFormat="1" ht="15">
      <c r="A2" s="5" t="str">
        <f ca="1">IFERROR("Sheet: " &amp;VLOOKUP(RIGHT(CELL("filename",A1),LEN(CELL("filename",A1))-FIND("]",CELL("filename",A1))),Contents!$A$10:$B$29,2,FALSE),"Sheet name does not match Contents sheet")</f>
        <v>Sheet: Input data sheet: outturn delivery</v>
      </c>
      <c r="B2" s="6"/>
      <c r="C2" s="6"/>
      <c r="D2" s="6"/>
      <c r="E2" s="5"/>
      <c r="F2" s="6"/>
      <c r="G2" s="6"/>
    </row>
    <row r="3" spans="1:11" s="7" customFormat="1" ht="15">
      <c r="A3" s="5"/>
      <c r="B3" s="6"/>
      <c r="C3" s="6"/>
      <c r="D3" s="6"/>
      <c r="E3" s="6"/>
      <c r="F3" s="6"/>
      <c r="G3" s="6"/>
    </row>
    <row r="4" spans="1:11" s="7" customFormat="1" ht="15">
      <c r="A4" s="5"/>
      <c r="B4" s="6"/>
      <c r="C4" s="6"/>
      <c r="D4" s="6"/>
      <c r="E4" s="6"/>
      <c r="F4" s="6"/>
      <c r="G4" s="6"/>
    </row>
    <row r="5" spans="1:11" s="7" customFormat="1" ht="15">
      <c r="A5" s="5"/>
      <c r="B5" s="6"/>
      <c r="C5" s="6"/>
      <c r="D5" s="6"/>
      <c r="E5" s="6"/>
      <c r="F5" s="6"/>
      <c r="G5" s="6"/>
    </row>
    <row r="6" spans="1:11" s="7" customFormat="1" ht="15">
      <c r="A6" s="5"/>
      <c r="B6" s="6"/>
      <c r="C6" s="6"/>
      <c r="D6" s="6"/>
      <c r="E6" s="6"/>
      <c r="F6" s="6"/>
      <c r="G6" s="6"/>
    </row>
    <row r="7" spans="1:11" s="9" customFormat="1"/>
    <row r="8" spans="1:11" s="9" customFormat="1" ht="19.5">
      <c r="A8" s="8" t="str">
        <f ca="1">IFERROR(VLOOKUP(RIGHT(CELL("filename",A1),LEN(CELL("filename",A1))-FIND("]",CELL("filename",A1))),Contents!$A$10:$B$29,2,FALSE), "Sheet name does not match Contents sheet")</f>
        <v>Input data sheet: outturn delivery</v>
      </c>
    </row>
    <row r="10" spans="1:11" s="12" customFormat="1">
      <c r="A10" s="20" t="s">
        <v>119</v>
      </c>
      <c r="B10" s="20"/>
      <c r="C10" s="20"/>
      <c r="D10" s="20"/>
      <c r="E10" s="20"/>
      <c r="F10" s="20"/>
      <c r="G10" s="20"/>
    </row>
    <row r="11" spans="1:11" s="101" customFormat="1"/>
    <row r="12" spans="1:11" s="101" customFormat="1">
      <c r="D12" s="22" t="s">
        <v>17</v>
      </c>
      <c r="E12" s="22"/>
      <c r="F12" s="22"/>
      <c r="G12" s="22"/>
    </row>
    <row r="13" spans="1:11" s="101" customFormat="1">
      <c r="A13" s="13" t="s">
        <v>141</v>
      </c>
      <c r="B13" s="13" t="s">
        <v>3</v>
      </c>
      <c r="C13" s="13" t="s">
        <v>2</v>
      </c>
      <c r="D13" s="23" t="s">
        <v>19</v>
      </c>
      <c r="E13" s="23" t="s">
        <v>20</v>
      </c>
      <c r="F13" s="23" t="s">
        <v>21</v>
      </c>
      <c r="G13" s="23" t="s">
        <v>22</v>
      </c>
    </row>
    <row r="14" spans="1:11" s="101" customFormat="1">
      <c r="A14" s="102" t="s">
        <v>28</v>
      </c>
      <c r="B14" s="102" t="s">
        <v>29</v>
      </c>
      <c r="C14" s="102" t="s">
        <v>83</v>
      </c>
      <c r="D14" s="29">
        <f ca="1">SUM(D20:D56)</f>
        <v>564.25000000000011</v>
      </c>
      <c r="E14" s="29">
        <f t="shared" ref="E14:G14" ca="1" si="0">SUM(E20:E56)</f>
        <v>85.65</v>
      </c>
      <c r="F14" s="29">
        <f t="shared" ca="1" si="0"/>
        <v>83.029999999999987</v>
      </c>
      <c r="G14" s="29">
        <f t="shared" ca="1" si="0"/>
        <v>0</v>
      </c>
    </row>
    <row r="15" spans="1:11" s="101" customFormat="1">
      <c r="A15" s="102" t="s">
        <v>30</v>
      </c>
      <c r="B15" s="102" t="s">
        <v>31</v>
      </c>
      <c r="C15" s="102" t="s">
        <v>107</v>
      </c>
      <c r="D15" s="29">
        <f ca="1">SUM(D61:D97)</f>
        <v>492.13</v>
      </c>
      <c r="E15" s="29">
        <f t="shared" ref="E15:G15" ca="1" si="1">SUM(E61:E97)</f>
        <v>68.52</v>
      </c>
      <c r="F15" s="29">
        <f t="shared" ca="1" si="1"/>
        <v>90.339999999999989</v>
      </c>
      <c r="G15" s="29">
        <f t="shared" ca="1" si="1"/>
        <v>0</v>
      </c>
    </row>
    <row r="16" spans="1:11" s="111" customFormat="1">
      <c r="H16" s="101"/>
      <c r="I16" s="101"/>
      <c r="J16" s="101"/>
      <c r="K16" s="101"/>
    </row>
    <row r="17" spans="1:11" s="12" customFormat="1">
      <c r="A17" s="20" t="s">
        <v>142</v>
      </c>
      <c r="B17" s="20"/>
      <c r="C17" s="20"/>
      <c r="D17" s="20"/>
      <c r="E17" s="20"/>
      <c r="F17" s="20"/>
      <c r="G17" s="20"/>
    </row>
    <row r="18" spans="1:11" s="111" customFormat="1">
      <c r="H18" s="101"/>
      <c r="I18" s="101"/>
      <c r="J18" s="101"/>
      <c r="K18" s="101"/>
    </row>
    <row r="19" spans="1:11" s="111" customFormat="1">
      <c r="A19" s="13" t="s">
        <v>121</v>
      </c>
      <c r="B19" s="13" t="s">
        <v>3</v>
      </c>
      <c r="C19" s="13" t="s">
        <v>2</v>
      </c>
      <c r="D19" s="23" t="s">
        <v>19</v>
      </c>
      <c r="E19" s="23" t="s">
        <v>20</v>
      </c>
      <c r="F19" s="23" t="s">
        <v>21</v>
      </c>
      <c r="G19" s="23" t="s">
        <v>22</v>
      </c>
      <c r="H19" s="101"/>
      <c r="I19" s="101"/>
      <c r="J19" s="101"/>
      <c r="K19" s="101"/>
    </row>
    <row r="20" spans="1:11" s="111" customFormat="1">
      <c r="A20" s="112" t="s">
        <v>122</v>
      </c>
      <c r="B20" s="102" t="s">
        <v>143</v>
      </c>
      <c r="C20" s="102" t="s">
        <v>83</v>
      </c>
      <c r="D20" s="24">
        <f ca="1">'1.3_Input_Baseline_Allowances'!D20*RANDBETWEEN(85,115)/100</f>
        <v>38.22</v>
      </c>
      <c r="E20" s="24">
        <f ca="1">'1.3_Input_Baseline_Allowances'!E20*RANDBETWEEN(85,115)/100</f>
        <v>0.93</v>
      </c>
      <c r="F20" s="24">
        <f ca="1">'1.3_Input_Baseline_Allowances'!F20*RANDBETWEEN(85,115)/100</f>
        <v>6.58</v>
      </c>
      <c r="G20" s="24">
        <f ca="1">'1.3_Input_Baseline_Allowances'!G20*RANDBETWEEN(85,115)/100</f>
        <v>0</v>
      </c>
      <c r="H20" s="101"/>
      <c r="I20" s="101"/>
      <c r="J20" s="101"/>
      <c r="K20" s="101"/>
    </row>
    <row r="21" spans="1:11" s="111" customFormat="1">
      <c r="A21" s="112" t="s">
        <v>123</v>
      </c>
      <c r="B21" s="102" t="s">
        <v>144</v>
      </c>
      <c r="C21" s="102" t="s">
        <v>83</v>
      </c>
      <c r="D21" s="24">
        <f ca="1">'1.3_Input_Baseline_Allowances'!D21*RANDBETWEEN(85,115)/100</f>
        <v>50.16</v>
      </c>
      <c r="E21" s="24">
        <f ca="1">'1.3_Input_Baseline_Allowances'!E21*RANDBETWEEN(85,115)/100</f>
        <v>3.39</v>
      </c>
      <c r="F21" s="24">
        <f ca="1">'1.3_Input_Baseline_Allowances'!F21*RANDBETWEEN(85,115)/100</f>
        <v>0</v>
      </c>
      <c r="G21" s="24">
        <f ca="1">'1.3_Input_Baseline_Allowances'!G21*RANDBETWEEN(85,115)/100</f>
        <v>0</v>
      </c>
      <c r="H21" s="101"/>
      <c r="I21" s="101"/>
      <c r="J21" s="101"/>
      <c r="K21" s="101"/>
    </row>
    <row r="22" spans="1:11" s="111" customFormat="1">
      <c r="A22" s="112" t="s">
        <v>124</v>
      </c>
      <c r="B22" s="102" t="s">
        <v>145</v>
      </c>
      <c r="C22" s="102" t="s">
        <v>83</v>
      </c>
      <c r="D22" s="24">
        <f ca="1">'1.3_Input_Baseline_Allowances'!D22*RANDBETWEEN(85,115)/100</f>
        <v>34.979999999999997</v>
      </c>
      <c r="E22" s="24">
        <f ca="1">'1.3_Input_Baseline_Allowances'!E22*RANDBETWEEN(85,115)/100</f>
        <v>3.15</v>
      </c>
      <c r="F22" s="24">
        <f ca="1">'1.3_Input_Baseline_Allowances'!F22*RANDBETWEEN(85,115)/100</f>
        <v>9.1</v>
      </c>
      <c r="G22" s="24">
        <f ca="1">'1.3_Input_Baseline_Allowances'!G22*RANDBETWEEN(85,115)/100</f>
        <v>0</v>
      </c>
      <c r="H22" s="101"/>
      <c r="I22" s="101"/>
      <c r="J22" s="101"/>
      <c r="K22" s="101"/>
    </row>
    <row r="23" spans="1:11" s="111" customFormat="1">
      <c r="A23" s="112" t="s">
        <v>125</v>
      </c>
      <c r="B23" s="102" t="s">
        <v>146</v>
      </c>
      <c r="C23" s="102" t="s">
        <v>83</v>
      </c>
      <c r="D23" s="24">
        <f ca="1">'1.3_Input_Baseline_Allowances'!D23*RANDBETWEEN(85,115)/100</f>
        <v>5.94</v>
      </c>
      <c r="E23" s="24">
        <f ca="1">'1.3_Input_Baseline_Allowances'!E23*RANDBETWEEN(85,115)/100</f>
        <v>3.6</v>
      </c>
      <c r="F23" s="24">
        <f ca="1">'1.3_Input_Baseline_Allowances'!F23*RANDBETWEEN(85,115)/100</f>
        <v>7.56</v>
      </c>
      <c r="G23" s="24">
        <f ca="1">'1.3_Input_Baseline_Allowances'!G23*RANDBETWEEN(85,115)/100</f>
        <v>0</v>
      </c>
      <c r="H23" s="101"/>
      <c r="I23" s="101"/>
      <c r="J23" s="101"/>
      <c r="K23" s="101"/>
    </row>
    <row r="24" spans="1:11" s="111" customFormat="1">
      <c r="A24" s="112" t="s">
        <v>126</v>
      </c>
      <c r="B24" s="102" t="s">
        <v>147</v>
      </c>
      <c r="C24" s="102" t="s">
        <v>83</v>
      </c>
      <c r="D24" s="24">
        <f ca="1">'1.3_Input_Baseline_Allowances'!D24*RANDBETWEEN(85,115)/100</f>
        <v>35.200000000000003</v>
      </c>
      <c r="E24" s="24">
        <f ca="1">'1.3_Input_Baseline_Allowances'!E24*RANDBETWEEN(85,115)/100</f>
        <v>5.45</v>
      </c>
      <c r="F24" s="24">
        <f ca="1">'1.3_Input_Baseline_Allowances'!F24*RANDBETWEEN(85,115)/100</f>
        <v>9.1</v>
      </c>
      <c r="G24" s="24">
        <f ca="1">'1.3_Input_Baseline_Allowances'!G24*RANDBETWEEN(85,115)/100</f>
        <v>0</v>
      </c>
      <c r="H24" s="101"/>
      <c r="I24" s="101"/>
      <c r="J24" s="101"/>
      <c r="K24" s="101"/>
    </row>
    <row r="25" spans="1:11" s="111" customFormat="1">
      <c r="A25" s="112" t="s">
        <v>127</v>
      </c>
      <c r="B25" s="102" t="s">
        <v>148</v>
      </c>
      <c r="C25" s="102" t="s">
        <v>83</v>
      </c>
      <c r="D25" s="24">
        <f ca="1">'1.3_Input_Baseline_Allowances'!D25*RANDBETWEEN(85,115)/100</f>
        <v>29.7</v>
      </c>
      <c r="E25" s="24">
        <f ca="1">'1.3_Input_Baseline_Allowances'!E25*RANDBETWEEN(85,115)/100</f>
        <v>6.78</v>
      </c>
      <c r="F25" s="24">
        <f ca="1">'1.3_Input_Baseline_Allowances'!F25*RANDBETWEEN(85,115)/100</f>
        <v>6.9</v>
      </c>
      <c r="G25" s="24">
        <f ca="1">'1.3_Input_Baseline_Allowances'!G25*RANDBETWEEN(85,115)/100</f>
        <v>0</v>
      </c>
      <c r="H25" s="101"/>
      <c r="I25" s="101"/>
      <c r="J25" s="101"/>
      <c r="K25" s="101"/>
    </row>
    <row r="26" spans="1:11" s="111" customFormat="1">
      <c r="A26" s="112" t="s">
        <v>128</v>
      </c>
      <c r="B26" s="102" t="s">
        <v>149</v>
      </c>
      <c r="C26" s="102" t="s">
        <v>83</v>
      </c>
      <c r="D26" s="24">
        <f ca="1">'1.3_Input_Baseline_Allowances'!D26*RANDBETWEEN(85,115)/100</f>
        <v>44.1</v>
      </c>
      <c r="E26" s="24">
        <f ca="1">'1.3_Input_Baseline_Allowances'!E26*RANDBETWEEN(85,115)/100</f>
        <v>10.6</v>
      </c>
      <c r="F26" s="24">
        <f ca="1">'1.3_Input_Baseline_Allowances'!F26*RANDBETWEEN(85,115)/100</f>
        <v>0</v>
      </c>
      <c r="G26" s="24">
        <f ca="1">'1.3_Input_Baseline_Allowances'!G26*RANDBETWEEN(85,115)/100</f>
        <v>0</v>
      </c>
      <c r="H26" s="101"/>
      <c r="I26" s="101"/>
      <c r="J26" s="101"/>
      <c r="K26" s="101"/>
    </row>
    <row r="27" spans="1:11" s="111" customFormat="1">
      <c r="A27" s="112" t="s">
        <v>129</v>
      </c>
      <c r="B27" s="102" t="s">
        <v>150</v>
      </c>
      <c r="C27" s="102" t="s">
        <v>83</v>
      </c>
      <c r="D27" s="24">
        <f ca="1">'1.3_Input_Baseline_Allowances'!D27*RANDBETWEEN(85,115)/100</f>
        <v>36.72</v>
      </c>
      <c r="E27" s="24">
        <f ca="1">'1.3_Input_Baseline_Allowances'!E27*RANDBETWEEN(85,115)/100</f>
        <v>4.4800000000000004</v>
      </c>
      <c r="F27" s="24">
        <f ca="1">'1.3_Input_Baseline_Allowances'!F27*RANDBETWEEN(85,115)/100</f>
        <v>0</v>
      </c>
      <c r="G27" s="24">
        <f ca="1">'1.3_Input_Baseline_Allowances'!G27*RANDBETWEEN(85,115)/100</f>
        <v>0</v>
      </c>
      <c r="H27" s="101"/>
      <c r="I27" s="101"/>
      <c r="J27" s="101"/>
      <c r="K27" s="101"/>
    </row>
    <row r="28" spans="1:11" s="111" customFormat="1">
      <c r="A28" s="112" t="s">
        <v>130</v>
      </c>
      <c r="B28" s="102" t="s">
        <v>151</v>
      </c>
      <c r="C28" s="102" t="s">
        <v>83</v>
      </c>
      <c r="D28" s="24">
        <f ca="1">'1.3_Input_Baseline_Allowances'!D28*RANDBETWEEN(85,115)/100</f>
        <v>12.88</v>
      </c>
      <c r="E28" s="24">
        <f ca="1">'1.3_Input_Baseline_Allowances'!E28*RANDBETWEEN(85,115)/100</f>
        <v>8.1</v>
      </c>
      <c r="F28" s="24">
        <f ca="1">'1.3_Input_Baseline_Allowances'!F28*RANDBETWEEN(85,115)/100</f>
        <v>2.58</v>
      </c>
      <c r="G28" s="24">
        <f ca="1">'1.3_Input_Baseline_Allowances'!G28*RANDBETWEEN(85,115)/100</f>
        <v>0</v>
      </c>
      <c r="H28" s="101"/>
      <c r="I28" s="101"/>
      <c r="J28" s="101"/>
      <c r="K28" s="101"/>
    </row>
    <row r="29" spans="1:11" s="111" customFormat="1">
      <c r="A29" s="112" t="s">
        <v>131</v>
      </c>
      <c r="B29" s="102" t="s">
        <v>152</v>
      </c>
      <c r="C29" s="102" t="s">
        <v>83</v>
      </c>
      <c r="D29" s="24">
        <f ca="1">'1.3_Input_Baseline_Allowances'!D29*RANDBETWEEN(85,115)/100</f>
        <v>37.799999999999997</v>
      </c>
      <c r="E29" s="24">
        <f ca="1">'1.3_Input_Baseline_Allowances'!E29*RANDBETWEEN(85,115)/100</f>
        <v>2.04</v>
      </c>
      <c r="F29" s="24">
        <f ca="1">'1.3_Input_Baseline_Allowances'!F29*RANDBETWEEN(85,115)/100</f>
        <v>1.98</v>
      </c>
      <c r="G29" s="24">
        <f ca="1">'1.3_Input_Baseline_Allowances'!G29*RANDBETWEEN(85,115)/100</f>
        <v>0</v>
      </c>
      <c r="H29" s="101"/>
      <c r="I29" s="101"/>
      <c r="J29" s="101"/>
      <c r="K29" s="101"/>
    </row>
    <row r="30" spans="1:11" s="111" customFormat="1">
      <c r="A30" s="112" t="s">
        <v>132</v>
      </c>
      <c r="B30" s="102" t="s">
        <v>153</v>
      </c>
      <c r="C30" s="102" t="s">
        <v>83</v>
      </c>
      <c r="D30" s="24">
        <f ca="1">'1.3_Input_Baseline_Allowances'!D30*RANDBETWEEN(85,115)/100</f>
        <v>38.85</v>
      </c>
      <c r="E30" s="24">
        <f ca="1">'1.3_Input_Baseline_Allowances'!E30*RANDBETWEEN(85,115)/100</f>
        <v>9.1</v>
      </c>
      <c r="F30" s="24">
        <f ca="1">'1.3_Input_Baseline_Allowances'!F30*RANDBETWEEN(85,115)/100</f>
        <v>5.4</v>
      </c>
      <c r="G30" s="24">
        <f ca="1">'1.3_Input_Baseline_Allowances'!G30*RANDBETWEEN(85,115)/100</f>
        <v>0</v>
      </c>
      <c r="H30" s="101"/>
      <c r="I30" s="101"/>
      <c r="J30" s="101"/>
      <c r="K30" s="101"/>
    </row>
    <row r="31" spans="1:11" s="111" customFormat="1">
      <c r="A31" s="112" t="s">
        <v>133</v>
      </c>
      <c r="B31" s="102" t="s">
        <v>154</v>
      </c>
      <c r="C31" s="102" t="s">
        <v>83</v>
      </c>
      <c r="D31" s="24">
        <f ca="1">'1.3_Input_Baseline_Allowances'!D31*RANDBETWEEN(85,115)/100</f>
        <v>51</v>
      </c>
      <c r="E31" s="24">
        <f ca="1">'1.3_Input_Baseline_Allowances'!E31*RANDBETWEEN(85,115)/100</f>
        <v>3.36</v>
      </c>
      <c r="F31" s="24">
        <f ca="1">'1.3_Input_Baseline_Allowances'!F31*RANDBETWEEN(85,115)/100</f>
        <v>6.96</v>
      </c>
      <c r="G31" s="24">
        <f ca="1">'1.3_Input_Baseline_Allowances'!G31*RANDBETWEEN(85,115)/100</f>
        <v>0</v>
      </c>
      <c r="H31" s="101"/>
      <c r="I31" s="101"/>
      <c r="J31" s="101"/>
      <c r="K31" s="101"/>
    </row>
    <row r="32" spans="1:11" s="111" customFormat="1">
      <c r="A32" s="112" t="s">
        <v>134</v>
      </c>
      <c r="B32" s="102" t="s">
        <v>155</v>
      </c>
      <c r="C32" s="102" t="s">
        <v>83</v>
      </c>
      <c r="D32" s="24">
        <f ca="1">'1.3_Input_Baseline_Allowances'!D32*RANDBETWEEN(85,115)/100</f>
        <v>38.130000000000003</v>
      </c>
      <c r="E32" s="24">
        <f ca="1">'1.3_Input_Baseline_Allowances'!E32*RANDBETWEEN(85,115)/100</f>
        <v>10</v>
      </c>
      <c r="F32" s="24">
        <f ca="1">'1.3_Input_Baseline_Allowances'!F32*RANDBETWEEN(85,115)/100</f>
        <v>5.65</v>
      </c>
      <c r="G32" s="24">
        <f ca="1">'1.3_Input_Baseline_Allowances'!G32*RANDBETWEEN(85,115)/100</f>
        <v>0</v>
      </c>
      <c r="H32" s="101"/>
      <c r="I32" s="101"/>
      <c r="J32" s="101"/>
      <c r="K32" s="101"/>
    </row>
    <row r="33" spans="1:11" s="111" customFormat="1">
      <c r="A33" s="112" t="s">
        <v>135</v>
      </c>
      <c r="B33" s="102" t="s">
        <v>156</v>
      </c>
      <c r="C33" s="102" t="s">
        <v>83</v>
      </c>
      <c r="D33" s="24">
        <f ca="1">'1.3_Input_Baseline_Allowances'!D33*RANDBETWEEN(85,115)/100</f>
        <v>23.04</v>
      </c>
      <c r="E33" s="24">
        <f ca="1">'1.3_Input_Baseline_Allowances'!E33*RANDBETWEEN(85,115)/100</f>
        <v>0</v>
      </c>
      <c r="F33" s="24">
        <f ca="1">'1.3_Input_Baseline_Allowances'!F33*RANDBETWEEN(85,115)/100</f>
        <v>6.3</v>
      </c>
      <c r="G33" s="24">
        <f ca="1">'1.3_Input_Baseline_Allowances'!G33*RANDBETWEEN(85,115)/100</f>
        <v>0</v>
      </c>
      <c r="H33" s="101"/>
      <c r="I33" s="101"/>
      <c r="J33" s="101"/>
      <c r="K33" s="101"/>
    </row>
    <row r="34" spans="1:11" s="111" customFormat="1">
      <c r="A34" s="112" t="s">
        <v>136</v>
      </c>
      <c r="B34" s="102" t="s">
        <v>157</v>
      </c>
      <c r="C34" s="102" t="s">
        <v>83</v>
      </c>
      <c r="D34" s="24">
        <f ca="1">'1.3_Input_Baseline_Allowances'!D34*RANDBETWEEN(85,115)/100</f>
        <v>32.19</v>
      </c>
      <c r="E34" s="24">
        <f ca="1">'1.3_Input_Baseline_Allowances'!E34*RANDBETWEEN(85,115)/100</f>
        <v>1.76</v>
      </c>
      <c r="F34" s="24">
        <f ca="1">'1.3_Input_Baseline_Allowances'!F34*RANDBETWEEN(85,115)/100</f>
        <v>1.8</v>
      </c>
      <c r="G34" s="24">
        <f ca="1">'1.3_Input_Baseline_Allowances'!G34*RANDBETWEEN(85,115)/100</f>
        <v>0</v>
      </c>
      <c r="H34" s="101"/>
      <c r="I34" s="101"/>
      <c r="J34" s="101"/>
      <c r="K34" s="101"/>
    </row>
    <row r="35" spans="1:11" s="111" customFormat="1">
      <c r="A35" s="112" t="s">
        <v>137</v>
      </c>
      <c r="B35" s="102" t="s">
        <v>158</v>
      </c>
      <c r="C35" s="102" t="s">
        <v>83</v>
      </c>
      <c r="D35" s="24">
        <f ca="1">'1.3_Input_Baseline_Allowances'!D35*RANDBETWEEN(85,115)/100</f>
        <v>1.1000000000000001</v>
      </c>
      <c r="E35" s="24">
        <f ca="1">'1.3_Input_Baseline_Allowances'!E35*RANDBETWEEN(85,115)/100</f>
        <v>4.9000000000000004</v>
      </c>
      <c r="F35" s="24">
        <f ca="1">'1.3_Input_Baseline_Allowances'!F35*RANDBETWEEN(85,115)/100</f>
        <v>4.32</v>
      </c>
      <c r="G35" s="24">
        <f ca="1">'1.3_Input_Baseline_Allowances'!G35*RANDBETWEEN(85,115)/100</f>
        <v>0</v>
      </c>
      <c r="H35" s="101"/>
      <c r="I35" s="101"/>
      <c r="J35" s="101"/>
      <c r="K35" s="101"/>
    </row>
    <row r="36" spans="1:11" s="111" customFormat="1">
      <c r="A36" s="112" t="s">
        <v>138</v>
      </c>
      <c r="B36" s="102" t="s">
        <v>159</v>
      </c>
      <c r="C36" s="102" t="s">
        <v>83</v>
      </c>
      <c r="D36" s="24">
        <f ca="1">'1.3_Input_Baseline_Allowances'!D36*RANDBETWEEN(85,115)/100</f>
        <v>17.28</v>
      </c>
      <c r="E36" s="24">
        <f ca="1">'1.3_Input_Baseline_Allowances'!E36*RANDBETWEEN(85,115)/100</f>
        <v>0</v>
      </c>
      <c r="F36" s="24">
        <f ca="1">'1.3_Input_Baseline_Allowances'!F36*RANDBETWEEN(85,115)/100</f>
        <v>3.45</v>
      </c>
      <c r="G36" s="24">
        <f ca="1">'1.3_Input_Baseline_Allowances'!G36*RANDBETWEEN(85,115)/100</f>
        <v>0</v>
      </c>
      <c r="H36" s="101"/>
      <c r="I36" s="101"/>
      <c r="J36" s="101"/>
      <c r="K36" s="101"/>
    </row>
    <row r="37" spans="1:11" s="111" customFormat="1">
      <c r="A37" s="112" t="s">
        <v>139</v>
      </c>
      <c r="B37" s="102" t="s">
        <v>160</v>
      </c>
      <c r="C37" s="102" t="s">
        <v>83</v>
      </c>
      <c r="D37" s="24">
        <f ca="1">'1.3_Input_Baseline_Allowances'!D37*RANDBETWEEN(85,115)/100</f>
        <v>36.96</v>
      </c>
      <c r="E37" s="24">
        <f ca="1">'1.3_Input_Baseline_Allowances'!E37*RANDBETWEEN(85,115)/100</f>
        <v>8.01</v>
      </c>
      <c r="F37" s="24">
        <f ca="1">'1.3_Input_Baseline_Allowances'!F37*RANDBETWEEN(85,115)/100</f>
        <v>5.35</v>
      </c>
      <c r="G37" s="24">
        <f ca="1">'1.3_Input_Baseline_Allowances'!G37*RANDBETWEEN(85,115)/100</f>
        <v>0</v>
      </c>
      <c r="H37" s="101"/>
      <c r="I37" s="101"/>
      <c r="J37" s="101"/>
      <c r="K37" s="101"/>
    </row>
    <row r="38" spans="1:11" s="111" customFormat="1">
      <c r="A38" s="102"/>
      <c r="B38" s="102" t="s">
        <v>161</v>
      </c>
      <c r="C38" s="102" t="s">
        <v>83</v>
      </c>
      <c r="D38" s="24">
        <f ca="1">'1.3_Input_Baseline_Allowances'!D38*RANDBETWEEN(85,115)/100</f>
        <v>0</v>
      </c>
      <c r="E38" s="24">
        <f ca="1">'1.3_Input_Baseline_Allowances'!E38*RANDBETWEEN(85,115)/100</f>
        <v>0</v>
      </c>
      <c r="F38" s="24">
        <f ca="1">'1.3_Input_Baseline_Allowances'!F38*RANDBETWEEN(85,115)/100</f>
        <v>0</v>
      </c>
      <c r="G38" s="24">
        <f ca="1">'1.3_Input_Baseline_Allowances'!G38*RANDBETWEEN(85,115)/100</f>
        <v>0</v>
      </c>
      <c r="H38" s="101"/>
      <c r="I38" s="101"/>
      <c r="J38" s="101"/>
      <c r="K38" s="101"/>
    </row>
    <row r="39" spans="1:11" s="111" customFormat="1">
      <c r="A39" s="102"/>
      <c r="B39" s="102" t="s">
        <v>162</v>
      </c>
      <c r="C39" s="102" t="s">
        <v>83</v>
      </c>
      <c r="D39" s="24">
        <f ca="1">'1.3_Input_Baseline_Allowances'!D39*RANDBETWEEN(85,115)/100</f>
        <v>0</v>
      </c>
      <c r="E39" s="24">
        <f ca="1">'1.3_Input_Baseline_Allowances'!E39*RANDBETWEEN(85,115)/100</f>
        <v>0</v>
      </c>
      <c r="F39" s="24">
        <f ca="1">'1.3_Input_Baseline_Allowances'!F39*RANDBETWEEN(85,115)/100</f>
        <v>0</v>
      </c>
      <c r="G39" s="24">
        <f ca="1">'1.3_Input_Baseline_Allowances'!G39*RANDBETWEEN(85,115)/100</f>
        <v>0</v>
      </c>
      <c r="H39" s="101"/>
      <c r="I39" s="101"/>
      <c r="J39" s="101"/>
      <c r="K39" s="101"/>
    </row>
    <row r="40" spans="1:11" s="111" customFormat="1">
      <c r="A40" s="102"/>
      <c r="B40" s="102" t="s">
        <v>163</v>
      </c>
      <c r="C40" s="102" t="s">
        <v>83</v>
      </c>
      <c r="D40" s="24">
        <f ca="1">'1.3_Input_Baseline_Allowances'!D40*RANDBETWEEN(85,115)/100</f>
        <v>0</v>
      </c>
      <c r="E40" s="24">
        <f ca="1">'1.3_Input_Baseline_Allowances'!E40*RANDBETWEEN(85,115)/100</f>
        <v>0</v>
      </c>
      <c r="F40" s="24">
        <f ca="1">'1.3_Input_Baseline_Allowances'!F40*RANDBETWEEN(85,115)/100</f>
        <v>0</v>
      </c>
      <c r="G40" s="24">
        <f ca="1">'1.3_Input_Baseline_Allowances'!G40*RANDBETWEEN(85,115)/100</f>
        <v>0</v>
      </c>
      <c r="H40" s="101"/>
      <c r="I40" s="101"/>
      <c r="J40" s="101"/>
      <c r="K40" s="101"/>
    </row>
    <row r="41" spans="1:11" s="111" customFormat="1">
      <c r="A41" s="102"/>
      <c r="B41" s="102" t="s">
        <v>164</v>
      </c>
      <c r="C41" s="102" t="s">
        <v>83</v>
      </c>
      <c r="D41" s="24">
        <f ca="1">'1.3_Input_Baseline_Allowances'!D41*RANDBETWEEN(85,115)/100</f>
        <v>0</v>
      </c>
      <c r="E41" s="24">
        <f ca="1">'1.3_Input_Baseline_Allowances'!E41*RANDBETWEEN(85,115)/100</f>
        <v>0</v>
      </c>
      <c r="F41" s="24">
        <f ca="1">'1.3_Input_Baseline_Allowances'!F41*RANDBETWEEN(85,115)/100</f>
        <v>0</v>
      </c>
      <c r="G41" s="24">
        <f ca="1">'1.3_Input_Baseline_Allowances'!G41*RANDBETWEEN(85,115)/100</f>
        <v>0</v>
      </c>
      <c r="H41" s="101"/>
      <c r="I41" s="101"/>
      <c r="J41" s="101"/>
      <c r="K41" s="101"/>
    </row>
    <row r="42" spans="1:11" s="111" customFormat="1">
      <c r="A42" s="102"/>
      <c r="B42" s="102" t="s">
        <v>165</v>
      </c>
      <c r="C42" s="102" t="s">
        <v>83</v>
      </c>
      <c r="D42" s="24">
        <f ca="1">'1.3_Input_Baseline_Allowances'!D42*RANDBETWEEN(85,115)/100</f>
        <v>0</v>
      </c>
      <c r="E42" s="24">
        <f ca="1">'1.3_Input_Baseline_Allowances'!E42*RANDBETWEEN(85,115)/100</f>
        <v>0</v>
      </c>
      <c r="F42" s="24">
        <f ca="1">'1.3_Input_Baseline_Allowances'!F42*RANDBETWEEN(85,115)/100</f>
        <v>0</v>
      </c>
      <c r="G42" s="24">
        <f ca="1">'1.3_Input_Baseline_Allowances'!G42*RANDBETWEEN(85,115)/100</f>
        <v>0</v>
      </c>
      <c r="H42" s="101"/>
      <c r="I42" s="101"/>
      <c r="J42" s="101"/>
      <c r="K42" s="101"/>
    </row>
    <row r="43" spans="1:11" s="111" customFormat="1">
      <c r="A43" s="102"/>
      <c r="B43" s="102" t="s">
        <v>166</v>
      </c>
      <c r="C43" s="102" t="s">
        <v>83</v>
      </c>
      <c r="D43" s="24">
        <f ca="1">'1.3_Input_Baseline_Allowances'!D43*RANDBETWEEN(85,115)/100</f>
        <v>0</v>
      </c>
      <c r="E43" s="24">
        <f ca="1">'1.3_Input_Baseline_Allowances'!E43*RANDBETWEEN(85,115)/100</f>
        <v>0</v>
      </c>
      <c r="F43" s="24">
        <f ca="1">'1.3_Input_Baseline_Allowances'!F43*RANDBETWEEN(85,115)/100</f>
        <v>0</v>
      </c>
      <c r="G43" s="24">
        <f ca="1">'1.3_Input_Baseline_Allowances'!G43*RANDBETWEEN(85,115)/100</f>
        <v>0</v>
      </c>
      <c r="H43" s="101"/>
      <c r="I43" s="101"/>
      <c r="J43" s="101"/>
      <c r="K43" s="101"/>
    </row>
    <row r="44" spans="1:11" s="111" customFormat="1">
      <c r="A44" s="102"/>
      <c r="B44" s="102" t="s">
        <v>167</v>
      </c>
      <c r="C44" s="102" t="s">
        <v>83</v>
      </c>
      <c r="D44" s="24">
        <f ca="1">'1.3_Input_Baseline_Allowances'!D44*RANDBETWEEN(85,115)/100</f>
        <v>0</v>
      </c>
      <c r="E44" s="24">
        <f ca="1">'1.3_Input_Baseline_Allowances'!E44*RANDBETWEEN(85,115)/100</f>
        <v>0</v>
      </c>
      <c r="F44" s="24">
        <f ca="1">'1.3_Input_Baseline_Allowances'!F44*RANDBETWEEN(85,115)/100</f>
        <v>0</v>
      </c>
      <c r="G44" s="24">
        <f ca="1">'1.3_Input_Baseline_Allowances'!G44*RANDBETWEEN(85,115)/100</f>
        <v>0</v>
      </c>
      <c r="H44" s="101"/>
      <c r="I44" s="101"/>
      <c r="J44" s="101"/>
      <c r="K44" s="101"/>
    </row>
    <row r="45" spans="1:11" s="111" customFormat="1">
      <c r="A45" s="102"/>
      <c r="B45" s="102" t="s">
        <v>168</v>
      </c>
      <c r="C45" s="102" t="s">
        <v>83</v>
      </c>
      <c r="D45" s="24">
        <f ca="1">'1.3_Input_Baseline_Allowances'!D45*RANDBETWEEN(85,115)/100</f>
        <v>0</v>
      </c>
      <c r="E45" s="24">
        <f ca="1">'1.3_Input_Baseline_Allowances'!E45*RANDBETWEEN(85,115)/100</f>
        <v>0</v>
      </c>
      <c r="F45" s="24">
        <f ca="1">'1.3_Input_Baseline_Allowances'!F45*RANDBETWEEN(85,115)/100</f>
        <v>0</v>
      </c>
      <c r="G45" s="24">
        <f ca="1">'1.3_Input_Baseline_Allowances'!G45*RANDBETWEEN(85,115)/100</f>
        <v>0</v>
      </c>
      <c r="H45" s="101"/>
      <c r="I45" s="101"/>
      <c r="J45" s="101"/>
      <c r="K45" s="101"/>
    </row>
    <row r="46" spans="1:11" s="111" customFormat="1">
      <c r="A46" s="102"/>
      <c r="B46" s="102" t="s">
        <v>169</v>
      </c>
      <c r="C46" s="102" t="s">
        <v>83</v>
      </c>
      <c r="D46" s="24">
        <f ca="1">'1.3_Input_Baseline_Allowances'!D46*RANDBETWEEN(85,115)/100</f>
        <v>0</v>
      </c>
      <c r="E46" s="24">
        <f ca="1">'1.3_Input_Baseline_Allowances'!E46*RANDBETWEEN(85,115)/100</f>
        <v>0</v>
      </c>
      <c r="F46" s="24">
        <f ca="1">'1.3_Input_Baseline_Allowances'!F46*RANDBETWEEN(85,115)/100</f>
        <v>0</v>
      </c>
      <c r="G46" s="24">
        <f ca="1">'1.3_Input_Baseline_Allowances'!G46*RANDBETWEEN(85,115)/100</f>
        <v>0</v>
      </c>
      <c r="H46" s="101"/>
      <c r="I46" s="101"/>
      <c r="J46" s="101"/>
      <c r="K46" s="101"/>
    </row>
    <row r="47" spans="1:11" s="111" customFormat="1">
      <c r="A47" s="102"/>
      <c r="B47" s="102" t="s">
        <v>170</v>
      </c>
      <c r="C47" s="102" t="s">
        <v>83</v>
      </c>
      <c r="D47" s="24">
        <f ca="1">'1.3_Input_Baseline_Allowances'!D47*RANDBETWEEN(85,115)/100</f>
        <v>0</v>
      </c>
      <c r="E47" s="24">
        <f ca="1">'1.3_Input_Baseline_Allowances'!E47*RANDBETWEEN(85,115)/100</f>
        <v>0</v>
      </c>
      <c r="F47" s="24">
        <f ca="1">'1.3_Input_Baseline_Allowances'!F47*RANDBETWEEN(85,115)/100</f>
        <v>0</v>
      </c>
      <c r="G47" s="24">
        <f ca="1">'1.3_Input_Baseline_Allowances'!G47*RANDBETWEEN(85,115)/100</f>
        <v>0</v>
      </c>
      <c r="H47" s="101"/>
      <c r="I47" s="101"/>
      <c r="J47" s="101"/>
      <c r="K47" s="101"/>
    </row>
    <row r="48" spans="1:11" s="111" customFormat="1">
      <c r="A48" s="102"/>
      <c r="B48" s="102" t="s">
        <v>171</v>
      </c>
      <c r="C48" s="102" t="s">
        <v>83</v>
      </c>
      <c r="D48" s="24">
        <f ca="1">'1.3_Input_Baseline_Allowances'!D48*RANDBETWEEN(85,115)/100</f>
        <v>0</v>
      </c>
      <c r="E48" s="24">
        <f ca="1">'1.3_Input_Baseline_Allowances'!E48*RANDBETWEEN(85,115)/100</f>
        <v>0</v>
      </c>
      <c r="F48" s="24">
        <f ca="1">'1.3_Input_Baseline_Allowances'!F48*RANDBETWEEN(85,115)/100</f>
        <v>0</v>
      </c>
      <c r="G48" s="24">
        <f ca="1">'1.3_Input_Baseline_Allowances'!G48*RANDBETWEEN(85,115)/100</f>
        <v>0</v>
      </c>
      <c r="H48" s="101"/>
      <c r="I48" s="101"/>
      <c r="J48" s="101"/>
      <c r="K48" s="101"/>
    </row>
    <row r="49" spans="1:7" s="111" customFormat="1">
      <c r="A49" s="102"/>
      <c r="B49" s="102" t="s">
        <v>172</v>
      </c>
      <c r="C49" s="102" t="s">
        <v>83</v>
      </c>
      <c r="D49" s="24">
        <f ca="1">'1.3_Input_Baseline_Allowances'!D49*RANDBETWEEN(85,115)/100</f>
        <v>0</v>
      </c>
      <c r="E49" s="24">
        <f ca="1">'1.3_Input_Baseline_Allowances'!E49*RANDBETWEEN(85,115)/100</f>
        <v>0</v>
      </c>
      <c r="F49" s="24">
        <f ca="1">'1.3_Input_Baseline_Allowances'!F49*RANDBETWEEN(85,115)/100</f>
        <v>0</v>
      </c>
      <c r="G49" s="24">
        <f ca="1">'1.3_Input_Baseline_Allowances'!G49*RANDBETWEEN(85,115)/100</f>
        <v>0</v>
      </c>
    </row>
    <row r="50" spans="1:7" s="111" customFormat="1">
      <c r="A50" s="102"/>
      <c r="B50" s="102" t="s">
        <v>173</v>
      </c>
      <c r="C50" s="102" t="s">
        <v>83</v>
      </c>
      <c r="D50" s="24">
        <f ca="1">'1.3_Input_Baseline_Allowances'!D50*RANDBETWEEN(85,115)/100</f>
        <v>0</v>
      </c>
      <c r="E50" s="24">
        <f ca="1">'1.3_Input_Baseline_Allowances'!E50*RANDBETWEEN(85,115)/100</f>
        <v>0</v>
      </c>
      <c r="F50" s="24">
        <f ca="1">'1.3_Input_Baseline_Allowances'!F50*RANDBETWEEN(85,115)/100</f>
        <v>0</v>
      </c>
      <c r="G50" s="24">
        <f ca="1">'1.3_Input_Baseline_Allowances'!G50*RANDBETWEEN(85,115)/100</f>
        <v>0</v>
      </c>
    </row>
    <row r="51" spans="1:7" s="111" customFormat="1">
      <c r="A51" s="102"/>
      <c r="B51" s="102" t="s">
        <v>174</v>
      </c>
      <c r="C51" s="102" t="s">
        <v>83</v>
      </c>
      <c r="D51" s="24">
        <f ca="1">'1.3_Input_Baseline_Allowances'!D51*RANDBETWEEN(85,115)/100</f>
        <v>0</v>
      </c>
      <c r="E51" s="24">
        <f ca="1">'1.3_Input_Baseline_Allowances'!E51*RANDBETWEEN(85,115)/100</f>
        <v>0</v>
      </c>
      <c r="F51" s="24">
        <f ca="1">'1.3_Input_Baseline_Allowances'!F51*RANDBETWEEN(85,115)/100</f>
        <v>0</v>
      </c>
      <c r="G51" s="24">
        <f ca="1">'1.3_Input_Baseline_Allowances'!G51*RANDBETWEEN(85,115)/100</f>
        <v>0</v>
      </c>
    </row>
    <row r="52" spans="1:7" s="111" customFormat="1">
      <c r="A52" s="102"/>
      <c r="B52" s="102" t="s">
        <v>175</v>
      </c>
      <c r="C52" s="102" t="s">
        <v>83</v>
      </c>
      <c r="D52" s="24">
        <f ca="1">'1.3_Input_Baseline_Allowances'!D52*RANDBETWEEN(85,115)/100</f>
        <v>0</v>
      </c>
      <c r="E52" s="24">
        <f ca="1">'1.3_Input_Baseline_Allowances'!E52*RANDBETWEEN(85,115)/100</f>
        <v>0</v>
      </c>
      <c r="F52" s="24">
        <f ca="1">'1.3_Input_Baseline_Allowances'!F52*RANDBETWEEN(85,115)/100</f>
        <v>0</v>
      </c>
      <c r="G52" s="24">
        <f ca="1">'1.3_Input_Baseline_Allowances'!G52*RANDBETWEEN(85,115)/100</f>
        <v>0</v>
      </c>
    </row>
    <row r="53" spans="1:7" s="111" customFormat="1">
      <c r="A53" s="102"/>
      <c r="B53" s="102" t="s">
        <v>176</v>
      </c>
      <c r="C53" s="102" t="s">
        <v>83</v>
      </c>
      <c r="D53" s="24">
        <f ca="1">'1.3_Input_Baseline_Allowances'!D53*RANDBETWEEN(85,115)/100</f>
        <v>0</v>
      </c>
      <c r="E53" s="24">
        <f ca="1">'1.3_Input_Baseline_Allowances'!E53*RANDBETWEEN(85,115)/100</f>
        <v>0</v>
      </c>
      <c r="F53" s="24">
        <f ca="1">'1.3_Input_Baseline_Allowances'!F53*RANDBETWEEN(85,115)/100</f>
        <v>0</v>
      </c>
      <c r="G53" s="24">
        <f ca="1">'1.3_Input_Baseline_Allowances'!G53*RANDBETWEEN(85,115)/100</f>
        <v>0</v>
      </c>
    </row>
    <row r="54" spans="1:7" s="111" customFormat="1">
      <c r="A54" s="102"/>
      <c r="B54" s="102" t="s">
        <v>177</v>
      </c>
      <c r="C54" s="102" t="s">
        <v>83</v>
      </c>
      <c r="D54" s="24">
        <f ca="1">'1.3_Input_Baseline_Allowances'!D54*RANDBETWEEN(85,115)/100</f>
        <v>0</v>
      </c>
      <c r="E54" s="24">
        <f ca="1">'1.3_Input_Baseline_Allowances'!E54*RANDBETWEEN(85,115)/100</f>
        <v>0</v>
      </c>
      <c r="F54" s="24">
        <f ca="1">'1.3_Input_Baseline_Allowances'!F54*RANDBETWEEN(85,115)/100</f>
        <v>0</v>
      </c>
      <c r="G54" s="24">
        <f ca="1">'1.3_Input_Baseline_Allowances'!G54*RANDBETWEEN(85,115)/100</f>
        <v>0</v>
      </c>
    </row>
    <row r="55" spans="1:7" s="111" customFormat="1">
      <c r="A55" s="102"/>
      <c r="B55" s="102" t="s">
        <v>178</v>
      </c>
      <c r="C55" s="102" t="s">
        <v>83</v>
      </c>
      <c r="D55" s="24">
        <f ca="1">'1.3_Input_Baseline_Allowances'!D55*RANDBETWEEN(85,115)/100</f>
        <v>0</v>
      </c>
      <c r="E55" s="24">
        <f ca="1">'1.3_Input_Baseline_Allowances'!E55*RANDBETWEEN(85,115)/100</f>
        <v>0</v>
      </c>
      <c r="F55" s="24">
        <f ca="1">'1.3_Input_Baseline_Allowances'!F55*RANDBETWEEN(85,115)/100</f>
        <v>0</v>
      </c>
      <c r="G55" s="24">
        <f ca="1">'1.3_Input_Baseline_Allowances'!G55*RANDBETWEEN(85,115)/100</f>
        <v>0</v>
      </c>
    </row>
    <row r="56" spans="1:7" s="111" customFormat="1">
      <c r="A56" s="102"/>
      <c r="B56" s="102" t="s">
        <v>179</v>
      </c>
      <c r="C56" s="102" t="s">
        <v>83</v>
      </c>
      <c r="D56" s="24">
        <f ca="1">'1.3_Input_Baseline_Allowances'!D56*RANDBETWEEN(85,115)/100</f>
        <v>0</v>
      </c>
      <c r="E56" s="24">
        <f ca="1">'1.3_Input_Baseline_Allowances'!E56*RANDBETWEEN(85,115)/100</f>
        <v>0</v>
      </c>
      <c r="F56" s="24">
        <f ca="1">'1.3_Input_Baseline_Allowances'!F56*RANDBETWEEN(85,115)/100</f>
        <v>0</v>
      </c>
      <c r="G56" s="24">
        <f ca="1">'1.3_Input_Baseline_Allowances'!G56*RANDBETWEEN(85,115)/100</f>
        <v>0</v>
      </c>
    </row>
    <row r="57" spans="1:7" s="111" customFormat="1"/>
    <row r="58" spans="1:7" s="111" customFormat="1">
      <c r="A58" s="20" t="s">
        <v>180</v>
      </c>
      <c r="B58" s="20"/>
      <c r="C58" s="20"/>
      <c r="D58" s="20"/>
      <c r="E58" s="20"/>
      <c r="F58" s="20"/>
      <c r="G58" s="20"/>
    </row>
    <row r="59" spans="1:7" s="111" customFormat="1"/>
    <row r="60" spans="1:7" s="111" customFormat="1">
      <c r="A60" s="13" t="s">
        <v>121</v>
      </c>
      <c r="B60" s="13" t="s">
        <v>3</v>
      </c>
      <c r="C60" s="13" t="s">
        <v>2</v>
      </c>
      <c r="D60" s="23" t="s">
        <v>19</v>
      </c>
      <c r="E60" s="23" t="s">
        <v>20</v>
      </c>
      <c r="F60" s="23" t="s">
        <v>21</v>
      </c>
      <c r="G60" s="23" t="s">
        <v>22</v>
      </c>
    </row>
    <row r="61" spans="1:7" s="111" customFormat="1">
      <c r="A61" s="112" t="s">
        <v>122</v>
      </c>
      <c r="B61" s="102" t="s">
        <v>143</v>
      </c>
      <c r="C61" s="102" t="s">
        <v>107</v>
      </c>
      <c r="D61" s="24">
        <f ca="1">'1.3_Input_Baseline_Allowances'!D61*RANDBETWEEN(85,115)/100</f>
        <v>20.010000000000002</v>
      </c>
      <c r="E61" s="24">
        <f ca="1">'1.3_Input_Baseline_Allowances'!E61*RANDBETWEEN(85,115)/100</f>
        <v>1.76</v>
      </c>
      <c r="F61" s="24">
        <f ca="1">'1.3_Input_Baseline_Allowances'!F61*RANDBETWEEN(85,115)/100</f>
        <v>8.73</v>
      </c>
      <c r="G61" s="24">
        <f ca="1">'1.3_Input_Baseline_Allowances'!G61*RANDBETWEEN(85,115)/100</f>
        <v>0</v>
      </c>
    </row>
    <row r="62" spans="1:7" s="111" customFormat="1">
      <c r="A62" s="112" t="s">
        <v>123</v>
      </c>
      <c r="B62" s="102" t="s">
        <v>144</v>
      </c>
      <c r="C62" s="102" t="s">
        <v>107</v>
      </c>
      <c r="D62" s="24">
        <f ca="1">'1.3_Input_Baseline_Allowances'!D62*RANDBETWEEN(85,115)/100</f>
        <v>45.45</v>
      </c>
      <c r="E62" s="24">
        <f ca="1">'1.3_Input_Baseline_Allowances'!E62*RANDBETWEEN(85,115)/100</f>
        <v>0</v>
      </c>
      <c r="F62" s="24">
        <f ca="1">'1.3_Input_Baseline_Allowances'!F62*RANDBETWEEN(85,115)/100</f>
        <v>2.94</v>
      </c>
      <c r="G62" s="24">
        <f ca="1">'1.3_Input_Baseline_Allowances'!G62*RANDBETWEEN(85,115)/100</f>
        <v>0</v>
      </c>
    </row>
    <row r="63" spans="1:7" s="111" customFormat="1">
      <c r="A63" s="112" t="s">
        <v>124</v>
      </c>
      <c r="B63" s="102" t="s">
        <v>145</v>
      </c>
      <c r="C63" s="102" t="s">
        <v>107</v>
      </c>
      <c r="D63" s="24">
        <f ca="1">'1.3_Input_Baseline_Allowances'!D63*RANDBETWEEN(85,115)/100</f>
        <v>47.84</v>
      </c>
      <c r="E63" s="24">
        <f ca="1">'1.3_Input_Baseline_Allowances'!E63*RANDBETWEEN(85,115)/100</f>
        <v>0</v>
      </c>
      <c r="F63" s="24">
        <f ca="1">'1.3_Input_Baseline_Allowances'!F63*RANDBETWEEN(85,115)/100</f>
        <v>6.51</v>
      </c>
      <c r="G63" s="24">
        <f ca="1">'1.3_Input_Baseline_Allowances'!G63*RANDBETWEEN(85,115)/100</f>
        <v>0</v>
      </c>
    </row>
    <row r="64" spans="1:7" s="111" customFormat="1">
      <c r="A64" s="112" t="s">
        <v>125</v>
      </c>
      <c r="B64" s="102" t="s">
        <v>146</v>
      </c>
      <c r="C64" s="102" t="s">
        <v>107</v>
      </c>
      <c r="D64" s="24">
        <f ca="1">'1.3_Input_Baseline_Allowances'!D64*RANDBETWEEN(85,115)/100</f>
        <v>29.24</v>
      </c>
      <c r="E64" s="24">
        <f ca="1">'1.3_Input_Baseline_Allowances'!E64*RANDBETWEEN(85,115)/100</f>
        <v>2.06</v>
      </c>
      <c r="F64" s="24">
        <f ca="1">'1.3_Input_Baseline_Allowances'!F64*RANDBETWEEN(85,115)/100</f>
        <v>6.93</v>
      </c>
      <c r="G64" s="24">
        <f ca="1">'1.3_Input_Baseline_Allowances'!G64*RANDBETWEEN(85,115)/100</f>
        <v>0</v>
      </c>
    </row>
    <row r="65" spans="1:7" s="111" customFormat="1">
      <c r="A65" s="112" t="s">
        <v>126</v>
      </c>
      <c r="B65" s="102" t="s">
        <v>147</v>
      </c>
      <c r="C65" s="102" t="s">
        <v>107</v>
      </c>
      <c r="D65" s="24">
        <f ca="1">'1.3_Input_Baseline_Allowances'!D65*RANDBETWEEN(85,115)/100</f>
        <v>12.04</v>
      </c>
      <c r="E65" s="24">
        <f ca="1">'1.3_Input_Baseline_Allowances'!E65*RANDBETWEEN(85,115)/100</f>
        <v>0</v>
      </c>
      <c r="F65" s="24">
        <f ca="1">'1.3_Input_Baseline_Allowances'!F65*RANDBETWEEN(85,115)/100</f>
        <v>2.12</v>
      </c>
      <c r="G65" s="24">
        <f ca="1">'1.3_Input_Baseline_Allowances'!G65*RANDBETWEEN(85,115)/100</f>
        <v>0</v>
      </c>
    </row>
    <row r="66" spans="1:7" s="111" customFormat="1">
      <c r="A66" s="112" t="s">
        <v>127</v>
      </c>
      <c r="B66" s="102" t="s">
        <v>148</v>
      </c>
      <c r="C66" s="102" t="s">
        <v>107</v>
      </c>
      <c r="D66" s="24">
        <f ca="1">'1.3_Input_Baseline_Allowances'!D66*RANDBETWEEN(85,115)/100</f>
        <v>45.08</v>
      </c>
      <c r="E66" s="24">
        <f ca="1">'1.3_Input_Baseline_Allowances'!E66*RANDBETWEEN(85,115)/100</f>
        <v>0</v>
      </c>
      <c r="F66" s="24">
        <f ca="1">'1.3_Input_Baseline_Allowances'!F66*RANDBETWEEN(85,115)/100</f>
        <v>7.07</v>
      </c>
      <c r="G66" s="24">
        <f ca="1">'1.3_Input_Baseline_Allowances'!G66*RANDBETWEEN(85,115)/100</f>
        <v>0</v>
      </c>
    </row>
    <row r="67" spans="1:7" s="111" customFormat="1">
      <c r="A67" s="112" t="s">
        <v>128</v>
      </c>
      <c r="B67" s="102" t="s">
        <v>149</v>
      </c>
      <c r="C67" s="102" t="s">
        <v>107</v>
      </c>
      <c r="D67" s="24">
        <f ca="1">'1.3_Input_Baseline_Allowances'!D67*RANDBETWEEN(85,115)/100</f>
        <v>6.3</v>
      </c>
      <c r="E67" s="24">
        <f ca="1">'1.3_Input_Baseline_Allowances'!E67*RANDBETWEEN(85,115)/100</f>
        <v>2.64</v>
      </c>
      <c r="F67" s="24">
        <f ca="1">'1.3_Input_Baseline_Allowances'!F67*RANDBETWEEN(85,115)/100</f>
        <v>1.1499999999999999</v>
      </c>
      <c r="G67" s="24">
        <f ca="1">'1.3_Input_Baseline_Allowances'!G67*RANDBETWEEN(85,115)/100</f>
        <v>0</v>
      </c>
    </row>
    <row r="68" spans="1:7" s="111" customFormat="1">
      <c r="A68" s="112" t="s">
        <v>129</v>
      </c>
      <c r="B68" s="102" t="s">
        <v>150</v>
      </c>
      <c r="C68" s="102" t="s">
        <v>107</v>
      </c>
      <c r="D68" s="24">
        <f ca="1">'1.3_Input_Baseline_Allowances'!D68*RANDBETWEEN(85,115)/100</f>
        <v>16.96</v>
      </c>
      <c r="E68" s="24">
        <f ca="1">'1.3_Input_Baseline_Allowances'!E68*RANDBETWEEN(85,115)/100</f>
        <v>6.96</v>
      </c>
      <c r="F68" s="24">
        <f ca="1">'1.3_Input_Baseline_Allowances'!F68*RANDBETWEEN(85,115)/100</f>
        <v>6.6</v>
      </c>
      <c r="G68" s="24">
        <f ca="1">'1.3_Input_Baseline_Allowances'!G68*RANDBETWEEN(85,115)/100</f>
        <v>0</v>
      </c>
    </row>
    <row r="69" spans="1:7" s="111" customFormat="1">
      <c r="A69" s="112" t="s">
        <v>130</v>
      </c>
      <c r="B69" s="102" t="s">
        <v>151</v>
      </c>
      <c r="C69" s="102" t="s">
        <v>107</v>
      </c>
      <c r="D69" s="24">
        <f ca="1">'1.3_Input_Baseline_Allowances'!D69*RANDBETWEEN(85,115)/100</f>
        <v>18</v>
      </c>
      <c r="E69" s="24">
        <f ca="1">'1.3_Input_Baseline_Allowances'!E69*RANDBETWEEN(85,115)/100</f>
        <v>0.9</v>
      </c>
      <c r="F69" s="24">
        <f ca="1">'1.3_Input_Baseline_Allowances'!F69*RANDBETWEEN(85,115)/100</f>
        <v>10.17</v>
      </c>
      <c r="G69" s="24">
        <f ca="1">'1.3_Input_Baseline_Allowances'!G69*RANDBETWEEN(85,115)/100</f>
        <v>0</v>
      </c>
    </row>
    <row r="70" spans="1:7" s="111" customFormat="1">
      <c r="A70" s="112" t="s">
        <v>131</v>
      </c>
      <c r="B70" s="102" t="s">
        <v>152</v>
      </c>
      <c r="C70" s="102" t="s">
        <v>107</v>
      </c>
      <c r="D70" s="24">
        <f ca="1">'1.3_Input_Baseline_Allowances'!D70*RANDBETWEEN(85,115)/100</f>
        <v>50.85</v>
      </c>
      <c r="E70" s="24">
        <f ca="1">'1.3_Input_Baseline_Allowances'!E70*RANDBETWEEN(85,115)/100</f>
        <v>4.5999999999999996</v>
      </c>
      <c r="F70" s="24">
        <f ca="1">'1.3_Input_Baseline_Allowances'!F70*RANDBETWEEN(85,115)/100</f>
        <v>11.3</v>
      </c>
      <c r="G70" s="24">
        <f ca="1">'1.3_Input_Baseline_Allowances'!G70*RANDBETWEEN(85,115)/100</f>
        <v>0</v>
      </c>
    </row>
    <row r="71" spans="1:7" s="111" customFormat="1">
      <c r="A71" s="112" t="s">
        <v>132</v>
      </c>
      <c r="B71" s="102" t="s">
        <v>153</v>
      </c>
      <c r="C71" s="102" t="s">
        <v>107</v>
      </c>
      <c r="D71" s="24">
        <f ca="1">'1.3_Input_Baseline_Allowances'!D71*RANDBETWEEN(85,115)/100</f>
        <v>26.46</v>
      </c>
      <c r="E71" s="24">
        <f ca="1">'1.3_Input_Baseline_Allowances'!E71*RANDBETWEEN(85,115)/100</f>
        <v>0</v>
      </c>
      <c r="F71" s="24">
        <f ca="1">'1.3_Input_Baseline_Allowances'!F71*RANDBETWEEN(85,115)/100</f>
        <v>2.85</v>
      </c>
      <c r="G71" s="24">
        <f ca="1">'1.3_Input_Baseline_Allowances'!G71*RANDBETWEEN(85,115)/100</f>
        <v>0</v>
      </c>
    </row>
    <row r="72" spans="1:7" s="111" customFormat="1">
      <c r="A72" s="112" t="s">
        <v>133</v>
      </c>
      <c r="B72" s="102" t="s">
        <v>154</v>
      </c>
      <c r="C72" s="102" t="s">
        <v>107</v>
      </c>
      <c r="D72" s="24">
        <f ca="1">'1.3_Input_Baseline_Allowances'!D72*RANDBETWEEN(85,115)/100</f>
        <v>20.7</v>
      </c>
      <c r="E72" s="24">
        <f ca="1">'1.3_Input_Baseline_Allowances'!E72*RANDBETWEEN(85,115)/100</f>
        <v>0</v>
      </c>
      <c r="F72" s="24">
        <f ca="1">'1.3_Input_Baseline_Allowances'!F72*RANDBETWEEN(85,115)/100</f>
        <v>4.5999999999999996</v>
      </c>
      <c r="G72" s="24">
        <f ca="1">'1.3_Input_Baseline_Allowances'!G72*RANDBETWEEN(85,115)/100</f>
        <v>0</v>
      </c>
    </row>
    <row r="73" spans="1:7" s="111" customFormat="1">
      <c r="A73" s="112" t="s">
        <v>134</v>
      </c>
      <c r="B73" s="102" t="s">
        <v>155</v>
      </c>
      <c r="C73" s="102" t="s">
        <v>107</v>
      </c>
      <c r="D73" s="24">
        <f ca="1">'1.3_Input_Baseline_Allowances'!D73*RANDBETWEEN(85,115)/100</f>
        <v>22.88</v>
      </c>
      <c r="E73" s="24">
        <f ca="1">'1.3_Input_Baseline_Allowances'!E73*RANDBETWEEN(85,115)/100</f>
        <v>10.5</v>
      </c>
      <c r="F73" s="24">
        <f ca="1">'1.3_Input_Baseline_Allowances'!F73*RANDBETWEEN(85,115)/100</f>
        <v>2.58</v>
      </c>
      <c r="G73" s="24">
        <f ca="1">'1.3_Input_Baseline_Allowances'!G73*RANDBETWEEN(85,115)/100</f>
        <v>0</v>
      </c>
    </row>
    <row r="74" spans="1:7" s="111" customFormat="1">
      <c r="A74" s="112" t="s">
        <v>135</v>
      </c>
      <c r="B74" s="102" t="s">
        <v>156</v>
      </c>
      <c r="C74" s="102" t="s">
        <v>107</v>
      </c>
      <c r="D74" s="24">
        <f ca="1">'1.3_Input_Baseline_Allowances'!D74*RANDBETWEEN(85,115)/100</f>
        <v>10.1</v>
      </c>
      <c r="E74" s="24">
        <f ca="1">'1.3_Input_Baseline_Allowances'!E74*RANDBETWEEN(85,115)/100</f>
        <v>6.72</v>
      </c>
      <c r="F74" s="24">
        <f ca="1">'1.3_Input_Baseline_Allowances'!F74*RANDBETWEEN(85,115)/100</f>
        <v>7.28</v>
      </c>
      <c r="G74" s="24">
        <f ca="1">'1.3_Input_Baseline_Allowances'!G74*RANDBETWEEN(85,115)/100</f>
        <v>0</v>
      </c>
    </row>
    <row r="75" spans="1:7" s="111" customFormat="1">
      <c r="A75" s="112" t="s">
        <v>136</v>
      </c>
      <c r="B75" s="102" t="s">
        <v>157</v>
      </c>
      <c r="C75" s="102" t="s">
        <v>107</v>
      </c>
      <c r="D75" s="24">
        <f ca="1">'1.3_Input_Baseline_Allowances'!D75*RANDBETWEEN(85,115)/100</f>
        <v>41.36</v>
      </c>
      <c r="E75" s="24">
        <f ca="1">'1.3_Input_Baseline_Allowances'!E75*RANDBETWEEN(85,115)/100</f>
        <v>5.52</v>
      </c>
      <c r="F75" s="24">
        <f ca="1">'1.3_Input_Baseline_Allowances'!F75*RANDBETWEEN(85,115)/100</f>
        <v>2.1800000000000002</v>
      </c>
      <c r="G75" s="24">
        <f ca="1">'1.3_Input_Baseline_Allowances'!G75*RANDBETWEEN(85,115)/100</f>
        <v>0</v>
      </c>
    </row>
    <row r="76" spans="1:7" s="111" customFormat="1">
      <c r="A76" s="112" t="s">
        <v>137</v>
      </c>
      <c r="B76" s="102" t="s">
        <v>158</v>
      </c>
      <c r="C76" s="102" t="s">
        <v>107</v>
      </c>
      <c r="D76" s="24">
        <f ca="1">'1.3_Input_Baseline_Allowances'!D76*RANDBETWEEN(85,115)/100</f>
        <v>20.88</v>
      </c>
      <c r="E76" s="24">
        <f ca="1">'1.3_Input_Baseline_Allowances'!E76*RANDBETWEEN(85,115)/100</f>
        <v>7.74</v>
      </c>
      <c r="F76" s="24">
        <f ca="1">'1.3_Input_Baseline_Allowances'!F76*RANDBETWEEN(85,115)/100</f>
        <v>0</v>
      </c>
      <c r="G76" s="24">
        <f ca="1">'1.3_Input_Baseline_Allowances'!G76*RANDBETWEEN(85,115)/100</f>
        <v>0</v>
      </c>
    </row>
    <row r="77" spans="1:7" s="111" customFormat="1">
      <c r="A77" s="112" t="s">
        <v>138</v>
      </c>
      <c r="B77" s="102" t="s">
        <v>159</v>
      </c>
      <c r="C77" s="102" t="s">
        <v>107</v>
      </c>
      <c r="D77" s="24">
        <f ca="1">'1.3_Input_Baseline_Allowances'!D77*RANDBETWEEN(85,115)/100</f>
        <v>28.08</v>
      </c>
      <c r="E77" s="24">
        <f ca="1">'1.3_Input_Baseline_Allowances'!E77*RANDBETWEEN(85,115)/100</f>
        <v>8.32</v>
      </c>
      <c r="F77" s="24">
        <f ca="1">'1.3_Input_Baseline_Allowances'!F77*RANDBETWEEN(85,115)/100</f>
        <v>6.3</v>
      </c>
      <c r="G77" s="24">
        <f ca="1">'1.3_Input_Baseline_Allowances'!G77*RANDBETWEEN(85,115)/100</f>
        <v>0</v>
      </c>
    </row>
    <row r="78" spans="1:7" s="111" customFormat="1">
      <c r="A78" s="112" t="s">
        <v>139</v>
      </c>
      <c r="B78" s="102" t="s">
        <v>160</v>
      </c>
      <c r="C78" s="102" t="s">
        <v>107</v>
      </c>
      <c r="D78" s="24">
        <f ca="1">'1.3_Input_Baseline_Allowances'!D78*RANDBETWEEN(85,115)/100</f>
        <v>29.9</v>
      </c>
      <c r="E78" s="24">
        <f ca="1">'1.3_Input_Baseline_Allowances'!E78*RANDBETWEEN(85,115)/100</f>
        <v>10.8</v>
      </c>
      <c r="F78" s="24">
        <f ca="1">'1.3_Input_Baseline_Allowances'!F78*RANDBETWEEN(85,115)/100</f>
        <v>1.03</v>
      </c>
      <c r="G78" s="24">
        <f ca="1">'1.3_Input_Baseline_Allowances'!G78*RANDBETWEEN(85,115)/100</f>
        <v>0</v>
      </c>
    </row>
    <row r="79" spans="1:7" s="111" customFormat="1">
      <c r="A79" s="102"/>
      <c r="B79" s="102" t="s">
        <v>161</v>
      </c>
      <c r="C79" s="102" t="s">
        <v>107</v>
      </c>
      <c r="D79" s="24">
        <f ca="1">'1.3_Input_Baseline_Allowances'!D79*RANDBETWEEN(85,115)/100</f>
        <v>0</v>
      </c>
      <c r="E79" s="24">
        <f ca="1">'1.3_Input_Baseline_Allowances'!E79*RANDBETWEEN(85,115)/100</f>
        <v>0</v>
      </c>
      <c r="F79" s="24">
        <f ca="1">'1.3_Input_Baseline_Allowances'!F79*RANDBETWEEN(85,115)/100</f>
        <v>0</v>
      </c>
      <c r="G79" s="24">
        <f ca="1">'1.3_Input_Baseline_Allowances'!G79*RANDBETWEEN(85,115)/100</f>
        <v>0</v>
      </c>
    </row>
    <row r="80" spans="1:7" s="111" customFormat="1">
      <c r="A80" s="102"/>
      <c r="B80" s="102" t="s">
        <v>162</v>
      </c>
      <c r="C80" s="102" t="s">
        <v>107</v>
      </c>
      <c r="D80" s="24">
        <f ca="1">'1.3_Input_Baseline_Allowances'!D80*RANDBETWEEN(85,115)/100</f>
        <v>0</v>
      </c>
      <c r="E80" s="24">
        <f ca="1">'1.3_Input_Baseline_Allowances'!E80*RANDBETWEEN(85,115)/100</f>
        <v>0</v>
      </c>
      <c r="F80" s="24">
        <f ca="1">'1.3_Input_Baseline_Allowances'!F80*RANDBETWEEN(85,115)/100</f>
        <v>0</v>
      </c>
      <c r="G80" s="24">
        <f ca="1">'1.3_Input_Baseline_Allowances'!G80*RANDBETWEEN(85,115)/100</f>
        <v>0</v>
      </c>
    </row>
    <row r="81" spans="1:7" s="111" customFormat="1">
      <c r="A81" s="102"/>
      <c r="B81" s="102" t="s">
        <v>163</v>
      </c>
      <c r="C81" s="102" t="s">
        <v>107</v>
      </c>
      <c r="D81" s="24">
        <f ca="1">'1.3_Input_Baseline_Allowances'!D81*RANDBETWEEN(85,115)/100</f>
        <v>0</v>
      </c>
      <c r="E81" s="24">
        <f ca="1">'1.3_Input_Baseline_Allowances'!E81*RANDBETWEEN(85,115)/100</f>
        <v>0</v>
      </c>
      <c r="F81" s="24">
        <f ca="1">'1.3_Input_Baseline_Allowances'!F81*RANDBETWEEN(85,115)/100</f>
        <v>0</v>
      </c>
      <c r="G81" s="24">
        <f ca="1">'1.3_Input_Baseline_Allowances'!G81*RANDBETWEEN(85,115)/100</f>
        <v>0</v>
      </c>
    </row>
    <row r="82" spans="1:7" s="111" customFormat="1">
      <c r="A82" s="102"/>
      <c r="B82" s="102" t="s">
        <v>164</v>
      </c>
      <c r="C82" s="102" t="s">
        <v>107</v>
      </c>
      <c r="D82" s="24">
        <f ca="1">'1.3_Input_Baseline_Allowances'!D82*RANDBETWEEN(85,115)/100</f>
        <v>0</v>
      </c>
      <c r="E82" s="24">
        <f ca="1">'1.3_Input_Baseline_Allowances'!E82*RANDBETWEEN(85,115)/100</f>
        <v>0</v>
      </c>
      <c r="F82" s="24">
        <f ca="1">'1.3_Input_Baseline_Allowances'!F82*RANDBETWEEN(85,115)/100</f>
        <v>0</v>
      </c>
      <c r="G82" s="24">
        <f ca="1">'1.3_Input_Baseline_Allowances'!G82*RANDBETWEEN(85,115)/100</f>
        <v>0</v>
      </c>
    </row>
    <row r="83" spans="1:7" s="111" customFormat="1">
      <c r="A83" s="102"/>
      <c r="B83" s="102" t="s">
        <v>165</v>
      </c>
      <c r="C83" s="102" t="s">
        <v>107</v>
      </c>
      <c r="D83" s="24">
        <f ca="1">'1.3_Input_Baseline_Allowances'!D83*RANDBETWEEN(85,115)/100</f>
        <v>0</v>
      </c>
      <c r="E83" s="24">
        <f ca="1">'1.3_Input_Baseline_Allowances'!E83*RANDBETWEEN(85,115)/100</f>
        <v>0</v>
      </c>
      <c r="F83" s="24">
        <f ca="1">'1.3_Input_Baseline_Allowances'!F83*RANDBETWEEN(85,115)/100</f>
        <v>0</v>
      </c>
      <c r="G83" s="24">
        <f ca="1">'1.3_Input_Baseline_Allowances'!G83*RANDBETWEEN(85,115)/100</f>
        <v>0</v>
      </c>
    </row>
    <row r="84" spans="1:7" s="111" customFormat="1">
      <c r="A84" s="102"/>
      <c r="B84" s="102" t="s">
        <v>166</v>
      </c>
      <c r="C84" s="102" t="s">
        <v>107</v>
      </c>
      <c r="D84" s="24">
        <f ca="1">'1.3_Input_Baseline_Allowances'!D84*RANDBETWEEN(85,115)/100</f>
        <v>0</v>
      </c>
      <c r="E84" s="24">
        <f ca="1">'1.3_Input_Baseline_Allowances'!E84*RANDBETWEEN(85,115)/100</f>
        <v>0</v>
      </c>
      <c r="F84" s="24">
        <f ca="1">'1.3_Input_Baseline_Allowances'!F84*RANDBETWEEN(85,115)/100</f>
        <v>0</v>
      </c>
      <c r="G84" s="24">
        <f ca="1">'1.3_Input_Baseline_Allowances'!G84*RANDBETWEEN(85,115)/100</f>
        <v>0</v>
      </c>
    </row>
    <row r="85" spans="1:7" s="111" customFormat="1">
      <c r="A85" s="102"/>
      <c r="B85" s="102" t="s">
        <v>167</v>
      </c>
      <c r="C85" s="102" t="s">
        <v>107</v>
      </c>
      <c r="D85" s="24">
        <f ca="1">'1.3_Input_Baseline_Allowances'!D85*RANDBETWEEN(85,115)/100</f>
        <v>0</v>
      </c>
      <c r="E85" s="24">
        <f ca="1">'1.3_Input_Baseline_Allowances'!E85*RANDBETWEEN(85,115)/100</f>
        <v>0</v>
      </c>
      <c r="F85" s="24">
        <f ca="1">'1.3_Input_Baseline_Allowances'!F85*RANDBETWEEN(85,115)/100</f>
        <v>0</v>
      </c>
      <c r="G85" s="24">
        <f ca="1">'1.3_Input_Baseline_Allowances'!G85*RANDBETWEEN(85,115)/100</f>
        <v>0</v>
      </c>
    </row>
    <row r="86" spans="1:7" s="111" customFormat="1">
      <c r="A86" s="102"/>
      <c r="B86" s="102" t="s">
        <v>168</v>
      </c>
      <c r="C86" s="102" t="s">
        <v>107</v>
      </c>
      <c r="D86" s="24">
        <f ca="1">'1.3_Input_Baseline_Allowances'!D86*RANDBETWEEN(85,115)/100</f>
        <v>0</v>
      </c>
      <c r="E86" s="24">
        <f ca="1">'1.3_Input_Baseline_Allowances'!E86*RANDBETWEEN(85,115)/100</f>
        <v>0</v>
      </c>
      <c r="F86" s="24">
        <f ca="1">'1.3_Input_Baseline_Allowances'!F86*RANDBETWEEN(85,115)/100</f>
        <v>0</v>
      </c>
      <c r="G86" s="24">
        <f ca="1">'1.3_Input_Baseline_Allowances'!G86*RANDBETWEEN(85,115)/100</f>
        <v>0</v>
      </c>
    </row>
    <row r="87" spans="1:7" s="111" customFormat="1">
      <c r="A87" s="102"/>
      <c r="B87" s="102" t="s">
        <v>169</v>
      </c>
      <c r="C87" s="102" t="s">
        <v>107</v>
      </c>
      <c r="D87" s="24">
        <f ca="1">'1.3_Input_Baseline_Allowances'!D87*RANDBETWEEN(85,115)/100</f>
        <v>0</v>
      </c>
      <c r="E87" s="24">
        <f ca="1">'1.3_Input_Baseline_Allowances'!E87*RANDBETWEEN(85,115)/100</f>
        <v>0</v>
      </c>
      <c r="F87" s="24">
        <f ca="1">'1.3_Input_Baseline_Allowances'!F87*RANDBETWEEN(85,115)/100</f>
        <v>0</v>
      </c>
      <c r="G87" s="24">
        <f ca="1">'1.3_Input_Baseline_Allowances'!G87*RANDBETWEEN(85,115)/100</f>
        <v>0</v>
      </c>
    </row>
    <row r="88" spans="1:7" s="111" customFormat="1">
      <c r="A88" s="102"/>
      <c r="B88" s="102" t="s">
        <v>170</v>
      </c>
      <c r="C88" s="102" t="s">
        <v>107</v>
      </c>
      <c r="D88" s="24">
        <f ca="1">'1.3_Input_Baseline_Allowances'!D88*RANDBETWEEN(85,115)/100</f>
        <v>0</v>
      </c>
      <c r="E88" s="24">
        <f ca="1">'1.3_Input_Baseline_Allowances'!E88*RANDBETWEEN(85,115)/100</f>
        <v>0</v>
      </c>
      <c r="F88" s="24">
        <f ca="1">'1.3_Input_Baseline_Allowances'!F88*RANDBETWEEN(85,115)/100</f>
        <v>0</v>
      </c>
      <c r="G88" s="24">
        <f ca="1">'1.3_Input_Baseline_Allowances'!G88*RANDBETWEEN(85,115)/100</f>
        <v>0</v>
      </c>
    </row>
    <row r="89" spans="1:7" s="111" customFormat="1">
      <c r="A89" s="102"/>
      <c r="B89" s="102" t="s">
        <v>171</v>
      </c>
      <c r="C89" s="102" t="s">
        <v>107</v>
      </c>
      <c r="D89" s="24">
        <f ca="1">'1.3_Input_Baseline_Allowances'!D89*RANDBETWEEN(85,115)/100</f>
        <v>0</v>
      </c>
      <c r="E89" s="24">
        <f ca="1">'1.3_Input_Baseline_Allowances'!E89*RANDBETWEEN(85,115)/100</f>
        <v>0</v>
      </c>
      <c r="F89" s="24">
        <f ca="1">'1.3_Input_Baseline_Allowances'!F89*RANDBETWEEN(85,115)/100</f>
        <v>0</v>
      </c>
      <c r="G89" s="24">
        <f ca="1">'1.3_Input_Baseline_Allowances'!G89*RANDBETWEEN(85,115)/100</f>
        <v>0</v>
      </c>
    </row>
    <row r="90" spans="1:7" s="111" customFormat="1">
      <c r="A90" s="102"/>
      <c r="B90" s="102" t="s">
        <v>172</v>
      </c>
      <c r="C90" s="102" t="s">
        <v>107</v>
      </c>
      <c r="D90" s="24">
        <f ca="1">'1.3_Input_Baseline_Allowances'!D90*RANDBETWEEN(85,115)/100</f>
        <v>0</v>
      </c>
      <c r="E90" s="24">
        <f ca="1">'1.3_Input_Baseline_Allowances'!E90*RANDBETWEEN(85,115)/100</f>
        <v>0</v>
      </c>
      <c r="F90" s="24">
        <f ca="1">'1.3_Input_Baseline_Allowances'!F90*RANDBETWEEN(85,115)/100</f>
        <v>0</v>
      </c>
      <c r="G90" s="24">
        <f ca="1">'1.3_Input_Baseline_Allowances'!G90*RANDBETWEEN(85,115)/100</f>
        <v>0</v>
      </c>
    </row>
    <row r="91" spans="1:7" s="111" customFormat="1">
      <c r="A91" s="102"/>
      <c r="B91" s="102" t="s">
        <v>173</v>
      </c>
      <c r="C91" s="102" t="s">
        <v>107</v>
      </c>
      <c r="D91" s="24">
        <f ca="1">'1.3_Input_Baseline_Allowances'!D91*RANDBETWEEN(85,115)/100</f>
        <v>0</v>
      </c>
      <c r="E91" s="24">
        <f ca="1">'1.3_Input_Baseline_Allowances'!E91*RANDBETWEEN(85,115)/100</f>
        <v>0</v>
      </c>
      <c r="F91" s="24">
        <f ca="1">'1.3_Input_Baseline_Allowances'!F91*RANDBETWEEN(85,115)/100</f>
        <v>0</v>
      </c>
      <c r="G91" s="24">
        <f ca="1">'1.3_Input_Baseline_Allowances'!G91*RANDBETWEEN(85,115)/100</f>
        <v>0</v>
      </c>
    </row>
    <row r="92" spans="1:7" s="111" customFormat="1">
      <c r="A92" s="102"/>
      <c r="B92" s="102" t="s">
        <v>174</v>
      </c>
      <c r="C92" s="102" t="s">
        <v>107</v>
      </c>
      <c r="D92" s="24">
        <f ca="1">'1.3_Input_Baseline_Allowances'!D92*RANDBETWEEN(85,115)/100</f>
        <v>0</v>
      </c>
      <c r="E92" s="24">
        <f ca="1">'1.3_Input_Baseline_Allowances'!E92*RANDBETWEEN(85,115)/100</f>
        <v>0</v>
      </c>
      <c r="F92" s="24">
        <f ca="1">'1.3_Input_Baseline_Allowances'!F92*RANDBETWEEN(85,115)/100</f>
        <v>0</v>
      </c>
      <c r="G92" s="24">
        <f ca="1">'1.3_Input_Baseline_Allowances'!G92*RANDBETWEEN(85,115)/100</f>
        <v>0</v>
      </c>
    </row>
    <row r="93" spans="1:7" s="111" customFormat="1">
      <c r="A93" s="102"/>
      <c r="B93" s="102" t="s">
        <v>175</v>
      </c>
      <c r="C93" s="102" t="s">
        <v>107</v>
      </c>
      <c r="D93" s="24">
        <f ca="1">'1.3_Input_Baseline_Allowances'!D93*RANDBETWEEN(85,115)/100</f>
        <v>0</v>
      </c>
      <c r="E93" s="24">
        <f ca="1">'1.3_Input_Baseline_Allowances'!E93*RANDBETWEEN(85,115)/100</f>
        <v>0</v>
      </c>
      <c r="F93" s="24">
        <f ca="1">'1.3_Input_Baseline_Allowances'!F93*RANDBETWEEN(85,115)/100</f>
        <v>0</v>
      </c>
      <c r="G93" s="24">
        <f ca="1">'1.3_Input_Baseline_Allowances'!G93*RANDBETWEEN(85,115)/100</f>
        <v>0</v>
      </c>
    </row>
    <row r="94" spans="1:7" s="111" customFormat="1">
      <c r="A94" s="102"/>
      <c r="B94" s="102" t="s">
        <v>176</v>
      </c>
      <c r="C94" s="102" t="s">
        <v>107</v>
      </c>
      <c r="D94" s="24">
        <f ca="1">'1.3_Input_Baseline_Allowances'!D94*RANDBETWEEN(85,115)/100</f>
        <v>0</v>
      </c>
      <c r="E94" s="24">
        <f ca="1">'1.3_Input_Baseline_Allowances'!E94*RANDBETWEEN(85,115)/100</f>
        <v>0</v>
      </c>
      <c r="F94" s="24">
        <f ca="1">'1.3_Input_Baseline_Allowances'!F94*RANDBETWEEN(85,115)/100</f>
        <v>0</v>
      </c>
      <c r="G94" s="24">
        <f ca="1">'1.3_Input_Baseline_Allowances'!G94*RANDBETWEEN(85,115)/100</f>
        <v>0</v>
      </c>
    </row>
    <row r="95" spans="1:7" s="111" customFormat="1">
      <c r="A95" s="102"/>
      <c r="B95" s="102" t="s">
        <v>177</v>
      </c>
      <c r="C95" s="102" t="s">
        <v>107</v>
      </c>
      <c r="D95" s="24">
        <f ca="1">'1.3_Input_Baseline_Allowances'!D95*RANDBETWEEN(85,115)/100</f>
        <v>0</v>
      </c>
      <c r="E95" s="24">
        <f ca="1">'1.3_Input_Baseline_Allowances'!E95*RANDBETWEEN(85,115)/100</f>
        <v>0</v>
      </c>
      <c r="F95" s="24">
        <f ca="1">'1.3_Input_Baseline_Allowances'!F95*RANDBETWEEN(85,115)/100</f>
        <v>0</v>
      </c>
      <c r="G95" s="24">
        <f ca="1">'1.3_Input_Baseline_Allowances'!G95*RANDBETWEEN(85,115)/100</f>
        <v>0</v>
      </c>
    </row>
    <row r="96" spans="1:7" s="111" customFormat="1">
      <c r="A96" s="102"/>
      <c r="B96" s="102" t="s">
        <v>178</v>
      </c>
      <c r="C96" s="102" t="s">
        <v>107</v>
      </c>
      <c r="D96" s="24">
        <f ca="1">'1.3_Input_Baseline_Allowances'!D96*RANDBETWEEN(85,115)/100</f>
        <v>0</v>
      </c>
      <c r="E96" s="24">
        <f ca="1">'1.3_Input_Baseline_Allowances'!E96*RANDBETWEEN(85,115)/100</f>
        <v>0</v>
      </c>
      <c r="F96" s="24">
        <f ca="1">'1.3_Input_Baseline_Allowances'!F96*RANDBETWEEN(85,115)/100</f>
        <v>0</v>
      </c>
      <c r="G96" s="24">
        <f ca="1">'1.3_Input_Baseline_Allowances'!G96*RANDBETWEEN(85,115)/100</f>
        <v>0</v>
      </c>
    </row>
    <row r="97" spans="1:7" s="111" customFormat="1">
      <c r="A97" s="102"/>
      <c r="B97" s="102" t="s">
        <v>179</v>
      </c>
      <c r="C97" s="102" t="s">
        <v>107</v>
      </c>
      <c r="D97" s="24">
        <f ca="1">'1.3_Input_Baseline_Allowances'!D97*RANDBETWEEN(85,115)/100</f>
        <v>0</v>
      </c>
      <c r="E97" s="24">
        <f ca="1">'1.3_Input_Baseline_Allowances'!E97*RANDBETWEEN(85,115)/100</f>
        <v>0</v>
      </c>
      <c r="F97" s="24">
        <f ca="1">'1.3_Input_Baseline_Allowances'!F97*RANDBETWEEN(85,115)/100</f>
        <v>0</v>
      </c>
      <c r="G97" s="24">
        <f ca="1">'1.3_Input_Baseline_Allowances'!G97*RANDBETWEEN(85,115)/100</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tint="0.39997558519241921"/>
  </sheetPr>
  <dimension ref="A1:K83"/>
  <sheetViews>
    <sheetView showGridLines="0" workbookViewId="0"/>
  </sheetViews>
  <sheetFormatPr defaultRowHeight="12.75"/>
  <cols>
    <col min="1" max="1" width="42.5" customWidth="1"/>
    <col min="2" max="2" width="34.75" customWidth="1"/>
    <col min="3" max="11" width="13" customWidth="1"/>
  </cols>
  <sheetData>
    <row r="1" spans="1:11" s="4" customFormat="1" ht="24.75">
      <c r="A1" s="1" t="s">
        <v>283</v>
      </c>
      <c r="B1" s="2"/>
      <c r="C1" s="2"/>
      <c r="D1" s="2"/>
      <c r="E1" s="3"/>
      <c r="F1" s="2"/>
      <c r="G1" s="2"/>
    </row>
    <row r="2" spans="1:11" s="7" customFormat="1" ht="15">
      <c r="A2" s="5" t="str">
        <f ca="1">IFERROR("Sheet: " &amp;VLOOKUP(RIGHT(CELL("filename",A1),LEN(CELL("filename",A1))-FIND("]",CELL("filename",A1))),Contents!$A$10:$B$29,2,FALSE),"Sheet name does not match Contents sheet")</f>
        <v>Sheet: Input data sheet: non-intervention adjustment</v>
      </c>
      <c r="B2" s="6"/>
      <c r="C2" s="6"/>
      <c r="D2" s="6"/>
      <c r="E2" s="5"/>
      <c r="F2" s="6"/>
      <c r="G2" s="6"/>
    </row>
    <row r="3" spans="1:11" s="7" customFormat="1" ht="15">
      <c r="A3" s="5"/>
      <c r="B3" s="6"/>
      <c r="C3" s="6"/>
      <c r="D3" s="6"/>
      <c r="E3" s="6"/>
      <c r="F3" s="6"/>
      <c r="G3" s="6"/>
    </row>
    <row r="4" spans="1:11" s="7" customFormat="1" ht="15">
      <c r="A4" s="5"/>
      <c r="B4" s="6"/>
      <c r="C4" s="6"/>
      <c r="D4" s="6"/>
      <c r="E4" s="6"/>
      <c r="F4" s="6"/>
      <c r="G4" s="6"/>
    </row>
    <row r="5" spans="1:11" s="7" customFormat="1" ht="15">
      <c r="A5" s="5"/>
      <c r="B5" s="6"/>
      <c r="C5" s="6"/>
      <c r="D5" s="6"/>
      <c r="E5" s="6"/>
      <c r="F5" s="6"/>
      <c r="G5" s="6"/>
    </row>
    <row r="6" spans="1:11" s="7" customFormat="1" ht="15">
      <c r="A6" s="5"/>
      <c r="B6" s="6"/>
      <c r="C6" s="6"/>
      <c r="D6" s="6"/>
      <c r="E6" s="6"/>
      <c r="F6" s="6"/>
      <c r="G6" s="6"/>
    </row>
    <row r="7" spans="1:11" s="9" customFormat="1"/>
    <row r="8" spans="1:11" s="9" customFormat="1" ht="19.5">
      <c r="A8" s="8" t="str">
        <f ca="1">IFERROR(VLOOKUP(RIGHT(CELL("filename",A1),LEN(CELL("filename",A1))-FIND("]",CELL("filename",A1))),Contents!$A$10:$B$29,2,FALSE), "Sheet name does not match Contents sheet")</f>
        <v>Input data sheet: non-intervention adjustment</v>
      </c>
    </row>
    <row r="10" spans="1:11" s="12" customFormat="1">
      <c r="A10" s="20" t="s">
        <v>119</v>
      </c>
      <c r="B10" s="21"/>
      <c r="C10" s="21"/>
      <c r="D10" s="21"/>
      <c r="E10" s="21"/>
      <c r="F10" s="21"/>
      <c r="G10" s="21"/>
    </row>
    <row r="11" spans="1:11" s="9" customFormat="1"/>
    <row r="12" spans="1:11" s="9" customFormat="1">
      <c r="D12" s="22" t="s">
        <v>17</v>
      </c>
      <c r="E12" s="22"/>
      <c r="F12" s="22"/>
      <c r="G12" s="22"/>
    </row>
    <row r="13" spans="1:11" s="9" customFormat="1">
      <c r="A13" s="13" t="s">
        <v>38</v>
      </c>
      <c r="B13" s="13" t="s">
        <v>3</v>
      </c>
      <c r="C13" s="13" t="s">
        <v>2</v>
      </c>
      <c r="D13" s="23" t="s">
        <v>19</v>
      </c>
      <c r="E13" s="23" t="s">
        <v>20</v>
      </c>
      <c r="F13" s="23" t="s">
        <v>21</v>
      </c>
      <c r="G13" s="23" t="s">
        <v>22</v>
      </c>
    </row>
    <row r="14" spans="1:11" s="9" customFormat="1">
      <c r="A14" s="15" t="s">
        <v>38</v>
      </c>
      <c r="B14" s="15" t="s">
        <v>39</v>
      </c>
      <c r="C14" s="15" t="s">
        <v>83</v>
      </c>
      <c r="D14" s="29">
        <f ca="1">SUM(D20:D83)</f>
        <v>-4.5</v>
      </c>
      <c r="E14" s="29">
        <f t="shared" ref="E14:G14" ca="1" si="0">SUM(E20:E83)</f>
        <v>-10.3</v>
      </c>
      <c r="F14" s="29">
        <f t="shared" ca="1" si="0"/>
        <v>10.4</v>
      </c>
      <c r="G14" s="29">
        <f t="shared" ca="1" si="0"/>
        <v>4.3000000000000007</v>
      </c>
    </row>
    <row r="15" spans="1:11" s="9" customFormat="1">
      <c r="A15" s="35"/>
    </row>
    <row r="16" spans="1:11">
      <c r="H16" s="9"/>
      <c r="I16" s="9"/>
      <c r="J16" s="9"/>
      <c r="K16" s="9"/>
    </row>
    <row r="17" spans="1:11" s="12" customFormat="1">
      <c r="A17" s="20" t="s">
        <v>181</v>
      </c>
      <c r="B17" s="21"/>
      <c r="C17" s="21"/>
      <c r="D17" s="21"/>
      <c r="E17" s="21"/>
      <c r="F17" s="21"/>
      <c r="G17" s="21"/>
    </row>
    <row r="18" spans="1:11">
      <c r="H18" s="9"/>
      <c r="I18" s="9"/>
      <c r="J18" s="9"/>
      <c r="K18" s="9"/>
    </row>
    <row r="19" spans="1:11">
      <c r="A19" s="13" t="s">
        <v>121</v>
      </c>
      <c r="B19" s="13" t="s">
        <v>182</v>
      </c>
      <c r="C19" s="13" t="s">
        <v>2</v>
      </c>
      <c r="D19" s="23" t="s">
        <v>19</v>
      </c>
      <c r="E19" s="23" t="s">
        <v>20</v>
      </c>
      <c r="F19" s="23" t="s">
        <v>21</v>
      </c>
      <c r="G19" s="23" t="s">
        <v>22</v>
      </c>
      <c r="H19" s="9"/>
      <c r="I19" s="9"/>
      <c r="J19" s="9"/>
      <c r="K19" s="9"/>
    </row>
    <row r="20" spans="1:11">
      <c r="A20" s="36" t="s">
        <v>128</v>
      </c>
      <c r="B20" s="37" t="s">
        <v>183</v>
      </c>
      <c r="C20" s="15" t="s">
        <v>107</v>
      </c>
      <c r="D20" s="38">
        <f ca="1">RANDBETWEEN(-50,50)/10</f>
        <v>-2.5</v>
      </c>
      <c r="E20" s="38">
        <f t="shared" ref="E20:G27" ca="1" si="1">RANDBETWEEN(-50,50)/10</f>
        <v>-1.2</v>
      </c>
      <c r="F20" s="38">
        <f t="shared" ca="1" si="1"/>
        <v>-1</v>
      </c>
      <c r="G20" s="38">
        <f t="shared" ca="1" si="1"/>
        <v>4</v>
      </c>
      <c r="H20" s="9"/>
      <c r="I20" s="9"/>
      <c r="J20" s="9"/>
      <c r="K20" s="9"/>
    </row>
    <row r="21" spans="1:11">
      <c r="A21" s="36" t="s">
        <v>129</v>
      </c>
      <c r="B21" s="37" t="s">
        <v>183</v>
      </c>
      <c r="C21" s="15" t="s">
        <v>107</v>
      </c>
      <c r="D21" s="38">
        <f t="shared" ref="D21:D27" ca="1" si="2">RANDBETWEEN(-50,50)/10</f>
        <v>2.6</v>
      </c>
      <c r="E21" s="38">
        <f t="shared" ca="1" si="1"/>
        <v>1.4</v>
      </c>
      <c r="F21" s="38">
        <f t="shared" ca="1" si="1"/>
        <v>5</v>
      </c>
      <c r="G21" s="38">
        <f t="shared" ca="1" si="1"/>
        <v>2.4</v>
      </c>
      <c r="H21" s="9"/>
      <c r="I21" s="9"/>
      <c r="J21" s="9"/>
      <c r="K21" s="9"/>
    </row>
    <row r="22" spans="1:11">
      <c r="A22" s="36" t="s">
        <v>130</v>
      </c>
      <c r="B22" s="37" t="s">
        <v>183</v>
      </c>
      <c r="C22" s="15" t="s">
        <v>107</v>
      </c>
      <c r="D22" s="38">
        <f t="shared" ca="1" si="2"/>
        <v>2.9</v>
      </c>
      <c r="E22" s="38">
        <f t="shared" ca="1" si="1"/>
        <v>-4.7</v>
      </c>
      <c r="F22" s="38">
        <f t="shared" ca="1" si="1"/>
        <v>1.3</v>
      </c>
      <c r="G22" s="38">
        <f t="shared" ca="1" si="1"/>
        <v>3.2</v>
      </c>
      <c r="H22" s="9"/>
      <c r="I22" s="9"/>
      <c r="J22" s="9"/>
      <c r="K22" s="9"/>
    </row>
    <row r="23" spans="1:11">
      <c r="A23" s="36" t="s">
        <v>131</v>
      </c>
      <c r="B23" s="37" t="s">
        <v>183</v>
      </c>
      <c r="C23" s="15" t="s">
        <v>107</v>
      </c>
      <c r="D23" s="38">
        <f t="shared" ca="1" si="2"/>
        <v>-2.2999999999999998</v>
      </c>
      <c r="E23" s="38">
        <f t="shared" ca="1" si="1"/>
        <v>2.9</v>
      </c>
      <c r="F23" s="38">
        <f t="shared" ca="1" si="1"/>
        <v>-2.2000000000000002</v>
      </c>
      <c r="G23" s="38">
        <f t="shared" ca="1" si="1"/>
        <v>0.5</v>
      </c>
      <c r="H23" s="9"/>
      <c r="I23" s="9"/>
      <c r="J23" s="9"/>
      <c r="K23" s="9"/>
    </row>
    <row r="24" spans="1:11">
      <c r="A24" s="36" t="s">
        <v>130</v>
      </c>
      <c r="B24" s="37" t="s">
        <v>184</v>
      </c>
      <c r="C24" s="15" t="s">
        <v>107</v>
      </c>
      <c r="D24" s="38">
        <f t="shared" ca="1" si="2"/>
        <v>-3.2</v>
      </c>
      <c r="E24" s="38">
        <f t="shared" ca="1" si="1"/>
        <v>-1.9</v>
      </c>
      <c r="F24" s="38">
        <f t="shared" ca="1" si="1"/>
        <v>4.8</v>
      </c>
      <c r="G24" s="38">
        <f t="shared" ca="1" si="1"/>
        <v>-4.4000000000000004</v>
      </c>
      <c r="H24" s="9"/>
      <c r="I24" s="9"/>
      <c r="J24" s="9"/>
      <c r="K24" s="9"/>
    </row>
    <row r="25" spans="1:11">
      <c r="A25" s="36" t="s">
        <v>131</v>
      </c>
      <c r="B25" s="37" t="s">
        <v>184</v>
      </c>
      <c r="C25" s="15" t="s">
        <v>107</v>
      </c>
      <c r="D25" s="38">
        <f t="shared" ca="1" si="2"/>
        <v>-3</v>
      </c>
      <c r="E25" s="38">
        <f t="shared" ca="1" si="1"/>
        <v>-3.9</v>
      </c>
      <c r="F25" s="38">
        <f t="shared" ca="1" si="1"/>
        <v>0.3</v>
      </c>
      <c r="G25" s="38">
        <f t="shared" ca="1" si="1"/>
        <v>-1.2</v>
      </c>
      <c r="H25" s="9"/>
      <c r="I25" s="9"/>
      <c r="J25" s="9"/>
      <c r="K25" s="9"/>
    </row>
    <row r="26" spans="1:11">
      <c r="A26" s="36" t="s">
        <v>132</v>
      </c>
      <c r="B26" s="37" t="s">
        <v>184</v>
      </c>
      <c r="C26" s="15" t="s">
        <v>107</v>
      </c>
      <c r="D26" s="38">
        <f t="shared" ca="1" si="2"/>
        <v>4.3</v>
      </c>
      <c r="E26" s="38">
        <f t="shared" ca="1" si="1"/>
        <v>-1.3</v>
      </c>
      <c r="F26" s="38">
        <f t="shared" ca="1" si="1"/>
        <v>0.4</v>
      </c>
      <c r="G26" s="38">
        <f t="shared" ca="1" si="1"/>
        <v>2.8</v>
      </c>
      <c r="H26" s="9"/>
      <c r="I26" s="9"/>
      <c r="J26" s="9"/>
      <c r="K26" s="9"/>
    </row>
    <row r="27" spans="1:11">
      <c r="A27" s="36" t="s">
        <v>133</v>
      </c>
      <c r="B27" s="37" t="s">
        <v>184</v>
      </c>
      <c r="C27" s="15" t="s">
        <v>107</v>
      </c>
      <c r="D27" s="38">
        <f t="shared" ca="1" si="2"/>
        <v>-3.3</v>
      </c>
      <c r="E27" s="38">
        <f t="shared" ca="1" si="1"/>
        <v>-1.6</v>
      </c>
      <c r="F27" s="38">
        <f t="shared" ca="1" si="1"/>
        <v>1.8</v>
      </c>
      <c r="G27" s="38">
        <f t="shared" ca="1" si="1"/>
        <v>-3</v>
      </c>
      <c r="H27" s="9"/>
      <c r="I27" s="9"/>
      <c r="J27" s="9"/>
      <c r="K27" s="9"/>
    </row>
    <row r="28" spans="1:11">
      <c r="A28" s="36"/>
      <c r="B28" s="37"/>
      <c r="C28" s="15" t="s">
        <v>107</v>
      </c>
      <c r="D28" s="38"/>
      <c r="E28" s="38"/>
      <c r="F28" s="38"/>
      <c r="G28" s="38"/>
      <c r="H28" s="9"/>
      <c r="I28" s="9"/>
      <c r="J28" s="9"/>
      <c r="K28" s="9"/>
    </row>
    <row r="29" spans="1:11">
      <c r="A29" s="36"/>
      <c r="B29" s="37"/>
      <c r="C29" s="15" t="s">
        <v>107</v>
      </c>
      <c r="D29" s="38"/>
      <c r="E29" s="38"/>
      <c r="F29" s="38"/>
      <c r="G29" s="38"/>
      <c r="H29" s="9"/>
      <c r="I29" s="9"/>
      <c r="J29" s="9"/>
      <c r="K29" s="9"/>
    </row>
    <row r="30" spans="1:11">
      <c r="A30" s="36"/>
      <c r="B30" s="37"/>
      <c r="C30" s="15" t="s">
        <v>107</v>
      </c>
      <c r="D30" s="38"/>
      <c r="E30" s="38"/>
      <c r="F30" s="38"/>
      <c r="G30" s="38"/>
      <c r="H30" s="9"/>
      <c r="I30" s="9"/>
      <c r="J30" s="9"/>
      <c r="K30" s="9"/>
    </row>
    <row r="31" spans="1:11">
      <c r="A31" s="36"/>
      <c r="B31" s="37"/>
      <c r="C31" s="15" t="s">
        <v>107</v>
      </c>
      <c r="D31" s="38"/>
      <c r="E31" s="38"/>
      <c r="F31" s="38"/>
      <c r="G31" s="38"/>
      <c r="H31" s="9"/>
      <c r="I31" s="9"/>
      <c r="J31" s="9"/>
      <c r="K31" s="9"/>
    </row>
    <row r="32" spans="1:11">
      <c r="A32" s="36"/>
      <c r="B32" s="37"/>
      <c r="C32" s="15" t="s">
        <v>107</v>
      </c>
      <c r="D32" s="38"/>
      <c r="E32" s="38"/>
      <c r="F32" s="38"/>
      <c r="G32" s="38"/>
      <c r="H32" s="9"/>
      <c r="I32" s="9"/>
      <c r="J32" s="9"/>
      <c r="K32" s="9"/>
    </row>
    <row r="33" spans="1:11">
      <c r="A33" s="36"/>
      <c r="B33" s="37"/>
      <c r="C33" s="15" t="s">
        <v>107</v>
      </c>
      <c r="D33" s="38"/>
      <c r="E33" s="38"/>
      <c r="F33" s="38"/>
      <c r="G33" s="38"/>
      <c r="H33" s="9"/>
      <c r="I33" s="9"/>
      <c r="J33" s="9"/>
      <c r="K33" s="9"/>
    </row>
    <row r="34" spans="1:11">
      <c r="A34" s="36"/>
      <c r="B34" s="37"/>
      <c r="C34" s="15" t="s">
        <v>107</v>
      </c>
      <c r="D34" s="38"/>
      <c r="E34" s="38"/>
      <c r="F34" s="38"/>
      <c r="G34" s="38"/>
      <c r="H34" s="9"/>
      <c r="I34" s="9"/>
      <c r="J34" s="9"/>
      <c r="K34" s="9"/>
    </row>
    <row r="35" spans="1:11">
      <c r="A35" s="36"/>
      <c r="B35" s="37"/>
      <c r="C35" s="15" t="s">
        <v>107</v>
      </c>
      <c r="D35" s="38"/>
      <c r="E35" s="38"/>
      <c r="F35" s="38"/>
      <c r="G35" s="38"/>
      <c r="H35" s="9"/>
      <c r="I35" s="9"/>
      <c r="J35" s="9"/>
      <c r="K35" s="9"/>
    </row>
    <row r="36" spans="1:11">
      <c r="A36" s="36"/>
      <c r="B36" s="37"/>
      <c r="C36" s="15" t="s">
        <v>107</v>
      </c>
      <c r="D36" s="38"/>
      <c r="E36" s="38"/>
      <c r="F36" s="38"/>
      <c r="G36" s="38"/>
      <c r="H36" s="9"/>
      <c r="I36" s="9"/>
      <c r="J36" s="9"/>
      <c r="K36" s="9"/>
    </row>
    <row r="37" spans="1:11">
      <c r="A37" s="36"/>
      <c r="B37" s="37"/>
      <c r="C37" s="15" t="s">
        <v>107</v>
      </c>
      <c r="D37" s="38"/>
      <c r="E37" s="38"/>
      <c r="F37" s="38"/>
      <c r="G37" s="38"/>
      <c r="H37" s="9"/>
      <c r="I37" s="9"/>
      <c r="J37" s="9"/>
      <c r="K37" s="9"/>
    </row>
    <row r="38" spans="1:11">
      <c r="A38" s="37"/>
      <c r="B38" s="37"/>
      <c r="C38" s="15" t="s">
        <v>107</v>
      </c>
      <c r="D38" s="38"/>
      <c r="E38" s="38"/>
      <c r="F38" s="38"/>
      <c r="G38" s="38"/>
      <c r="H38" s="9"/>
      <c r="I38" s="9"/>
      <c r="J38" s="9"/>
      <c r="K38" s="9"/>
    </row>
    <row r="39" spans="1:11">
      <c r="A39" s="37"/>
      <c r="B39" s="37"/>
      <c r="C39" s="15" t="s">
        <v>107</v>
      </c>
      <c r="D39" s="38"/>
      <c r="E39" s="38"/>
      <c r="F39" s="38"/>
      <c r="G39" s="38"/>
      <c r="H39" s="9"/>
      <c r="I39" s="9"/>
      <c r="J39" s="9"/>
      <c r="K39" s="9"/>
    </row>
    <row r="40" spans="1:11">
      <c r="A40" s="37"/>
      <c r="B40" s="37"/>
      <c r="C40" s="15" t="s">
        <v>107</v>
      </c>
      <c r="D40" s="38"/>
      <c r="E40" s="38"/>
      <c r="F40" s="38"/>
      <c r="G40" s="38"/>
      <c r="H40" s="9"/>
      <c r="I40" s="9"/>
      <c r="J40" s="9"/>
      <c r="K40" s="9"/>
    </row>
    <row r="41" spans="1:11">
      <c r="A41" s="37"/>
      <c r="B41" s="37"/>
      <c r="C41" s="15" t="s">
        <v>107</v>
      </c>
      <c r="D41" s="38"/>
      <c r="E41" s="38"/>
      <c r="F41" s="38"/>
      <c r="G41" s="38"/>
      <c r="H41" s="9"/>
      <c r="I41" s="9"/>
      <c r="J41" s="9"/>
      <c r="K41" s="9"/>
    </row>
    <row r="42" spans="1:11">
      <c r="A42" s="37"/>
      <c r="B42" s="37"/>
      <c r="C42" s="15" t="s">
        <v>107</v>
      </c>
      <c r="D42" s="38"/>
      <c r="E42" s="38"/>
      <c r="F42" s="38"/>
      <c r="G42" s="38"/>
      <c r="H42" s="9"/>
      <c r="I42" s="9"/>
      <c r="J42" s="9"/>
      <c r="K42" s="9"/>
    </row>
    <row r="43" spans="1:11">
      <c r="A43" s="37"/>
      <c r="B43" s="37"/>
      <c r="C43" s="15" t="s">
        <v>107</v>
      </c>
      <c r="D43" s="38"/>
      <c r="E43" s="38"/>
      <c r="F43" s="38"/>
      <c r="G43" s="38"/>
      <c r="H43" s="9"/>
      <c r="I43" s="9"/>
      <c r="J43" s="9"/>
      <c r="K43" s="9"/>
    </row>
    <row r="44" spans="1:11">
      <c r="A44" s="37"/>
      <c r="B44" s="37"/>
      <c r="C44" s="15" t="s">
        <v>107</v>
      </c>
      <c r="D44" s="38"/>
      <c r="E44" s="38"/>
      <c r="F44" s="38"/>
      <c r="G44" s="38"/>
      <c r="H44" s="9"/>
      <c r="I44" s="9"/>
      <c r="J44" s="9"/>
      <c r="K44" s="9"/>
    </row>
    <row r="45" spans="1:11">
      <c r="A45" s="37"/>
      <c r="B45" s="37"/>
      <c r="C45" s="15" t="s">
        <v>107</v>
      </c>
      <c r="D45" s="38"/>
      <c r="E45" s="38"/>
      <c r="F45" s="38"/>
      <c r="G45" s="38"/>
      <c r="H45" s="9"/>
      <c r="I45" s="9"/>
      <c r="J45" s="9"/>
      <c r="K45" s="9"/>
    </row>
    <row r="46" spans="1:11">
      <c r="A46" s="37"/>
      <c r="B46" s="37"/>
      <c r="C46" s="15" t="s">
        <v>107</v>
      </c>
      <c r="D46" s="38"/>
      <c r="E46" s="38"/>
      <c r="F46" s="38"/>
      <c r="G46" s="38"/>
      <c r="H46" s="9"/>
      <c r="I46" s="9"/>
      <c r="J46" s="9"/>
      <c r="K46" s="9"/>
    </row>
    <row r="47" spans="1:11">
      <c r="A47" s="37"/>
      <c r="B47" s="37"/>
      <c r="C47" s="15" t="s">
        <v>107</v>
      </c>
      <c r="D47" s="38"/>
      <c r="E47" s="38"/>
      <c r="F47" s="38"/>
      <c r="G47" s="38"/>
      <c r="H47" s="9"/>
      <c r="I47" s="9"/>
      <c r="J47" s="9"/>
      <c r="K47" s="9"/>
    </row>
    <row r="48" spans="1:11">
      <c r="A48" s="37"/>
      <c r="B48" s="37"/>
      <c r="C48" s="15" t="s">
        <v>107</v>
      </c>
      <c r="D48" s="38"/>
      <c r="E48" s="38"/>
      <c r="F48" s="38"/>
      <c r="G48" s="38"/>
      <c r="H48" s="9"/>
      <c r="I48" s="9"/>
      <c r="J48" s="9"/>
      <c r="K48" s="9"/>
    </row>
    <row r="49" spans="1:7">
      <c r="A49" s="37"/>
      <c r="B49" s="37"/>
      <c r="C49" s="15" t="s">
        <v>107</v>
      </c>
      <c r="D49" s="38"/>
      <c r="E49" s="38"/>
      <c r="F49" s="38"/>
      <c r="G49" s="38"/>
    </row>
    <row r="50" spans="1:7">
      <c r="A50" s="37"/>
      <c r="B50" s="37"/>
      <c r="C50" s="15" t="s">
        <v>107</v>
      </c>
      <c r="D50" s="38"/>
      <c r="E50" s="38"/>
      <c r="F50" s="38"/>
      <c r="G50" s="38"/>
    </row>
    <row r="51" spans="1:7">
      <c r="A51" s="37"/>
      <c r="B51" s="37"/>
      <c r="C51" s="15" t="s">
        <v>107</v>
      </c>
      <c r="D51" s="38"/>
      <c r="E51" s="38"/>
      <c r="F51" s="38"/>
      <c r="G51" s="38"/>
    </row>
    <row r="52" spans="1:7">
      <c r="A52" s="37"/>
      <c r="B52" s="37"/>
      <c r="C52" s="15" t="s">
        <v>107</v>
      </c>
      <c r="D52" s="38"/>
      <c r="E52" s="38"/>
      <c r="F52" s="38"/>
      <c r="G52" s="38"/>
    </row>
    <row r="53" spans="1:7">
      <c r="A53" s="37"/>
      <c r="B53" s="37"/>
      <c r="C53" s="15" t="s">
        <v>107</v>
      </c>
      <c r="D53" s="38"/>
      <c r="E53" s="38"/>
      <c r="F53" s="38"/>
      <c r="G53" s="38"/>
    </row>
    <row r="54" spans="1:7">
      <c r="A54" s="37"/>
      <c r="B54" s="37"/>
      <c r="C54" s="15" t="s">
        <v>107</v>
      </c>
      <c r="D54" s="38"/>
      <c r="E54" s="38"/>
      <c r="F54" s="38"/>
      <c r="G54" s="38"/>
    </row>
    <row r="55" spans="1:7">
      <c r="A55" s="37"/>
      <c r="B55" s="37"/>
      <c r="C55" s="15" t="s">
        <v>107</v>
      </c>
      <c r="D55" s="38"/>
      <c r="E55" s="38"/>
      <c r="F55" s="38"/>
      <c r="G55" s="38"/>
    </row>
    <row r="56" spans="1:7">
      <c r="A56" s="37"/>
      <c r="B56" s="37"/>
      <c r="C56" s="15" t="s">
        <v>107</v>
      </c>
      <c r="D56" s="38"/>
      <c r="E56" s="38"/>
      <c r="F56" s="38"/>
      <c r="G56" s="38"/>
    </row>
    <row r="57" spans="1:7">
      <c r="A57" s="37"/>
      <c r="B57" s="37"/>
      <c r="C57" s="15" t="s">
        <v>107</v>
      </c>
      <c r="D57" s="38"/>
      <c r="E57" s="38"/>
      <c r="F57" s="38"/>
      <c r="G57" s="38"/>
    </row>
    <row r="58" spans="1:7">
      <c r="A58" s="37"/>
      <c r="B58" s="37"/>
      <c r="C58" s="15" t="s">
        <v>107</v>
      </c>
      <c r="D58" s="38"/>
      <c r="E58" s="38"/>
      <c r="F58" s="38"/>
      <c r="G58" s="38"/>
    </row>
    <row r="59" spans="1:7">
      <c r="A59" s="37"/>
      <c r="B59" s="37"/>
      <c r="C59" s="15" t="s">
        <v>107</v>
      </c>
      <c r="D59" s="38"/>
      <c r="E59" s="38"/>
      <c r="F59" s="38"/>
      <c r="G59" s="38"/>
    </row>
    <row r="60" spans="1:7">
      <c r="A60" s="37"/>
      <c r="B60" s="37"/>
      <c r="C60" s="15" t="s">
        <v>107</v>
      </c>
      <c r="D60" s="38"/>
      <c r="E60" s="38"/>
      <c r="F60" s="38"/>
      <c r="G60" s="38"/>
    </row>
    <row r="61" spans="1:7">
      <c r="A61" s="37"/>
      <c r="B61" s="37"/>
      <c r="C61" s="15" t="s">
        <v>107</v>
      </c>
      <c r="D61" s="38"/>
      <c r="E61" s="38"/>
      <c r="F61" s="38"/>
      <c r="G61" s="38"/>
    </row>
    <row r="62" spans="1:7">
      <c r="A62" s="37"/>
      <c r="B62" s="37"/>
      <c r="C62" s="15" t="s">
        <v>107</v>
      </c>
      <c r="D62" s="38"/>
      <c r="E62" s="38"/>
      <c r="F62" s="38"/>
      <c r="G62" s="38"/>
    </row>
    <row r="63" spans="1:7">
      <c r="A63" s="37"/>
      <c r="B63" s="37"/>
      <c r="C63" s="15" t="s">
        <v>107</v>
      </c>
      <c r="D63" s="38"/>
      <c r="E63" s="38"/>
      <c r="F63" s="38"/>
      <c r="G63" s="38"/>
    </row>
    <row r="64" spans="1:7">
      <c r="A64" s="37"/>
      <c r="B64" s="37"/>
      <c r="C64" s="15" t="s">
        <v>107</v>
      </c>
      <c r="D64" s="38"/>
      <c r="E64" s="38"/>
      <c r="F64" s="38"/>
      <c r="G64" s="38"/>
    </row>
    <row r="65" spans="1:7">
      <c r="A65" s="37"/>
      <c r="B65" s="37"/>
      <c r="C65" s="15" t="s">
        <v>107</v>
      </c>
      <c r="D65" s="38"/>
      <c r="E65" s="38"/>
      <c r="F65" s="38"/>
      <c r="G65" s="38"/>
    </row>
    <row r="66" spans="1:7">
      <c r="A66" s="37"/>
      <c r="B66" s="37"/>
      <c r="C66" s="15" t="s">
        <v>107</v>
      </c>
      <c r="D66" s="38"/>
      <c r="E66" s="38"/>
      <c r="F66" s="38"/>
      <c r="G66" s="38"/>
    </row>
    <row r="67" spans="1:7">
      <c r="A67" s="37"/>
      <c r="B67" s="37"/>
      <c r="C67" s="15" t="s">
        <v>107</v>
      </c>
      <c r="D67" s="38"/>
      <c r="E67" s="38"/>
      <c r="F67" s="38"/>
      <c r="G67" s="38"/>
    </row>
    <row r="68" spans="1:7">
      <c r="A68" s="37"/>
      <c r="B68" s="37"/>
      <c r="C68" s="15" t="s">
        <v>107</v>
      </c>
      <c r="D68" s="38"/>
      <c r="E68" s="38"/>
      <c r="F68" s="38"/>
      <c r="G68" s="38"/>
    </row>
    <row r="69" spans="1:7">
      <c r="A69" s="37"/>
      <c r="B69" s="37"/>
      <c r="C69" s="15" t="s">
        <v>107</v>
      </c>
      <c r="D69" s="38"/>
      <c r="E69" s="38"/>
      <c r="F69" s="38"/>
      <c r="G69" s="38"/>
    </row>
    <row r="70" spans="1:7">
      <c r="A70" s="37"/>
      <c r="B70" s="37"/>
      <c r="C70" s="15" t="s">
        <v>107</v>
      </c>
      <c r="D70" s="38"/>
      <c r="E70" s="38"/>
      <c r="F70" s="38"/>
      <c r="G70" s="38"/>
    </row>
    <row r="71" spans="1:7">
      <c r="A71" s="37"/>
      <c r="B71" s="37"/>
      <c r="C71" s="15" t="s">
        <v>107</v>
      </c>
      <c r="D71" s="38"/>
      <c r="E71" s="38"/>
      <c r="F71" s="38"/>
      <c r="G71" s="38"/>
    </row>
    <row r="72" spans="1:7">
      <c r="A72" s="37"/>
      <c r="B72" s="37"/>
      <c r="C72" s="15" t="s">
        <v>107</v>
      </c>
      <c r="D72" s="38"/>
      <c r="E72" s="38"/>
      <c r="F72" s="38"/>
      <c r="G72" s="38"/>
    </row>
    <row r="73" spans="1:7">
      <c r="A73" s="37"/>
      <c r="B73" s="37"/>
      <c r="C73" s="15" t="s">
        <v>107</v>
      </c>
      <c r="D73" s="38"/>
      <c r="E73" s="38"/>
      <c r="F73" s="38"/>
      <c r="G73" s="38"/>
    </row>
    <row r="74" spans="1:7">
      <c r="A74" s="37"/>
      <c r="B74" s="37"/>
      <c r="C74" s="15" t="s">
        <v>107</v>
      </c>
      <c r="D74" s="38"/>
      <c r="E74" s="38"/>
      <c r="F74" s="38"/>
      <c r="G74" s="38"/>
    </row>
    <row r="75" spans="1:7">
      <c r="A75" s="37"/>
      <c r="B75" s="37"/>
      <c r="C75" s="15" t="s">
        <v>107</v>
      </c>
      <c r="D75" s="38"/>
      <c r="E75" s="38"/>
      <c r="F75" s="38"/>
      <c r="G75" s="38"/>
    </row>
    <row r="76" spans="1:7">
      <c r="A76" s="37"/>
      <c r="B76" s="37"/>
      <c r="C76" s="15" t="s">
        <v>107</v>
      </c>
      <c r="D76" s="38"/>
      <c r="E76" s="38"/>
      <c r="F76" s="38"/>
      <c r="G76" s="38"/>
    </row>
    <row r="77" spans="1:7">
      <c r="A77" s="37"/>
      <c r="B77" s="37"/>
      <c r="C77" s="15" t="s">
        <v>107</v>
      </c>
      <c r="D77" s="38"/>
      <c r="E77" s="38"/>
      <c r="F77" s="38"/>
      <c r="G77" s="38"/>
    </row>
    <row r="78" spans="1:7">
      <c r="A78" s="37"/>
      <c r="B78" s="37"/>
      <c r="C78" s="15" t="s">
        <v>107</v>
      </c>
      <c r="D78" s="38"/>
      <c r="E78" s="38"/>
      <c r="F78" s="38"/>
      <c r="G78" s="38"/>
    </row>
    <row r="79" spans="1:7">
      <c r="A79" s="37"/>
      <c r="B79" s="37"/>
      <c r="C79" s="15" t="s">
        <v>107</v>
      </c>
      <c r="D79" s="38"/>
      <c r="E79" s="38"/>
      <c r="F79" s="38"/>
      <c r="G79" s="38"/>
    </row>
    <row r="80" spans="1:7">
      <c r="A80" s="37"/>
      <c r="B80" s="37"/>
      <c r="C80" s="15" t="s">
        <v>107</v>
      </c>
      <c r="D80" s="38"/>
      <c r="E80" s="38"/>
      <c r="F80" s="38"/>
      <c r="G80" s="38"/>
    </row>
    <row r="81" spans="1:7">
      <c r="A81" s="37"/>
      <c r="B81" s="37"/>
      <c r="C81" s="15" t="s">
        <v>107</v>
      </c>
      <c r="D81" s="38"/>
      <c r="E81" s="38"/>
      <c r="F81" s="38"/>
      <c r="G81" s="38"/>
    </row>
    <row r="82" spans="1:7">
      <c r="A82" s="37"/>
      <c r="B82" s="37"/>
      <c r="C82" s="15" t="s">
        <v>107</v>
      </c>
      <c r="D82" s="38"/>
      <c r="E82" s="38"/>
      <c r="F82" s="38"/>
      <c r="G82" s="38"/>
    </row>
    <row r="83" spans="1:7">
      <c r="A83" s="26"/>
      <c r="B83" s="27"/>
      <c r="C83" s="27"/>
      <c r="D83" s="27"/>
      <c r="E83" s="27"/>
      <c r="F83" s="27"/>
      <c r="G83" s="27"/>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39997558519241921"/>
  </sheetPr>
  <dimension ref="A1:H86"/>
  <sheetViews>
    <sheetView showGridLines="0" workbookViewId="0"/>
  </sheetViews>
  <sheetFormatPr defaultRowHeight="12.75"/>
  <cols>
    <col min="1" max="1" width="42.5" customWidth="1"/>
    <col min="2" max="2" width="34.75" customWidth="1"/>
    <col min="3" max="3" width="13" customWidth="1"/>
    <col min="4" max="8" width="15" customWidth="1"/>
  </cols>
  <sheetData>
    <row r="1" spans="1:8" s="4" customFormat="1" ht="24.75">
      <c r="A1" s="1" t="s">
        <v>283</v>
      </c>
      <c r="B1" s="2"/>
      <c r="C1" s="2"/>
      <c r="D1" s="2"/>
      <c r="E1" s="2"/>
      <c r="F1" s="2"/>
      <c r="G1" s="3"/>
      <c r="H1" s="3"/>
    </row>
    <row r="2" spans="1:8" s="7" customFormat="1" ht="15">
      <c r="A2" s="5" t="str">
        <f ca="1">IFERROR("Sheet: " &amp;VLOOKUP(RIGHT(CELL("filename",A1),LEN(CELL("filename",A1))-FIND("]",CELL("filename",A1))),Contents!$A$10:$B$29,2,FALSE),"Sheet name does not match Contents sheet")</f>
        <v>Sheet: Input data sheet: efficient delivery</v>
      </c>
      <c r="B2" s="6"/>
      <c r="C2" s="6"/>
      <c r="D2" s="6"/>
      <c r="E2" s="6"/>
      <c r="F2" s="6"/>
      <c r="G2" s="5"/>
      <c r="H2" s="5"/>
    </row>
    <row r="3" spans="1:8" s="7" customFormat="1" ht="15">
      <c r="A3" s="5"/>
      <c r="B3" s="6"/>
      <c r="C3" s="6"/>
      <c r="D3" s="6"/>
      <c r="E3" s="6"/>
      <c r="F3" s="6"/>
      <c r="G3" s="6"/>
      <c r="H3" s="6"/>
    </row>
    <row r="4" spans="1:8" s="7" customFormat="1" ht="15">
      <c r="A4" s="5"/>
      <c r="B4" s="6"/>
      <c r="C4" s="6"/>
      <c r="D4" s="6"/>
      <c r="E4" s="6"/>
      <c r="F4" s="6"/>
      <c r="G4" s="6"/>
      <c r="H4" s="6"/>
    </row>
    <row r="5" spans="1:8" s="7" customFormat="1" ht="15">
      <c r="A5" s="5"/>
      <c r="B5" s="6"/>
      <c r="C5" s="6"/>
      <c r="D5" s="6"/>
      <c r="E5" s="6"/>
      <c r="F5" s="6"/>
      <c r="G5" s="6"/>
      <c r="H5" s="6"/>
    </row>
    <row r="6" spans="1:8" s="7" customFormat="1" ht="15">
      <c r="A6" s="5"/>
      <c r="B6" s="6"/>
      <c r="C6" s="6"/>
      <c r="D6" s="6"/>
      <c r="E6" s="6"/>
      <c r="F6" s="6"/>
      <c r="G6" s="6"/>
      <c r="H6" s="6"/>
    </row>
    <row r="7" spans="1:8" s="9" customFormat="1"/>
    <row r="8" spans="1:8" s="9" customFormat="1" ht="19.5">
      <c r="A8" s="8" t="str">
        <f ca="1">IFERROR(VLOOKUP(RIGHT(CELL("filename",A1),LEN(CELL("filename",A1))-FIND("]",CELL("filename",A1))),Contents!$A$10:$B$29,2,FALSE), "Sheet name does not match Contents sheet")</f>
        <v>Input data sheet: efficient delivery</v>
      </c>
    </row>
    <row r="10" spans="1:8" s="12" customFormat="1">
      <c r="A10" s="20" t="s">
        <v>119</v>
      </c>
      <c r="B10" s="21"/>
      <c r="C10" s="21"/>
      <c r="D10" s="21"/>
      <c r="E10" s="21"/>
      <c r="F10" s="21"/>
      <c r="G10" s="21"/>
      <c r="H10" s="21"/>
    </row>
    <row r="11" spans="1:8" s="9" customFormat="1"/>
    <row r="12" spans="1:8" s="9" customFormat="1" ht="25.5">
      <c r="D12" s="44" t="s">
        <v>17</v>
      </c>
    </row>
    <row r="13" spans="1:8" s="9" customFormat="1">
      <c r="A13" s="13" t="s">
        <v>185</v>
      </c>
      <c r="B13" s="13" t="s">
        <v>3</v>
      </c>
      <c r="C13" s="13" t="s">
        <v>2</v>
      </c>
      <c r="D13" s="23" t="s">
        <v>19</v>
      </c>
    </row>
    <row r="14" spans="1:8" s="9" customFormat="1">
      <c r="A14" s="40" t="s">
        <v>186</v>
      </c>
      <c r="B14" s="15" t="s">
        <v>348</v>
      </c>
      <c r="C14" s="15" t="s">
        <v>83</v>
      </c>
      <c r="D14" s="29">
        <f ca="1">SUM(F23:F86)</f>
        <v>118.16424999999998</v>
      </c>
    </row>
    <row r="15" spans="1:8" s="9" customFormat="1">
      <c r="A15" s="40" t="s">
        <v>187</v>
      </c>
      <c r="B15" s="15" t="s">
        <v>50</v>
      </c>
      <c r="C15" s="15" t="s">
        <v>107</v>
      </c>
      <c r="D15" s="29">
        <f ca="1">SUM(G23:G86)</f>
        <v>68.59999999999998</v>
      </c>
    </row>
    <row r="16" spans="1:8" s="9" customFormat="1">
      <c r="A16" s="40" t="s">
        <v>51</v>
      </c>
      <c r="B16" s="15" t="s">
        <v>52</v>
      </c>
      <c r="C16" s="15" t="s">
        <v>83</v>
      </c>
      <c r="D16" s="29">
        <f ca="1">SUM(H23:H86)</f>
        <v>12.540000000000001</v>
      </c>
    </row>
    <row r="18" spans="1:8" s="12" customFormat="1">
      <c r="A18" s="20" t="s">
        <v>99</v>
      </c>
      <c r="B18" s="21"/>
      <c r="C18" s="21"/>
      <c r="D18" s="21"/>
      <c r="E18" s="21"/>
      <c r="F18" s="21"/>
      <c r="G18" s="21"/>
      <c r="H18" s="21"/>
    </row>
    <row r="19" spans="1:8" s="12" customFormat="1"/>
    <row r="20" spans="1:8" s="12" customFormat="1">
      <c r="D20" s="114" t="s">
        <v>325</v>
      </c>
      <c r="E20" s="115"/>
      <c r="F20" s="116" t="s">
        <v>324</v>
      </c>
      <c r="G20" s="116"/>
      <c r="H20" s="116"/>
    </row>
    <row r="21" spans="1:8" ht="38.25">
      <c r="A21" s="13" t="s">
        <v>121</v>
      </c>
      <c r="B21" s="13" t="s">
        <v>188</v>
      </c>
      <c r="C21" s="13"/>
      <c r="D21" s="83" t="s">
        <v>326</v>
      </c>
      <c r="E21" s="83" t="s">
        <v>329</v>
      </c>
      <c r="F21" s="83" t="s">
        <v>327</v>
      </c>
      <c r="G21" s="83" t="s">
        <v>328</v>
      </c>
      <c r="H21" s="83" t="s">
        <v>330</v>
      </c>
    </row>
    <row r="22" spans="1:8">
      <c r="A22" s="13"/>
      <c r="B22" s="13"/>
      <c r="C22" s="23" t="s">
        <v>191</v>
      </c>
      <c r="D22" s="23"/>
      <c r="E22" s="23"/>
      <c r="F22" s="23" t="s">
        <v>83</v>
      </c>
      <c r="G22" s="23" t="s">
        <v>107</v>
      </c>
      <c r="H22" s="23" t="s">
        <v>83</v>
      </c>
    </row>
    <row r="23" spans="1:8">
      <c r="A23" s="36" t="s">
        <v>128</v>
      </c>
      <c r="B23" s="36" t="s">
        <v>192</v>
      </c>
      <c r="C23" s="15"/>
      <c r="D23" s="82">
        <f ca="1">RANDBETWEEN(10,50)/10</f>
        <v>4.4000000000000004</v>
      </c>
      <c r="E23" s="82">
        <f ca="1">D23*RANDBETWEEN(10,50)/100</f>
        <v>2.2000000000000002</v>
      </c>
      <c r="F23" s="82">
        <f ca="1">SUM(D23:E23) * RANDBETWEEN(95,120)/100</f>
        <v>7.128000000000001</v>
      </c>
      <c r="G23" s="82">
        <f ca="1">RANDBETWEEN(0,50)/10</f>
        <v>4.9000000000000004</v>
      </c>
      <c r="H23" s="82">
        <f ca="1">ROUND(IF(F23&lt;SUM(D23:E23),0, E23 * RANDBETWEEN(0,10)/10),2)</f>
        <v>1.1000000000000001</v>
      </c>
    </row>
    <row r="24" spans="1:8">
      <c r="A24" s="36" t="s">
        <v>128</v>
      </c>
      <c r="B24" s="36" t="s">
        <v>193</v>
      </c>
      <c r="C24" s="15"/>
      <c r="D24" s="82">
        <f t="shared" ref="D24:D50" ca="1" si="0">RANDBETWEEN(10,50)/10</f>
        <v>5</v>
      </c>
      <c r="E24" s="82">
        <f t="shared" ref="E24:E50" ca="1" si="1">D24*RANDBETWEEN(10,50)/100</f>
        <v>2.25</v>
      </c>
      <c r="F24" s="82">
        <f t="shared" ref="F24:F39" ca="1" si="2">SUM(D24:E24) * RANDBETWEEN(95,120)/100</f>
        <v>8.0474999999999994</v>
      </c>
      <c r="G24" s="82">
        <f t="shared" ref="G24:G50" ca="1" si="3">RANDBETWEEN(0,50)/10</f>
        <v>0.6</v>
      </c>
      <c r="H24" s="82">
        <f t="shared" ref="H24:H39" ca="1" si="4">ROUND(IF(F24&lt;SUM(D24:E24),0, E24 * RANDBETWEEN(0,10)/10),2)</f>
        <v>1.35</v>
      </c>
    </row>
    <row r="25" spans="1:8">
      <c r="A25" s="36" t="s">
        <v>128</v>
      </c>
      <c r="B25" s="36" t="s">
        <v>194</v>
      </c>
      <c r="C25" s="15"/>
      <c r="D25" s="82">
        <f t="shared" ca="1" si="0"/>
        <v>1.3</v>
      </c>
      <c r="E25" s="82">
        <f t="shared" ca="1" si="1"/>
        <v>0.377</v>
      </c>
      <c r="F25" s="82">
        <f t="shared" ca="1" si="2"/>
        <v>1.9788600000000001</v>
      </c>
      <c r="G25" s="82">
        <f t="shared" ca="1" si="3"/>
        <v>1.4</v>
      </c>
      <c r="H25" s="82">
        <f t="shared" ca="1" si="4"/>
        <v>0.34</v>
      </c>
    </row>
    <row r="26" spans="1:8">
      <c r="A26" s="36" t="s">
        <v>128</v>
      </c>
      <c r="B26" s="36" t="s">
        <v>195</v>
      </c>
      <c r="C26" s="15"/>
      <c r="D26" s="82">
        <f t="shared" ca="1" si="0"/>
        <v>1.4</v>
      </c>
      <c r="E26" s="82">
        <f t="shared" ca="1" si="1"/>
        <v>0.22399999999999998</v>
      </c>
      <c r="F26" s="82">
        <f t="shared" ca="1" si="2"/>
        <v>1.7539199999999999</v>
      </c>
      <c r="G26" s="82">
        <f t="shared" ca="1" si="3"/>
        <v>4.7</v>
      </c>
      <c r="H26" s="82">
        <f t="shared" ca="1" si="4"/>
        <v>0.2</v>
      </c>
    </row>
    <row r="27" spans="1:8">
      <c r="A27" s="36" t="s">
        <v>128</v>
      </c>
      <c r="B27" s="36" t="s">
        <v>196</v>
      </c>
      <c r="C27" s="15"/>
      <c r="D27" s="82">
        <f t="shared" ca="1" si="0"/>
        <v>1</v>
      </c>
      <c r="E27" s="82">
        <f t="shared" ca="1" si="1"/>
        <v>0.46</v>
      </c>
      <c r="F27" s="82">
        <f t="shared" ca="1" si="2"/>
        <v>1.4891999999999999</v>
      </c>
      <c r="G27" s="82">
        <f t="shared" ca="1" si="3"/>
        <v>4</v>
      </c>
      <c r="H27" s="82">
        <f t="shared" ca="1" si="4"/>
        <v>0.09</v>
      </c>
    </row>
    <row r="28" spans="1:8">
      <c r="A28" s="36" t="s">
        <v>128</v>
      </c>
      <c r="B28" s="36" t="s">
        <v>197</v>
      </c>
      <c r="C28" s="15"/>
      <c r="D28" s="82">
        <f t="shared" ca="1" si="0"/>
        <v>4.3</v>
      </c>
      <c r="E28" s="82">
        <f t="shared" ca="1" si="1"/>
        <v>0.86</v>
      </c>
      <c r="F28" s="82">
        <f t="shared" ca="1" si="2"/>
        <v>5.3148</v>
      </c>
      <c r="G28" s="82">
        <f t="shared" ca="1" si="3"/>
        <v>2.6</v>
      </c>
      <c r="H28" s="82">
        <f t="shared" ca="1" si="4"/>
        <v>0.34</v>
      </c>
    </row>
    <row r="29" spans="1:8">
      <c r="A29" s="36" t="s">
        <v>128</v>
      </c>
      <c r="B29" s="36" t="s">
        <v>198</v>
      </c>
      <c r="C29" s="15"/>
      <c r="D29" s="82">
        <f t="shared" ca="1" si="0"/>
        <v>4.5999999999999996</v>
      </c>
      <c r="E29" s="82">
        <f t="shared" ca="1" si="1"/>
        <v>2.1160000000000001</v>
      </c>
      <c r="F29" s="82">
        <f t="shared" ca="1" si="2"/>
        <v>6.648839999999999</v>
      </c>
      <c r="G29" s="82">
        <f t="shared" ca="1" si="3"/>
        <v>3.9</v>
      </c>
      <c r="H29" s="82">
        <f t="shared" ca="1" si="4"/>
        <v>0</v>
      </c>
    </row>
    <row r="30" spans="1:8">
      <c r="A30" s="36" t="s">
        <v>129</v>
      </c>
      <c r="B30" s="36" t="s">
        <v>199</v>
      </c>
      <c r="C30" s="15"/>
      <c r="D30" s="82">
        <f t="shared" ca="1" si="0"/>
        <v>3.4</v>
      </c>
      <c r="E30" s="82">
        <f t="shared" ca="1" si="1"/>
        <v>1.462</v>
      </c>
      <c r="F30" s="82">
        <f t="shared" ca="1" si="2"/>
        <v>5.2995799999999997</v>
      </c>
      <c r="G30" s="82">
        <f t="shared" ca="1" si="3"/>
        <v>2.5</v>
      </c>
      <c r="H30" s="82">
        <f t="shared" ca="1" si="4"/>
        <v>1.46</v>
      </c>
    </row>
    <row r="31" spans="1:8">
      <c r="A31" s="36" t="s">
        <v>129</v>
      </c>
      <c r="B31" s="36" t="s">
        <v>200</v>
      </c>
      <c r="C31" s="15"/>
      <c r="D31" s="82">
        <f t="shared" ca="1" si="0"/>
        <v>2.7</v>
      </c>
      <c r="E31" s="82">
        <f t="shared" ca="1" si="1"/>
        <v>0.45900000000000007</v>
      </c>
      <c r="F31" s="82">
        <f t="shared" ca="1" si="2"/>
        <v>3.1905900000000003</v>
      </c>
      <c r="G31" s="82">
        <f t="shared" ca="1" si="3"/>
        <v>2.5</v>
      </c>
      <c r="H31" s="82">
        <f t="shared" ca="1" si="4"/>
        <v>0</v>
      </c>
    </row>
    <row r="32" spans="1:8">
      <c r="A32" s="36" t="s">
        <v>129</v>
      </c>
      <c r="B32" s="36" t="s">
        <v>201</v>
      </c>
      <c r="C32" s="15"/>
      <c r="D32" s="82">
        <f t="shared" ca="1" si="0"/>
        <v>2.2999999999999998</v>
      </c>
      <c r="E32" s="82">
        <f t="shared" ca="1" si="1"/>
        <v>1.1039999999999999</v>
      </c>
      <c r="F32" s="82">
        <f t="shared" ca="1" si="2"/>
        <v>3.4380399999999995</v>
      </c>
      <c r="G32" s="82">
        <f t="shared" ca="1" si="3"/>
        <v>2.4</v>
      </c>
      <c r="H32" s="82">
        <f t="shared" ca="1" si="4"/>
        <v>0.66</v>
      </c>
    </row>
    <row r="33" spans="1:8">
      <c r="A33" s="36" t="s">
        <v>129</v>
      </c>
      <c r="B33" s="36" t="s">
        <v>202</v>
      </c>
      <c r="C33" s="15"/>
      <c r="D33" s="82">
        <f t="shared" ca="1" si="0"/>
        <v>4.7</v>
      </c>
      <c r="E33" s="82">
        <f t="shared" ca="1" si="1"/>
        <v>1.504</v>
      </c>
      <c r="F33" s="82">
        <f t="shared" ca="1" si="2"/>
        <v>7.1966400000000013</v>
      </c>
      <c r="G33" s="82">
        <f t="shared" ca="1" si="3"/>
        <v>0.9</v>
      </c>
      <c r="H33" s="82">
        <f t="shared" ca="1" si="4"/>
        <v>1.35</v>
      </c>
    </row>
    <row r="34" spans="1:8">
      <c r="A34" s="36" t="s">
        <v>129</v>
      </c>
      <c r="B34" s="36" t="s">
        <v>203</v>
      </c>
      <c r="C34" s="15"/>
      <c r="D34" s="82">
        <f t="shared" ca="1" si="0"/>
        <v>3.5</v>
      </c>
      <c r="E34" s="82">
        <f t="shared" ca="1" si="1"/>
        <v>1.4</v>
      </c>
      <c r="F34" s="82">
        <f t="shared" ca="1" si="2"/>
        <v>5.8310000000000004</v>
      </c>
      <c r="G34" s="82">
        <f t="shared" ca="1" si="3"/>
        <v>4.0999999999999996</v>
      </c>
      <c r="H34" s="82">
        <f t="shared" ca="1" si="4"/>
        <v>0.7</v>
      </c>
    </row>
    <row r="35" spans="1:8">
      <c r="A35" s="36" t="s">
        <v>129</v>
      </c>
      <c r="B35" s="36" t="s">
        <v>204</v>
      </c>
      <c r="C35" s="15"/>
      <c r="D35" s="82">
        <f t="shared" ca="1" si="0"/>
        <v>2.2999999999999998</v>
      </c>
      <c r="E35" s="82">
        <f t="shared" ca="1" si="1"/>
        <v>0.55199999999999994</v>
      </c>
      <c r="F35" s="82">
        <f t="shared" ca="1" si="2"/>
        <v>3.1657199999999999</v>
      </c>
      <c r="G35" s="82">
        <f t="shared" ca="1" si="3"/>
        <v>0.9</v>
      </c>
      <c r="H35" s="82">
        <f t="shared" ca="1" si="4"/>
        <v>0.39</v>
      </c>
    </row>
    <row r="36" spans="1:8">
      <c r="A36" s="36" t="s">
        <v>129</v>
      </c>
      <c r="B36" s="36" t="s">
        <v>205</v>
      </c>
      <c r="C36" s="15"/>
      <c r="D36" s="82">
        <f t="shared" ca="1" si="0"/>
        <v>4.2</v>
      </c>
      <c r="E36" s="82">
        <f t="shared" ca="1" si="1"/>
        <v>1.764</v>
      </c>
      <c r="F36" s="82">
        <f t="shared" ca="1" si="2"/>
        <v>5.7254400000000008</v>
      </c>
      <c r="G36" s="82">
        <f t="shared" ca="1" si="3"/>
        <v>4.5</v>
      </c>
      <c r="H36" s="82">
        <f t="shared" ca="1" si="4"/>
        <v>0</v>
      </c>
    </row>
    <row r="37" spans="1:8">
      <c r="A37" s="36" t="s">
        <v>129</v>
      </c>
      <c r="B37" s="36" t="s">
        <v>206</v>
      </c>
      <c r="C37" s="15"/>
      <c r="D37" s="82">
        <f t="shared" ca="1" si="0"/>
        <v>2.7</v>
      </c>
      <c r="E37" s="82">
        <f t="shared" ca="1" si="1"/>
        <v>0.27</v>
      </c>
      <c r="F37" s="82">
        <f t="shared" ca="1" si="2"/>
        <v>3.1779000000000002</v>
      </c>
      <c r="G37" s="82">
        <f t="shared" ca="1" si="3"/>
        <v>2.2000000000000002</v>
      </c>
      <c r="H37" s="82">
        <f t="shared" ca="1" si="4"/>
        <v>0.27</v>
      </c>
    </row>
    <row r="38" spans="1:8">
      <c r="A38" s="36" t="s">
        <v>129</v>
      </c>
      <c r="B38" s="36" t="s">
        <v>207</v>
      </c>
      <c r="C38" s="15"/>
      <c r="D38" s="82">
        <f t="shared" ca="1" si="0"/>
        <v>3.1</v>
      </c>
      <c r="E38" s="82">
        <f t="shared" ca="1" si="1"/>
        <v>0.68200000000000005</v>
      </c>
      <c r="F38" s="82">
        <f t="shared" ca="1" si="2"/>
        <v>3.8954599999999999</v>
      </c>
      <c r="G38" s="82">
        <f t="shared" ca="1" si="3"/>
        <v>1.8</v>
      </c>
      <c r="H38" s="82">
        <f t="shared" ca="1" si="4"/>
        <v>0.34</v>
      </c>
    </row>
    <row r="39" spans="1:8">
      <c r="A39" s="36" t="s">
        <v>129</v>
      </c>
      <c r="B39" s="36" t="s">
        <v>208</v>
      </c>
      <c r="C39" s="15"/>
      <c r="D39" s="82">
        <f t="shared" ca="1" si="0"/>
        <v>4.7</v>
      </c>
      <c r="E39" s="82">
        <f t="shared" ca="1" si="1"/>
        <v>1.786</v>
      </c>
      <c r="F39" s="82">
        <f t="shared" ca="1" si="2"/>
        <v>6.226560000000001</v>
      </c>
      <c r="G39" s="82">
        <f t="shared" ca="1" si="3"/>
        <v>0.6</v>
      </c>
      <c r="H39" s="82">
        <f t="shared" ca="1" si="4"/>
        <v>0</v>
      </c>
    </row>
    <row r="40" spans="1:8">
      <c r="A40" s="36"/>
      <c r="B40" s="37" t="s">
        <v>454</v>
      </c>
      <c r="C40" s="15"/>
      <c r="D40" s="82">
        <f t="shared" ca="1" si="0"/>
        <v>1.3</v>
      </c>
      <c r="E40" s="82">
        <f t="shared" ca="1" si="1"/>
        <v>0.13</v>
      </c>
      <c r="F40" s="82">
        <f t="shared" ref="F40:F50" ca="1" si="5">SUM(D40:E40) * RANDBETWEEN(95,120)/100</f>
        <v>1.7160000000000002</v>
      </c>
      <c r="G40" s="82">
        <f t="shared" ca="1" si="3"/>
        <v>2.4</v>
      </c>
      <c r="H40" s="82">
        <f t="shared" ref="H40:H50" ca="1" si="6">ROUND(IF(F40&lt;SUM(D40:E40),0, E40 * RANDBETWEEN(0,10)/10),2)</f>
        <v>0.03</v>
      </c>
    </row>
    <row r="41" spans="1:8">
      <c r="A41" s="37"/>
      <c r="B41" s="37" t="s">
        <v>455</v>
      </c>
      <c r="C41" s="15"/>
      <c r="D41" s="82">
        <f t="shared" ca="1" si="0"/>
        <v>1.4</v>
      </c>
      <c r="E41" s="82">
        <f t="shared" ca="1" si="1"/>
        <v>0.51800000000000002</v>
      </c>
      <c r="F41" s="82">
        <f t="shared" ca="1" si="5"/>
        <v>2.0906199999999999</v>
      </c>
      <c r="G41" s="82">
        <f t="shared" ca="1" si="3"/>
        <v>2.6</v>
      </c>
      <c r="H41" s="82">
        <f t="shared" ca="1" si="6"/>
        <v>0.41</v>
      </c>
    </row>
    <row r="42" spans="1:8">
      <c r="A42" s="37"/>
      <c r="B42" s="37" t="s">
        <v>456</v>
      </c>
      <c r="C42" s="15"/>
      <c r="D42" s="82">
        <f t="shared" ca="1" si="0"/>
        <v>1.8</v>
      </c>
      <c r="E42" s="82">
        <f t="shared" ca="1" si="1"/>
        <v>0.54</v>
      </c>
      <c r="F42" s="82">
        <f t="shared" ca="1" si="5"/>
        <v>2.3867999999999996</v>
      </c>
      <c r="G42" s="82">
        <f t="shared" ca="1" si="3"/>
        <v>2.2999999999999998</v>
      </c>
      <c r="H42" s="82">
        <f t="shared" ca="1" si="6"/>
        <v>0.32</v>
      </c>
    </row>
    <row r="43" spans="1:8">
      <c r="A43" s="37"/>
      <c r="B43" s="37" t="s">
        <v>457</v>
      </c>
      <c r="C43" s="15"/>
      <c r="D43" s="82">
        <f t="shared" ca="1" si="0"/>
        <v>3</v>
      </c>
      <c r="E43" s="82">
        <f t="shared" ca="1" si="1"/>
        <v>0.84</v>
      </c>
      <c r="F43" s="82">
        <f t="shared" ca="1" si="5"/>
        <v>3.8783999999999996</v>
      </c>
      <c r="G43" s="82">
        <f t="shared" ca="1" si="3"/>
        <v>2.2999999999999998</v>
      </c>
      <c r="H43" s="82">
        <f t="shared" ca="1" si="6"/>
        <v>0.84</v>
      </c>
    </row>
    <row r="44" spans="1:8">
      <c r="A44" s="37"/>
      <c r="B44" s="37" t="s">
        <v>458</v>
      </c>
      <c r="C44" s="15"/>
      <c r="D44" s="82">
        <f t="shared" ca="1" si="0"/>
        <v>2.7</v>
      </c>
      <c r="E44" s="82">
        <f t="shared" ca="1" si="1"/>
        <v>1.1880000000000002</v>
      </c>
      <c r="F44" s="82">
        <f t="shared" ca="1" si="5"/>
        <v>4.6656000000000004</v>
      </c>
      <c r="G44" s="82">
        <f t="shared" ca="1" si="3"/>
        <v>0.8</v>
      </c>
      <c r="H44" s="82">
        <f t="shared" ca="1" si="6"/>
        <v>0.48</v>
      </c>
    </row>
    <row r="45" spans="1:8">
      <c r="A45" s="37"/>
      <c r="B45" s="37" t="s">
        <v>459</v>
      </c>
      <c r="C45" s="15"/>
      <c r="D45" s="82">
        <f t="shared" ca="1" si="0"/>
        <v>2.1</v>
      </c>
      <c r="E45" s="82">
        <f t="shared" ca="1" si="1"/>
        <v>0.90300000000000002</v>
      </c>
      <c r="F45" s="82">
        <f t="shared" ca="1" si="5"/>
        <v>3.3633600000000001</v>
      </c>
      <c r="G45" s="82">
        <f t="shared" ca="1" si="3"/>
        <v>1.9</v>
      </c>
      <c r="H45" s="82">
        <f t="shared" ca="1" si="6"/>
        <v>0.27</v>
      </c>
    </row>
    <row r="46" spans="1:8">
      <c r="A46" s="37"/>
      <c r="B46" s="37" t="s">
        <v>460</v>
      </c>
      <c r="C46" s="15"/>
      <c r="D46" s="82">
        <f t="shared" ca="1" si="0"/>
        <v>3.3</v>
      </c>
      <c r="E46" s="82">
        <f t="shared" ca="1" si="1"/>
        <v>1.155</v>
      </c>
      <c r="F46" s="82">
        <f t="shared" ca="1" si="5"/>
        <v>4.9005000000000001</v>
      </c>
      <c r="G46" s="82">
        <f t="shared" ca="1" si="3"/>
        <v>1.2</v>
      </c>
      <c r="H46" s="82">
        <f t="shared" ca="1" si="6"/>
        <v>0.57999999999999996</v>
      </c>
    </row>
    <row r="47" spans="1:8">
      <c r="A47" s="37"/>
      <c r="B47" s="37" t="s">
        <v>461</v>
      </c>
      <c r="C47" s="15"/>
      <c r="D47" s="82">
        <f t="shared" ca="1" si="0"/>
        <v>2.1</v>
      </c>
      <c r="E47" s="82">
        <f t="shared" ca="1" si="1"/>
        <v>0.252</v>
      </c>
      <c r="F47" s="82">
        <f t="shared" ca="1" si="5"/>
        <v>2.5872000000000002</v>
      </c>
      <c r="G47" s="82">
        <f t="shared" ca="1" si="3"/>
        <v>3.5</v>
      </c>
      <c r="H47" s="82">
        <f t="shared" ca="1" si="6"/>
        <v>0.05</v>
      </c>
    </row>
    <row r="48" spans="1:8">
      <c r="A48" s="37"/>
      <c r="B48" s="37" t="s">
        <v>462</v>
      </c>
      <c r="C48" s="15"/>
      <c r="D48" s="82">
        <f t="shared" ca="1" si="0"/>
        <v>4.7</v>
      </c>
      <c r="E48" s="82">
        <f t="shared" ca="1" si="1"/>
        <v>0.47</v>
      </c>
      <c r="F48" s="82">
        <f t="shared" ca="1" si="5"/>
        <v>5.2216999999999993</v>
      </c>
      <c r="G48" s="82">
        <f t="shared" ca="1" si="3"/>
        <v>3.4</v>
      </c>
      <c r="H48" s="82">
        <f t="shared" ca="1" si="6"/>
        <v>0.33</v>
      </c>
    </row>
    <row r="49" spans="1:8">
      <c r="A49" s="37"/>
      <c r="B49" s="37" t="s">
        <v>463</v>
      </c>
      <c r="C49" s="15"/>
      <c r="D49" s="82">
        <f t="shared" ca="1" si="0"/>
        <v>3.9</v>
      </c>
      <c r="E49" s="82">
        <f t="shared" ca="1" si="1"/>
        <v>0.85799999999999998</v>
      </c>
      <c r="F49" s="82">
        <f t="shared" ca="1" si="5"/>
        <v>5.6620200000000001</v>
      </c>
      <c r="G49" s="82">
        <f t="shared" ca="1" si="3"/>
        <v>0.6</v>
      </c>
      <c r="H49" s="82">
        <f t="shared" ca="1" si="6"/>
        <v>0.51</v>
      </c>
    </row>
    <row r="50" spans="1:8">
      <c r="A50" s="37"/>
      <c r="B50" s="37" t="s">
        <v>464</v>
      </c>
      <c r="C50" s="15"/>
      <c r="D50" s="82">
        <f t="shared" ca="1" si="0"/>
        <v>1.4</v>
      </c>
      <c r="E50" s="82">
        <f t="shared" ca="1" si="1"/>
        <v>0.42</v>
      </c>
      <c r="F50" s="82">
        <f t="shared" ca="1" si="5"/>
        <v>2.1839999999999997</v>
      </c>
      <c r="G50" s="82">
        <f t="shared" ca="1" si="3"/>
        <v>3.1</v>
      </c>
      <c r="H50" s="82">
        <f t="shared" ca="1" si="6"/>
        <v>0.13</v>
      </c>
    </row>
    <row r="51" spans="1:8">
      <c r="A51" s="37"/>
      <c r="B51" s="37"/>
      <c r="C51" s="15"/>
      <c r="D51" s="82"/>
      <c r="E51" s="82"/>
      <c r="F51" s="82"/>
      <c r="G51" s="82"/>
      <c r="H51" s="82"/>
    </row>
    <row r="52" spans="1:8">
      <c r="A52" s="37"/>
      <c r="B52" s="37"/>
      <c r="C52" s="15"/>
      <c r="D52" s="82"/>
      <c r="E52" s="82"/>
      <c r="F52" s="82"/>
      <c r="G52" s="82"/>
      <c r="H52" s="82"/>
    </row>
    <row r="53" spans="1:8">
      <c r="A53" s="37"/>
      <c r="B53" s="37"/>
      <c r="C53" s="15"/>
      <c r="D53" s="82"/>
      <c r="E53" s="82"/>
      <c r="F53" s="82"/>
      <c r="G53" s="82"/>
      <c r="H53" s="82"/>
    </row>
    <row r="54" spans="1:8">
      <c r="A54" s="37"/>
      <c r="B54" s="37"/>
      <c r="C54" s="15"/>
      <c r="D54" s="82"/>
      <c r="E54" s="82"/>
      <c r="F54" s="82"/>
      <c r="G54" s="82"/>
      <c r="H54" s="82"/>
    </row>
    <row r="55" spans="1:8">
      <c r="A55" s="37"/>
      <c r="B55" s="37"/>
      <c r="C55" s="15"/>
      <c r="D55" s="82"/>
      <c r="E55" s="82"/>
      <c r="F55" s="82"/>
      <c r="G55" s="82"/>
      <c r="H55" s="82"/>
    </row>
    <row r="56" spans="1:8">
      <c r="A56" s="37"/>
      <c r="B56" s="37"/>
      <c r="C56" s="15"/>
      <c r="D56" s="82"/>
      <c r="E56" s="82"/>
      <c r="F56" s="82"/>
      <c r="G56" s="82"/>
      <c r="H56" s="82"/>
    </row>
    <row r="57" spans="1:8">
      <c r="A57" s="37"/>
      <c r="B57" s="37"/>
      <c r="C57" s="15"/>
      <c r="D57" s="82"/>
      <c r="E57" s="82"/>
      <c r="F57" s="82"/>
      <c r="G57" s="82"/>
      <c r="H57" s="82"/>
    </row>
    <row r="58" spans="1:8">
      <c r="A58" s="37"/>
      <c r="B58" s="37"/>
      <c r="C58" s="15"/>
      <c r="D58" s="82"/>
      <c r="E58" s="82"/>
      <c r="F58" s="82"/>
      <c r="G58" s="82"/>
      <c r="H58" s="82"/>
    </row>
    <row r="59" spans="1:8">
      <c r="A59" s="37"/>
      <c r="B59" s="37"/>
      <c r="C59" s="15"/>
      <c r="D59" s="82"/>
      <c r="E59" s="82"/>
      <c r="F59" s="82"/>
      <c r="G59" s="82"/>
      <c r="H59" s="82"/>
    </row>
    <row r="60" spans="1:8">
      <c r="A60" s="37"/>
      <c r="B60" s="37"/>
      <c r="C60" s="15"/>
      <c r="D60" s="82"/>
      <c r="E60" s="82"/>
      <c r="F60" s="82"/>
      <c r="G60" s="82"/>
      <c r="H60" s="82"/>
    </row>
    <row r="61" spans="1:8">
      <c r="A61" s="37"/>
      <c r="B61" s="37"/>
      <c r="C61" s="15"/>
      <c r="D61" s="82"/>
      <c r="E61" s="82"/>
      <c r="F61" s="82"/>
      <c r="G61" s="82"/>
      <c r="H61" s="82"/>
    </row>
    <row r="62" spans="1:8">
      <c r="A62" s="37"/>
      <c r="B62" s="37"/>
      <c r="C62" s="15"/>
      <c r="D62" s="82"/>
      <c r="E62" s="82"/>
      <c r="F62" s="82"/>
      <c r="G62" s="82"/>
      <c r="H62" s="82"/>
    </row>
    <row r="63" spans="1:8">
      <c r="A63" s="37"/>
      <c r="B63" s="37"/>
      <c r="C63" s="15"/>
      <c r="D63" s="82"/>
      <c r="E63" s="82"/>
      <c r="F63" s="82"/>
      <c r="G63" s="82"/>
      <c r="H63" s="82"/>
    </row>
    <row r="64" spans="1:8">
      <c r="A64" s="37"/>
      <c r="B64" s="37"/>
      <c r="C64" s="15"/>
      <c r="D64" s="82"/>
      <c r="E64" s="82"/>
      <c r="F64" s="82"/>
      <c r="G64" s="82"/>
      <c r="H64" s="82"/>
    </row>
    <row r="65" spans="1:8">
      <c r="A65" s="37"/>
      <c r="B65" s="37"/>
      <c r="C65" s="15"/>
      <c r="D65" s="82"/>
      <c r="E65" s="82"/>
      <c r="F65" s="82"/>
      <c r="G65" s="82"/>
      <c r="H65" s="82"/>
    </row>
    <row r="66" spans="1:8">
      <c r="A66" s="37"/>
      <c r="B66" s="37"/>
      <c r="C66" s="15"/>
      <c r="D66" s="82"/>
      <c r="E66" s="82"/>
      <c r="F66" s="82"/>
      <c r="G66" s="82"/>
      <c r="H66" s="82"/>
    </row>
    <row r="67" spans="1:8">
      <c r="A67" s="37"/>
      <c r="B67" s="37"/>
      <c r="C67" s="15"/>
      <c r="D67" s="82"/>
      <c r="E67" s="82"/>
      <c r="F67" s="82"/>
      <c r="G67" s="82"/>
      <c r="H67" s="82"/>
    </row>
    <row r="68" spans="1:8">
      <c r="A68" s="37"/>
      <c r="B68" s="37"/>
      <c r="C68" s="15"/>
      <c r="D68" s="82"/>
      <c r="E68" s="82"/>
      <c r="F68" s="82"/>
      <c r="G68" s="82"/>
      <c r="H68" s="82"/>
    </row>
    <row r="69" spans="1:8">
      <c r="A69" s="37"/>
      <c r="B69" s="37"/>
      <c r="C69" s="15"/>
      <c r="D69" s="82"/>
      <c r="E69" s="82"/>
      <c r="F69" s="82"/>
      <c r="G69" s="82"/>
      <c r="H69" s="82"/>
    </row>
    <row r="70" spans="1:8">
      <c r="A70" s="37"/>
      <c r="B70" s="37"/>
      <c r="C70" s="15"/>
      <c r="D70" s="82"/>
      <c r="E70" s="82"/>
      <c r="F70" s="82"/>
      <c r="G70" s="82"/>
      <c r="H70" s="82"/>
    </row>
    <row r="71" spans="1:8">
      <c r="A71" s="37"/>
      <c r="B71" s="37"/>
      <c r="C71" s="15"/>
      <c r="D71" s="82"/>
      <c r="E71" s="82"/>
      <c r="F71" s="82"/>
      <c r="G71" s="82"/>
      <c r="H71" s="82"/>
    </row>
    <row r="72" spans="1:8">
      <c r="A72" s="37"/>
      <c r="B72" s="37"/>
      <c r="C72" s="15"/>
      <c r="D72" s="82"/>
      <c r="E72" s="82"/>
      <c r="F72" s="82"/>
      <c r="G72" s="82"/>
      <c r="H72" s="82"/>
    </row>
    <row r="73" spans="1:8">
      <c r="A73" s="37"/>
      <c r="B73" s="37"/>
      <c r="C73" s="15"/>
      <c r="D73" s="82"/>
      <c r="E73" s="82"/>
      <c r="F73" s="82"/>
      <c r="G73" s="82"/>
      <c r="H73" s="82"/>
    </row>
    <row r="74" spans="1:8">
      <c r="A74" s="37"/>
      <c r="B74" s="37"/>
      <c r="C74" s="15"/>
      <c r="D74" s="82"/>
      <c r="E74" s="82"/>
      <c r="F74" s="82"/>
      <c r="G74" s="82"/>
      <c r="H74" s="82"/>
    </row>
    <row r="75" spans="1:8">
      <c r="A75" s="37"/>
      <c r="B75" s="37"/>
      <c r="C75" s="15"/>
      <c r="D75" s="82"/>
      <c r="E75" s="82"/>
      <c r="F75" s="82"/>
      <c r="G75" s="82"/>
      <c r="H75" s="82"/>
    </row>
    <row r="76" spans="1:8">
      <c r="A76" s="37"/>
      <c r="B76" s="37"/>
      <c r="C76" s="15"/>
      <c r="D76" s="82"/>
      <c r="E76" s="82"/>
      <c r="F76" s="82"/>
      <c r="G76" s="82"/>
      <c r="H76" s="82"/>
    </row>
    <row r="77" spans="1:8">
      <c r="A77" s="37"/>
      <c r="B77" s="37"/>
      <c r="C77" s="15"/>
      <c r="D77" s="82"/>
      <c r="E77" s="82"/>
      <c r="F77" s="82"/>
      <c r="G77" s="82"/>
      <c r="H77" s="82"/>
    </row>
    <row r="78" spans="1:8">
      <c r="A78" s="37"/>
      <c r="B78" s="37"/>
      <c r="C78" s="15"/>
      <c r="D78" s="82"/>
      <c r="E78" s="82"/>
      <c r="F78" s="82"/>
      <c r="G78" s="82"/>
      <c r="H78" s="82"/>
    </row>
    <row r="79" spans="1:8">
      <c r="A79" s="37"/>
      <c r="B79" s="37"/>
      <c r="C79" s="15"/>
      <c r="D79" s="82"/>
      <c r="E79" s="82"/>
      <c r="F79" s="82"/>
      <c r="G79" s="82"/>
      <c r="H79" s="82"/>
    </row>
    <row r="80" spans="1:8">
      <c r="A80" s="37"/>
      <c r="B80" s="37"/>
      <c r="C80" s="15"/>
      <c r="D80" s="82"/>
      <c r="E80" s="82"/>
      <c r="F80" s="82"/>
      <c r="G80" s="82"/>
      <c r="H80" s="82"/>
    </row>
    <row r="81" spans="1:8">
      <c r="A81" s="37"/>
      <c r="B81" s="37"/>
      <c r="C81" s="15"/>
      <c r="D81" s="82"/>
      <c r="E81" s="82"/>
      <c r="F81" s="82"/>
      <c r="G81" s="82"/>
      <c r="H81" s="82"/>
    </row>
    <row r="82" spans="1:8">
      <c r="A82" s="37"/>
      <c r="B82" s="37"/>
      <c r="C82" s="15"/>
      <c r="D82" s="82"/>
      <c r="E82" s="82"/>
      <c r="F82" s="82"/>
      <c r="G82" s="82"/>
      <c r="H82" s="82"/>
    </row>
    <row r="83" spans="1:8">
      <c r="A83" s="37"/>
      <c r="B83" s="37"/>
      <c r="C83" s="15"/>
      <c r="D83" s="82"/>
      <c r="E83" s="82"/>
      <c r="F83" s="82"/>
      <c r="G83" s="82"/>
      <c r="H83" s="82"/>
    </row>
    <row r="84" spans="1:8">
      <c r="A84" s="37"/>
      <c r="B84" s="37"/>
      <c r="C84" s="15"/>
      <c r="D84" s="82"/>
      <c r="E84" s="82"/>
      <c r="F84" s="82"/>
      <c r="G84" s="82"/>
      <c r="H84" s="82"/>
    </row>
    <row r="85" spans="1:8">
      <c r="A85" s="37"/>
      <c r="B85" s="37"/>
      <c r="C85" s="15"/>
      <c r="D85" s="82"/>
      <c r="E85" s="82"/>
      <c r="F85" s="82"/>
      <c r="G85" s="82"/>
      <c r="H85" s="82"/>
    </row>
    <row r="86" spans="1:8">
      <c r="A86" s="26"/>
      <c r="B86" s="27"/>
      <c r="C86" s="27"/>
      <c r="D86" s="27"/>
      <c r="E86" s="27"/>
      <c r="F86" s="27"/>
      <c r="G86" s="27"/>
      <c r="H86" s="27"/>
    </row>
  </sheetData>
  <mergeCells count="2">
    <mergeCell ref="D20:E20"/>
    <mergeCell ref="F20:H20"/>
  </mergeCells>
  <pageMargins left="0.7" right="0.7" top="0.75" bottom="0.75" header="0.3" footer="0.3"/>
  <pageSetup orientation="portrait" r:id="rId1"/>
  <ignoredErrors>
    <ignoredError sqref="G23" unlockedFormula="1"/>
  </ignoredError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A1:O120"/>
  <sheetViews>
    <sheetView showGridLines="0" workbookViewId="0">
      <selection activeCell="A8" sqref="A8"/>
    </sheetView>
  </sheetViews>
  <sheetFormatPr defaultColWidth="8.875" defaultRowHeight="12.75"/>
  <cols>
    <col min="1" max="1" width="60.5" style="9" customWidth="1"/>
    <col min="2" max="2" width="22" style="9" bestFit="1" customWidth="1"/>
    <col min="3" max="3" width="33" style="9" customWidth="1"/>
    <col min="4" max="8" width="13" style="9" customWidth="1"/>
    <col min="9" max="9" width="8.875" style="9"/>
    <col min="10" max="10" width="22.875" style="9" customWidth="1"/>
    <col min="11" max="11" width="14.875" style="9" bestFit="1" customWidth="1"/>
    <col min="12" max="12" width="12.625" style="9" bestFit="1" customWidth="1"/>
    <col min="13" max="13" width="12.375" style="9" bestFit="1" customWidth="1"/>
    <col min="14" max="14" width="20" style="9" bestFit="1" customWidth="1"/>
    <col min="15" max="15" width="11.875" style="9" bestFit="1" customWidth="1"/>
    <col min="16" max="16384" width="8.875" style="9"/>
  </cols>
  <sheetData>
    <row r="1" spans="1:14" s="4" customFormat="1" ht="24.75">
      <c r="A1" s="1" t="s">
        <v>283</v>
      </c>
      <c r="B1" s="2"/>
      <c r="C1" s="2"/>
      <c r="D1" s="2"/>
      <c r="E1" s="2"/>
      <c r="F1" s="3"/>
      <c r="G1" s="2"/>
      <c r="H1" s="2"/>
      <c r="I1" s="2"/>
      <c r="J1" s="2"/>
      <c r="K1" s="2"/>
      <c r="L1" s="2"/>
      <c r="M1" s="2"/>
      <c r="N1" s="2"/>
    </row>
    <row r="2" spans="1:14" s="7" customFormat="1" ht="15">
      <c r="A2" s="5" t="str">
        <f ca="1">IFERROR("Sheet: " &amp;VLOOKUP(RIGHT(CELL("filename",A1),LEN(CELL("filename",A1))-FIND("]",CELL("filename",A1))),Contents!$A$10:$B$29,2,FALSE),"Sheet name does not match Contents sheet")</f>
        <v>Sheet: Funding Adjustment and Penalty Mechanism - Example Delivery Scenarios</v>
      </c>
      <c r="B2" s="6"/>
      <c r="C2" s="6"/>
      <c r="D2" s="6"/>
      <c r="E2" s="6"/>
      <c r="F2" s="5"/>
      <c r="G2" s="6"/>
      <c r="H2" s="6"/>
      <c r="I2" s="6"/>
      <c r="J2" s="6"/>
      <c r="K2" s="6"/>
      <c r="L2" s="6"/>
      <c r="M2" s="6"/>
      <c r="N2" s="6"/>
    </row>
    <row r="3" spans="1:14" s="7" customFormat="1" ht="15">
      <c r="A3" s="5"/>
      <c r="B3" s="6"/>
      <c r="C3" s="6"/>
      <c r="D3" s="6"/>
      <c r="E3" s="6"/>
      <c r="F3" s="6"/>
      <c r="G3" s="6"/>
      <c r="H3" s="6"/>
      <c r="I3" s="6"/>
      <c r="J3" s="6"/>
      <c r="K3" s="6"/>
      <c r="L3" s="6"/>
      <c r="M3" s="6"/>
      <c r="N3" s="6"/>
    </row>
    <row r="4" spans="1:14" s="7" customFormat="1" ht="15">
      <c r="A4" s="5"/>
      <c r="B4" s="6"/>
      <c r="C4" s="6"/>
      <c r="D4" s="6"/>
      <c r="E4" s="6"/>
      <c r="F4" s="6"/>
      <c r="G4" s="6"/>
      <c r="H4" s="6"/>
      <c r="I4" s="6"/>
      <c r="J4" s="6"/>
      <c r="K4" s="6"/>
      <c r="L4" s="6"/>
      <c r="M4" s="6"/>
      <c r="N4" s="6"/>
    </row>
    <row r="5" spans="1:14" s="7" customFormat="1" ht="15">
      <c r="A5" s="5"/>
      <c r="B5" s="6"/>
      <c r="C5" s="6"/>
      <c r="D5" s="6"/>
      <c r="E5" s="6"/>
      <c r="F5" s="6"/>
      <c r="G5" s="6"/>
      <c r="H5" s="6"/>
      <c r="I5" s="6"/>
      <c r="J5" s="6"/>
      <c r="K5" s="6"/>
      <c r="L5" s="6"/>
      <c r="M5" s="6"/>
      <c r="N5" s="6"/>
    </row>
    <row r="6" spans="1:14" s="7" customFormat="1" ht="15">
      <c r="A6" s="5"/>
      <c r="B6" s="6"/>
      <c r="C6" s="6"/>
      <c r="D6" s="6"/>
      <c r="E6" s="6"/>
      <c r="F6" s="6"/>
      <c r="G6" s="6"/>
      <c r="H6" s="6"/>
      <c r="I6" s="6"/>
      <c r="J6" s="6"/>
      <c r="K6" s="6"/>
      <c r="L6" s="6"/>
      <c r="M6" s="6"/>
      <c r="N6" s="6"/>
    </row>
    <row r="8" spans="1:14" ht="19.5">
      <c r="A8" s="8" t="str">
        <f ca="1">IFERROR(VLOOKUP(RIGHT(CELL("filename",A1),LEN(CELL("filename",A1))-FIND("]",CELL("filename",A1))),Contents!$A$10:$B$29,2,FALSE), "Sheet name does not match Contents sheet")</f>
        <v>Funding Adjustment and Penalty Mechanism - Example Delivery Scenarios</v>
      </c>
    </row>
    <row r="9" spans="1:14" ht="19.5">
      <c r="A9" s="8"/>
    </row>
    <row r="10" spans="1:14">
      <c r="A10" s="62" t="s">
        <v>246</v>
      </c>
      <c r="D10" s="12" t="s">
        <v>313</v>
      </c>
    </row>
    <row r="11" spans="1:14">
      <c r="A11" s="15" t="str">
        <f>IFERROR(VLOOKUP(C18,$J$34:$K$45,2,FALSE),"NOT VALID SCENARIO")</f>
        <v>02-OS.OD.JU.IN</v>
      </c>
    </row>
    <row r="12" spans="1:14" ht="19.5">
      <c r="A12" s="8"/>
    </row>
    <row r="13" spans="1:14">
      <c r="A13" s="62" t="s">
        <v>316</v>
      </c>
      <c r="B13" s="62" t="s">
        <v>317</v>
      </c>
    </row>
    <row r="14" spans="1:14">
      <c r="A14" s="15" t="s">
        <v>285</v>
      </c>
      <c r="B14" s="37" t="s">
        <v>245</v>
      </c>
      <c r="C14" s="15" t="str">
        <f>VLOOKUP(B14,$J$22:$K$30,2,FALSE)</f>
        <v>OS</v>
      </c>
    </row>
    <row r="15" spans="1:14">
      <c r="A15" s="15" t="s">
        <v>286</v>
      </c>
      <c r="B15" s="37" t="s">
        <v>241</v>
      </c>
      <c r="C15" s="15" t="str">
        <f>VLOOKUP(B15,$J$22:$K$30,2,FALSE)</f>
        <v>OD</v>
      </c>
    </row>
    <row r="16" spans="1:14">
      <c r="A16" s="15" t="s">
        <v>287</v>
      </c>
      <c r="B16" s="37" t="s">
        <v>237</v>
      </c>
      <c r="C16" s="15" t="str">
        <f>VLOOKUP(B16,$J$22:$K$30,2,FALSE)</f>
        <v>JU</v>
      </c>
    </row>
    <row r="17" spans="1:15">
      <c r="A17" s="15" t="s">
        <v>314</v>
      </c>
      <c r="B17" s="37" t="s">
        <v>231</v>
      </c>
      <c r="C17" s="15" t="str">
        <f>VLOOKUP(B17,$J$22:$K$30,2,FALSE)</f>
        <v>IN</v>
      </c>
    </row>
    <row r="18" spans="1:15">
      <c r="B18" s="15" t="s">
        <v>315</v>
      </c>
      <c r="C18" s="15" t="str">
        <f>C14&amp;"."&amp;C15&amp;"."&amp;C16&amp;"."&amp;C17</f>
        <v>OS.OD.JU.IN</v>
      </c>
    </row>
    <row r="19" spans="1:15" ht="19.5">
      <c r="A19" s="8"/>
    </row>
    <row r="20" spans="1:15" s="12" customFormat="1">
      <c r="A20" s="10" t="s">
        <v>0</v>
      </c>
      <c r="B20" s="11"/>
      <c r="C20" s="11"/>
      <c r="D20" s="11"/>
      <c r="E20" s="11"/>
      <c r="F20" s="11"/>
      <c r="G20" s="11"/>
      <c r="H20" s="11"/>
      <c r="J20" s="63" t="s">
        <v>248</v>
      </c>
      <c r="K20" s="63"/>
      <c r="L20" s="63"/>
      <c r="M20" s="63"/>
      <c r="N20" s="63"/>
      <c r="O20" s="63"/>
    </row>
    <row r="21" spans="1:15">
      <c r="J21"/>
      <c r="K21"/>
      <c r="L21"/>
      <c r="M21"/>
      <c r="N21"/>
    </row>
    <row r="22" spans="1:15">
      <c r="A22" s="13" t="s">
        <v>1</v>
      </c>
      <c r="D22" s="14" t="s">
        <v>2</v>
      </c>
      <c r="E22" s="14" t="s">
        <v>3</v>
      </c>
      <c r="F22" s="14" t="s">
        <v>4</v>
      </c>
      <c r="J22" s="62" t="s">
        <v>247</v>
      </c>
      <c r="K22" s="62" t="s">
        <v>3</v>
      </c>
      <c r="M22"/>
    </row>
    <row r="23" spans="1:15">
      <c r="A23" s="15" t="s">
        <v>5</v>
      </c>
      <c r="D23" s="16" t="s">
        <v>6</v>
      </c>
      <c r="E23" s="16"/>
      <c r="F23" s="17" t="s">
        <v>266</v>
      </c>
      <c r="J23" s="58" t="s">
        <v>245</v>
      </c>
      <c r="K23" s="58" t="s">
        <v>244</v>
      </c>
      <c r="M23"/>
    </row>
    <row r="24" spans="1:15">
      <c r="A24" s="15" t="s">
        <v>7</v>
      </c>
      <c r="D24" s="16" t="s">
        <v>8</v>
      </c>
      <c r="E24" s="16" t="s">
        <v>9</v>
      </c>
      <c r="F24" s="18">
        <v>0.05</v>
      </c>
      <c r="J24" s="58" t="s">
        <v>243</v>
      </c>
      <c r="K24" s="58" t="s">
        <v>242</v>
      </c>
      <c r="M24"/>
      <c r="N24"/>
    </row>
    <row r="25" spans="1:15">
      <c r="A25" s="15" t="s">
        <v>10</v>
      </c>
      <c r="D25" s="16" t="s">
        <v>11</v>
      </c>
      <c r="E25" s="16" t="s">
        <v>12</v>
      </c>
      <c r="F25" s="19">
        <v>1</v>
      </c>
      <c r="G25" s="9" t="s">
        <v>13</v>
      </c>
      <c r="J25" s="58" t="s">
        <v>241</v>
      </c>
      <c r="K25" s="58" t="s">
        <v>240</v>
      </c>
      <c r="M25"/>
      <c r="N25"/>
    </row>
    <row r="26" spans="1:15">
      <c r="A26" s="15" t="s">
        <v>14</v>
      </c>
      <c r="D26" s="16" t="s">
        <v>8</v>
      </c>
      <c r="E26" s="16" t="s">
        <v>15</v>
      </c>
      <c r="F26" s="18">
        <v>2.5000000000000001E-2</v>
      </c>
      <c r="J26" s="58" t="s">
        <v>239</v>
      </c>
      <c r="K26" s="58" t="s">
        <v>238</v>
      </c>
      <c r="M26"/>
      <c r="N26"/>
    </row>
    <row r="27" spans="1:15">
      <c r="J27" s="58" t="s">
        <v>237</v>
      </c>
      <c r="K27" s="58" t="s">
        <v>236</v>
      </c>
      <c r="M27"/>
      <c r="N27"/>
    </row>
    <row r="28" spans="1:15" s="12" customFormat="1">
      <c r="A28" s="10" t="s">
        <v>16</v>
      </c>
      <c r="B28" s="11"/>
      <c r="C28" s="11"/>
      <c r="D28" s="11"/>
      <c r="E28" s="11"/>
      <c r="F28" s="11"/>
      <c r="G28" s="11"/>
      <c r="H28" s="11"/>
      <c r="J28" s="58" t="s">
        <v>235</v>
      </c>
      <c r="K28" s="58" t="s">
        <v>234</v>
      </c>
      <c r="M28"/>
      <c r="N28"/>
    </row>
    <row r="29" spans="1:15">
      <c r="J29" s="58" t="s">
        <v>233</v>
      </c>
      <c r="K29" s="58" t="s">
        <v>232</v>
      </c>
      <c r="M29"/>
      <c r="N29"/>
    </row>
    <row r="30" spans="1:15" s="12" customFormat="1">
      <c r="A30" s="20" t="s">
        <v>434</v>
      </c>
      <c r="B30" s="21"/>
      <c r="C30" s="21"/>
      <c r="D30" s="21"/>
      <c r="E30" s="21"/>
      <c r="F30" s="21"/>
      <c r="G30" s="21"/>
      <c r="H30" s="21"/>
      <c r="J30" s="58" t="s">
        <v>231</v>
      </c>
      <c r="K30" s="58" t="s">
        <v>230</v>
      </c>
      <c r="M30"/>
      <c r="N30"/>
    </row>
    <row r="31" spans="1:15">
      <c r="J31"/>
      <c r="K31"/>
      <c r="L31"/>
      <c r="M31"/>
      <c r="N31"/>
    </row>
    <row r="32" spans="1:15">
      <c r="E32" s="22" t="s">
        <v>17</v>
      </c>
      <c r="F32" s="22"/>
      <c r="G32" s="22"/>
      <c r="H32" s="22"/>
      <c r="J32" s="62"/>
      <c r="K32" s="62" t="s">
        <v>229</v>
      </c>
      <c r="L32" s="62" t="s">
        <v>189</v>
      </c>
      <c r="M32" s="62" t="s">
        <v>190</v>
      </c>
      <c r="N32" s="62" t="s">
        <v>78</v>
      </c>
    </row>
    <row r="33" spans="1:14">
      <c r="A33" s="13" t="s">
        <v>435</v>
      </c>
      <c r="B33" s="13" t="s">
        <v>3</v>
      </c>
      <c r="C33" s="13" t="s">
        <v>18</v>
      </c>
      <c r="D33" s="13" t="s">
        <v>2</v>
      </c>
      <c r="E33" s="23" t="s">
        <v>19</v>
      </c>
      <c r="F33" s="23" t="s">
        <v>20</v>
      </c>
      <c r="G33" s="23" t="s">
        <v>21</v>
      </c>
      <c r="H33" s="23" t="s">
        <v>22</v>
      </c>
      <c r="J33" s="15"/>
      <c r="K33" s="15"/>
      <c r="L33" s="15" t="s">
        <v>83</v>
      </c>
      <c r="M33" s="15" t="s">
        <v>228</v>
      </c>
      <c r="N33" s="15" t="s">
        <v>227</v>
      </c>
    </row>
    <row r="34" spans="1:14">
      <c r="A34" s="15" t="s">
        <v>427</v>
      </c>
      <c r="B34" s="15" t="s">
        <v>342</v>
      </c>
      <c r="C34" s="15"/>
      <c r="D34" s="15" t="s">
        <v>23</v>
      </c>
      <c r="E34" s="24">
        <v>100</v>
      </c>
      <c r="F34" s="24"/>
      <c r="G34" s="24"/>
      <c r="H34" s="24"/>
      <c r="J34" s="61" t="str">
        <f t="shared" ref="J34:J45" si="0">RIGHT(K34,11)</f>
        <v>OS.OD.JU.DE</v>
      </c>
      <c r="K34" s="61" t="s">
        <v>226</v>
      </c>
      <c r="L34" s="60">
        <v>110</v>
      </c>
      <c r="M34" s="60">
        <v>120</v>
      </c>
      <c r="N34" s="59">
        <v>1</v>
      </c>
    </row>
    <row r="35" spans="1:14">
      <c r="A35" s="15" t="s">
        <v>439</v>
      </c>
      <c r="B35" s="15" t="s">
        <v>343</v>
      </c>
      <c r="C35" s="15"/>
      <c r="D35" s="15" t="s">
        <v>24</v>
      </c>
      <c r="E35" s="24">
        <v>100</v>
      </c>
      <c r="F35" s="24"/>
      <c r="G35" s="24"/>
      <c r="H35" s="24"/>
      <c r="J35" s="61" t="str">
        <f t="shared" si="0"/>
        <v>OS.OD.JU.IN</v>
      </c>
      <c r="K35" s="58" t="s">
        <v>225</v>
      </c>
      <c r="L35" s="57">
        <v>120</v>
      </c>
      <c r="M35" s="57">
        <v>110</v>
      </c>
      <c r="N35" s="56">
        <v>1</v>
      </c>
    </row>
    <row r="36" spans="1:14">
      <c r="A36" s="15" t="s">
        <v>429</v>
      </c>
      <c r="B36" s="15" t="s">
        <v>344</v>
      </c>
      <c r="C36" s="15" t="s">
        <v>345</v>
      </c>
      <c r="D36" s="15" t="s">
        <v>25</v>
      </c>
      <c r="E36" s="25">
        <f>E34/E35</f>
        <v>1</v>
      </c>
      <c r="J36" s="61" t="str">
        <f t="shared" si="0"/>
        <v>OS.OD.UN.DE</v>
      </c>
      <c r="K36" s="58" t="s">
        <v>224</v>
      </c>
      <c r="L36" s="57">
        <v>110</v>
      </c>
      <c r="M36" s="57">
        <v>120</v>
      </c>
      <c r="N36" s="56">
        <v>0</v>
      </c>
    </row>
    <row r="37" spans="1:14">
      <c r="J37" s="61" t="str">
        <f t="shared" si="0"/>
        <v>OS.OD.UN.IN</v>
      </c>
      <c r="K37" s="58" t="s">
        <v>223</v>
      </c>
      <c r="L37" s="57">
        <v>120</v>
      </c>
      <c r="M37" s="57">
        <v>110</v>
      </c>
      <c r="N37" s="56">
        <v>0</v>
      </c>
    </row>
    <row r="38" spans="1:14" s="12" customFormat="1">
      <c r="A38" s="20" t="s">
        <v>26</v>
      </c>
      <c r="B38" s="21"/>
      <c r="C38" s="21"/>
      <c r="D38" s="21"/>
      <c r="E38" s="21"/>
      <c r="F38" s="21"/>
      <c r="G38" s="21"/>
      <c r="H38" s="21"/>
      <c r="J38" s="61" t="str">
        <f t="shared" si="0"/>
        <v>OS.UD.JU.IN</v>
      </c>
      <c r="K38" s="58" t="s">
        <v>222</v>
      </c>
      <c r="L38" s="57">
        <v>120</v>
      </c>
      <c r="M38" s="57">
        <v>80</v>
      </c>
      <c r="N38" s="56">
        <v>1</v>
      </c>
    </row>
    <row r="39" spans="1:14">
      <c r="J39" s="61" t="str">
        <f t="shared" si="0"/>
        <v>OS.UD.UN.IN</v>
      </c>
      <c r="K39" s="58" t="s">
        <v>221</v>
      </c>
      <c r="L39" s="57">
        <v>120</v>
      </c>
      <c r="M39" s="57">
        <v>80</v>
      </c>
      <c r="N39" s="56">
        <v>0</v>
      </c>
    </row>
    <row r="40" spans="1:14">
      <c r="A40" s="13" t="s">
        <v>27</v>
      </c>
      <c r="B40" s="13" t="s">
        <v>3</v>
      </c>
      <c r="C40" s="13" t="s">
        <v>18</v>
      </c>
      <c r="D40" s="13" t="s">
        <v>2</v>
      </c>
      <c r="E40" s="23" t="s">
        <v>19</v>
      </c>
      <c r="F40" s="23" t="s">
        <v>20</v>
      </c>
      <c r="G40" s="23" t="s">
        <v>21</v>
      </c>
      <c r="H40" s="23" t="s">
        <v>22</v>
      </c>
      <c r="J40" s="61" t="str">
        <f t="shared" si="0"/>
        <v>US.UD.JU.DE</v>
      </c>
      <c r="K40" s="58" t="s">
        <v>220</v>
      </c>
      <c r="L40" s="57">
        <v>80</v>
      </c>
      <c r="M40" s="57">
        <v>90</v>
      </c>
      <c r="N40" s="56">
        <v>1</v>
      </c>
    </row>
    <row r="41" spans="1:14">
      <c r="A41" s="15" t="s">
        <v>28</v>
      </c>
      <c r="B41" s="15" t="s">
        <v>29</v>
      </c>
      <c r="C41" s="15"/>
      <c r="D41" s="15" t="s">
        <v>23</v>
      </c>
      <c r="E41" s="24">
        <f>VLOOKUP($A$11,$K$34:$N$45,2,0)</f>
        <v>120</v>
      </c>
      <c r="F41" s="24"/>
      <c r="G41" s="24"/>
      <c r="H41" s="24"/>
      <c r="J41" s="61" t="str">
        <f t="shared" si="0"/>
        <v>US.UD.JU.IN</v>
      </c>
      <c r="K41" s="58" t="s">
        <v>219</v>
      </c>
      <c r="L41" s="57">
        <v>90</v>
      </c>
      <c r="M41" s="57">
        <v>80</v>
      </c>
      <c r="N41" s="56">
        <v>1</v>
      </c>
    </row>
    <row r="42" spans="1:14">
      <c r="A42" s="15" t="s">
        <v>30</v>
      </c>
      <c r="B42" s="15" t="s">
        <v>31</v>
      </c>
      <c r="C42" s="15"/>
      <c r="D42" s="15" t="s">
        <v>24</v>
      </c>
      <c r="E42" s="24">
        <f>VLOOKUP($A$11,$K$34:$N$45,3,0)</f>
        <v>110</v>
      </c>
      <c r="F42" s="24"/>
      <c r="G42" s="24"/>
      <c r="H42" s="24"/>
      <c r="J42" s="61" t="str">
        <f t="shared" si="0"/>
        <v>US.UD.UN.DE</v>
      </c>
      <c r="K42" s="58" t="s">
        <v>218</v>
      </c>
      <c r="L42" s="57">
        <v>80</v>
      </c>
      <c r="M42" s="57">
        <v>90</v>
      </c>
      <c r="N42" s="56">
        <v>0</v>
      </c>
    </row>
    <row r="43" spans="1:14">
      <c r="A43" s="15" t="s">
        <v>32</v>
      </c>
      <c r="B43" s="15" t="s">
        <v>33</v>
      </c>
      <c r="C43" s="15" t="s">
        <v>34</v>
      </c>
      <c r="D43" s="15" t="s">
        <v>25</v>
      </c>
      <c r="E43" s="25">
        <f>E41/E42</f>
        <v>1.0909090909090908</v>
      </c>
      <c r="J43" s="61" t="str">
        <f t="shared" si="0"/>
        <v>US.UD.UN.IN</v>
      </c>
      <c r="K43" s="58" t="s">
        <v>217</v>
      </c>
      <c r="L43" s="57">
        <v>90</v>
      </c>
      <c r="M43" s="57">
        <v>80</v>
      </c>
      <c r="N43" s="56">
        <v>0</v>
      </c>
    </row>
    <row r="44" spans="1:14">
      <c r="J44" s="61" t="str">
        <f t="shared" si="0"/>
        <v>US.OD.JU.DE</v>
      </c>
      <c r="K44" s="58" t="s">
        <v>216</v>
      </c>
      <c r="L44" s="57">
        <v>80</v>
      </c>
      <c r="M44" s="57">
        <v>120</v>
      </c>
      <c r="N44" s="56">
        <v>1</v>
      </c>
    </row>
    <row r="45" spans="1:14" s="12" customFormat="1">
      <c r="A45" s="20" t="s">
        <v>35</v>
      </c>
      <c r="B45" s="21"/>
      <c r="C45" s="21"/>
      <c r="D45" s="21"/>
      <c r="E45" s="21"/>
      <c r="F45" s="21"/>
      <c r="G45" s="21"/>
      <c r="H45" s="21"/>
      <c r="J45" s="61" t="str">
        <f t="shared" si="0"/>
        <v>US.OD.UN.DE</v>
      </c>
      <c r="K45" s="58" t="s">
        <v>215</v>
      </c>
      <c r="L45" s="57">
        <v>80</v>
      </c>
      <c r="M45" s="57">
        <v>120</v>
      </c>
      <c r="N45" s="56">
        <v>0</v>
      </c>
    </row>
    <row r="47" spans="1:14" s="12" customFormat="1">
      <c r="A47" s="26" t="s">
        <v>36</v>
      </c>
      <c r="B47" s="27"/>
      <c r="C47" s="27"/>
      <c r="D47" s="27"/>
      <c r="E47" s="27"/>
      <c r="F47" s="27"/>
      <c r="G47" s="27"/>
      <c r="H47" s="27"/>
    </row>
    <row r="48" spans="1:14">
      <c r="A48" s="13" t="s">
        <v>37</v>
      </c>
      <c r="B48" s="13" t="s">
        <v>3</v>
      </c>
      <c r="C48" s="13" t="s">
        <v>18</v>
      </c>
      <c r="D48" s="13" t="s">
        <v>2</v>
      </c>
      <c r="E48" s="23" t="s">
        <v>19</v>
      </c>
      <c r="F48" s="23" t="s">
        <v>20</v>
      </c>
      <c r="G48" s="23" t="s">
        <v>21</v>
      </c>
      <c r="H48" s="23" t="s">
        <v>22</v>
      </c>
    </row>
    <row r="49" spans="1:8">
      <c r="A49" s="15" t="s">
        <v>38</v>
      </c>
      <c r="B49" s="15" t="s">
        <v>39</v>
      </c>
      <c r="C49" s="15"/>
      <c r="D49" s="15" t="s">
        <v>24</v>
      </c>
      <c r="E49" s="28">
        <v>0</v>
      </c>
      <c r="F49" s="28"/>
      <c r="G49" s="28"/>
      <c r="H49" s="28"/>
    </row>
    <row r="51" spans="1:8">
      <c r="A51" s="13" t="s">
        <v>40</v>
      </c>
      <c r="B51" s="13" t="s">
        <v>3</v>
      </c>
      <c r="C51" s="13" t="s">
        <v>18</v>
      </c>
      <c r="D51" s="13" t="s">
        <v>2</v>
      </c>
      <c r="E51" s="23" t="s">
        <v>19</v>
      </c>
      <c r="F51" s="23" t="s">
        <v>20</v>
      </c>
      <c r="G51" s="23" t="s">
        <v>21</v>
      </c>
      <c r="H51" s="23" t="s">
        <v>22</v>
      </c>
    </row>
    <row r="52" spans="1:8">
      <c r="A52" s="15" t="s">
        <v>41</v>
      </c>
      <c r="B52" s="15" t="s">
        <v>42</v>
      </c>
      <c r="C52" s="15" t="s">
        <v>43</v>
      </c>
      <c r="D52" s="15" t="s">
        <v>24</v>
      </c>
      <c r="E52" s="29">
        <f>E42+E49</f>
        <v>110</v>
      </c>
      <c r="F52" s="29">
        <f>F42+F49</f>
        <v>0</v>
      </c>
      <c r="G52" s="29">
        <f>G42+G49</f>
        <v>0</v>
      </c>
      <c r="H52" s="29">
        <f>H42+H49</f>
        <v>0</v>
      </c>
    </row>
    <row r="53" spans="1:8">
      <c r="A53" s="15" t="s">
        <v>44</v>
      </c>
      <c r="B53" s="15" t="s">
        <v>45</v>
      </c>
      <c r="C53" s="15" t="s">
        <v>46</v>
      </c>
      <c r="D53" s="15" t="s">
        <v>25</v>
      </c>
      <c r="E53" s="25">
        <f>E41/E52</f>
        <v>1.0909090909090908</v>
      </c>
    </row>
    <row r="54" spans="1:8">
      <c r="E54" s="41"/>
    </row>
    <row r="55" spans="1:8" s="12" customFormat="1">
      <c r="A55" s="26" t="s">
        <v>47</v>
      </c>
      <c r="B55" s="27"/>
      <c r="C55" s="27"/>
      <c r="D55" s="27"/>
      <c r="E55" s="27"/>
      <c r="F55" s="27"/>
      <c r="G55" s="27"/>
      <c r="H55" s="27"/>
    </row>
    <row r="56" spans="1:8">
      <c r="A56" s="12" t="s">
        <v>48</v>
      </c>
      <c r="B56" s="13" t="s">
        <v>3</v>
      </c>
      <c r="C56" s="13" t="s">
        <v>18</v>
      </c>
      <c r="D56" s="13" t="s">
        <v>2</v>
      </c>
      <c r="E56" s="23" t="s">
        <v>19</v>
      </c>
    </row>
    <row r="57" spans="1:8">
      <c r="A57" s="15" t="s">
        <v>49</v>
      </c>
      <c r="B57" s="15" t="s">
        <v>50</v>
      </c>
      <c r="C57" s="15"/>
      <c r="D57" s="15" t="s">
        <v>24</v>
      </c>
      <c r="E57" s="28">
        <v>0</v>
      </c>
    </row>
    <row r="58" spans="1:8">
      <c r="A58" s="15" t="s">
        <v>451</v>
      </c>
      <c r="B58" s="15" t="s">
        <v>465</v>
      </c>
      <c r="C58" s="15"/>
      <c r="D58" s="15" t="s">
        <v>23</v>
      </c>
      <c r="E58" s="28">
        <v>0</v>
      </c>
    </row>
    <row r="59" spans="1:8">
      <c r="A59" s="15" t="s">
        <v>51</v>
      </c>
      <c r="B59" s="15" t="s">
        <v>52</v>
      </c>
      <c r="C59" s="15"/>
      <c r="D59" s="15" t="s">
        <v>23</v>
      </c>
      <c r="E59" s="28">
        <v>0</v>
      </c>
    </row>
    <row r="60" spans="1:8">
      <c r="A60" s="35"/>
      <c r="B60" s="35"/>
      <c r="C60" s="35"/>
      <c r="D60" s="35"/>
      <c r="E60" s="35"/>
    </row>
    <row r="61" spans="1:8">
      <c r="A61" s="13" t="s">
        <v>53</v>
      </c>
      <c r="B61" s="13" t="s">
        <v>3</v>
      </c>
      <c r="C61" s="13" t="s">
        <v>18</v>
      </c>
      <c r="D61" s="13" t="s">
        <v>2</v>
      </c>
      <c r="E61" s="23" t="s">
        <v>19</v>
      </c>
    </row>
    <row r="62" spans="1:8">
      <c r="A62" s="15" t="s">
        <v>54</v>
      </c>
      <c r="B62" s="15" t="s">
        <v>55</v>
      </c>
      <c r="C62" s="15" t="s">
        <v>56</v>
      </c>
      <c r="D62" s="15" t="s">
        <v>24</v>
      </c>
      <c r="E62" s="29">
        <f>E52-E57</f>
        <v>110</v>
      </c>
    </row>
    <row r="63" spans="1:8">
      <c r="A63" s="15" t="s">
        <v>214</v>
      </c>
      <c r="B63" s="15" t="s">
        <v>57</v>
      </c>
      <c r="C63" s="15" t="s">
        <v>58</v>
      </c>
      <c r="D63" s="15" t="s">
        <v>23</v>
      </c>
      <c r="E63" s="29">
        <f>E41-E58+E59</f>
        <v>120</v>
      </c>
    </row>
    <row r="64" spans="1:8">
      <c r="A64" s="15" t="s">
        <v>59</v>
      </c>
      <c r="B64" s="15" t="s">
        <v>60</v>
      </c>
      <c r="C64" s="15" t="s">
        <v>61</v>
      </c>
      <c r="D64" s="15" t="s">
        <v>25</v>
      </c>
      <c r="E64" s="29">
        <f>E63/E62</f>
        <v>1.0909090909090908</v>
      </c>
    </row>
    <row r="65" spans="1:8">
      <c r="A65" s="35"/>
      <c r="B65" s="35"/>
      <c r="C65" s="35"/>
      <c r="D65" s="35"/>
      <c r="E65" s="35"/>
    </row>
    <row r="66" spans="1:8">
      <c r="A66" s="13" t="s">
        <v>430</v>
      </c>
      <c r="B66" s="42" t="s">
        <v>3</v>
      </c>
      <c r="C66" s="42" t="s">
        <v>18</v>
      </c>
      <c r="D66" s="42" t="s">
        <v>2</v>
      </c>
      <c r="E66" s="43" t="s">
        <v>19</v>
      </c>
    </row>
    <row r="67" spans="1:8">
      <c r="A67" s="15" t="s">
        <v>431</v>
      </c>
      <c r="B67" s="15" t="s">
        <v>346</v>
      </c>
      <c r="C67" s="15" t="s">
        <v>347</v>
      </c>
      <c r="D67" s="15" t="s">
        <v>24</v>
      </c>
      <c r="E67" s="29">
        <f>E35-E57</f>
        <v>100</v>
      </c>
    </row>
    <row r="68" spans="1:8">
      <c r="A68" s="15" t="s">
        <v>432</v>
      </c>
      <c r="B68" s="15" t="s">
        <v>348</v>
      </c>
      <c r="C68" s="15" t="s">
        <v>466</v>
      </c>
      <c r="D68" s="15" t="s">
        <v>23</v>
      </c>
      <c r="E68" s="29">
        <f>E34-E58</f>
        <v>100</v>
      </c>
    </row>
    <row r="69" spans="1:8">
      <c r="A69" s="15" t="s">
        <v>433</v>
      </c>
      <c r="B69" s="15" t="s">
        <v>349</v>
      </c>
      <c r="C69" s="15" t="s">
        <v>350</v>
      </c>
      <c r="D69" s="15" t="s">
        <v>25</v>
      </c>
      <c r="E69" s="29">
        <f>E68/E67</f>
        <v>1</v>
      </c>
    </row>
    <row r="70" spans="1:8">
      <c r="E70" s="41"/>
    </row>
    <row r="71" spans="1:8" s="12" customFormat="1">
      <c r="A71" s="26" t="s">
        <v>62</v>
      </c>
      <c r="B71" s="26"/>
      <c r="C71" s="26"/>
      <c r="D71" s="26"/>
      <c r="E71" s="26"/>
      <c r="F71" s="26"/>
      <c r="G71" s="26"/>
      <c r="H71" s="26"/>
    </row>
    <row r="73" spans="1:8">
      <c r="A73" s="13" t="s">
        <v>63</v>
      </c>
      <c r="B73" s="13" t="s">
        <v>3</v>
      </c>
      <c r="C73" s="13" t="s">
        <v>18</v>
      </c>
      <c r="D73" s="13" t="s">
        <v>2</v>
      </c>
      <c r="E73" s="23" t="s">
        <v>4</v>
      </c>
    </row>
    <row r="74" spans="1:8">
      <c r="A74" s="15" t="s">
        <v>64</v>
      </c>
      <c r="B74" s="15" t="s">
        <v>65</v>
      </c>
      <c r="C74" s="15" t="s">
        <v>66</v>
      </c>
      <c r="D74" s="15" t="s">
        <v>25</v>
      </c>
      <c r="E74" s="25">
        <f>IF(F25=0, E69 - (E69 - E64) * F24, MIN(E69,E69 - (E69 - E64) * F24))</f>
        <v>1</v>
      </c>
      <c r="F74" s="30"/>
      <c r="G74" s="30"/>
    </row>
    <row r="75" spans="1:8">
      <c r="A75" s="30"/>
    </row>
    <row r="77" spans="1:8">
      <c r="A77" s="13" t="s">
        <v>67</v>
      </c>
      <c r="B77" s="13" t="s">
        <v>3</v>
      </c>
      <c r="C77" s="13" t="s">
        <v>18</v>
      </c>
      <c r="D77" s="13" t="s">
        <v>2</v>
      </c>
      <c r="E77" s="23" t="s">
        <v>4</v>
      </c>
    </row>
    <row r="78" spans="1:8">
      <c r="A78" s="15" t="s">
        <v>68</v>
      </c>
      <c r="B78" s="15" t="s">
        <v>69</v>
      </c>
      <c r="C78" s="15" t="s">
        <v>351</v>
      </c>
      <c r="D78" s="15" t="s">
        <v>24</v>
      </c>
      <c r="E78" s="25">
        <f>E52-E35</f>
        <v>10</v>
      </c>
    </row>
    <row r="79" spans="1:8">
      <c r="A79" s="15" t="s">
        <v>70</v>
      </c>
      <c r="B79" s="15" t="s">
        <v>71</v>
      </c>
      <c r="C79" s="15"/>
      <c r="D79" s="15" t="s">
        <v>6</v>
      </c>
      <c r="E79" s="25" t="str">
        <f>IF($E$78&gt;0,"Over-Delivery",IF($E$78&lt;0,"Under-Delivery","Baseline"))</f>
        <v>Over-Delivery</v>
      </c>
    </row>
    <row r="80" spans="1:8">
      <c r="A80" s="15" t="s">
        <v>441</v>
      </c>
      <c r="B80" s="15" t="s">
        <v>442</v>
      </c>
      <c r="C80" s="15"/>
      <c r="D80" s="15" t="s">
        <v>72</v>
      </c>
      <c r="E80" s="31">
        <f>IF(E78=0,1,0)</f>
        <v>0</v>
      </c>
    </row>
    <row r="81" spans="1:8">
      <c r="A81" s="15" t="s">
        <v>73</v>
      </c>
      <c r="B81" s="15" t="s">
        <v>74</v>
      </c>
      <c r="C81" s="15"/>
      <c r="D81" s="15" t="s">
        <v>72</v>
      </c>
      <c r="E81" s="31">
        <f>IF(E78&gt;0,1,0)</f>
        <v>1</v>
      </c>
    </row>
    <row r="82" spans="1:8">
      <c r="A82" s="15" t="s">
        <v>75</v>
      </c>
      <c r="B82" s="15" t="s">
        <v>76</v>
      </c>
      <c r="C82" s="15"/>
      <c r="D82" s="15" t="s">
        <v>72</v>
      </c>
      <c r="E82" s="31">
        <f>IF(E78&lt;0,1,0)</f>
        <v>0</v>
      </c>
    </row>
    <row r="84" spans="1:8">
      <c r="A84" s="13" t="s">
        <v>77</v>
      </c>
      <c r="B84" s="13" t="s">
        <v>3</v>
      </c>
      <c r="C84" s="13" t="s">
        <v>18</v>
      </c>
      <c r="D84" s="13" t="s">
        <v>2</v>
      </c>
      <c r="E84" s="23" t="s">
        <v>4</v>
      </c>
    </row>
    <row r="85" spans="1:8">
      <c r="A85" s="15" t="s">
        <v>78</v>
      </c>
      <c r="B85" s="15" t="s">
        <v>79</v>
      </c>
      <c r="C85" s="15"/>
      <c r="D85" s="15" t="s">
        <v>8</v>
      </c>
      <c r="E85" s="32">
        <f>VLOOKUP($A$11,$K$34:$N$45,4,0)</f>
        <v>1</v>
      </c>
    </row>
    <row r="87" spans="1:8">
      <c r="A87" s="13" t="s">
        <v>80</v>
      </c>
      <c r="B87" s="13" t="s">
        <v>3</v>
      </c>
      <c r="C87" s="13" t="s">
        <v>18</v>
      </c>
      <c r="D87" s="13" t="s">
        <v>2</v>
      </c>
      <c r="E87" s="23" t="s">
        <v>4</v>
      </c>
    </row>
    <row r="88" spans="1:8">
      <c r="A88" s="33" t="s">
        <v>440</v>
      </c>
      <c r="B88" s="15" t="s">
        <v>81</v>
      </c>
      <c r="C88" s="15" t="s">
        <v>82</v>
      </c>
      <c r="D88" s="15" t="s">
        <v>83</v>
      </c>
      <c r="E88" s="29">
        <f>$E$62 * $E$74 * $E$80</f>
        <v>0</v>
      </c>
    </row>
    <row r="89" spans="1:8">
      <c r="A89" s="33" t="s">
        <v>84</v>
      </c>
      <c r="B89" s="15" t="s">
        <v>85</v>
      </c>
      <c r="C89" s="15" t="s">
        <v>352</v>
      </c>
      <c r="D89" s="15" t="s">
        <v>83</v>
      </c>
      <c r="E89" s="29">
        <f>$E$67* $E$74 * (1 - $E$85)  * $E$81</f>
        <v>0</v>
      </c>
      <c r="F89" s="30"/>
      <c r="G89" s="30"/>
    </row>
    <row r="90" spans="1:8">
      <c r="A90" s="33" t="s">
        <v>86</v>
      </c>
      <c r="B90" s="15" t="s">
        <v>87</v>
      </c>
      <c r="C90" s="15" t="s">
        <v>88</v>
      </c>
      <c r="D90" s="15" t="s">
        <v>83</v>
      </c>
      <c r="E90" s="29">
        <f>$E$62 * $E$74 * ($E$85)  * $E$81</f>
        <v>110</v>
      </c>
      <c r="F90" s="30"/>
      <c r="G90" s="30"/>
    </row>
    <row r="91" spans="1:8">
      <c r="A91" s="33" t="s">
        <v>89</v>
      </c>
      <c r="B91" s="15" t="s">
        <v>90</v>
      </c>
      <c r="C91" s="15" t="s">
        <v>91</v>
      </c>
      <c r="D91" s="15" t="s">
        <v>83</v>
      </c>
      <c r="E91" s="29">
        <f>$E$62 * $E$74 *  $E$82</f>
        <v>0</v>
      </c>
      <c r="F91" s="30"/>
      <c r="G91" s="30"/>
    </row>
    <row r="92" spans="1:8">
      <c r="A92" s="15" t="s">
        <v>92</v>
      </c>
      <c r="B92" s="15" t="s">
        <v>93</v>
      </c>
      <c r="C92" s="15" t="s">
        <v>94</v>
      </c>
      <c r="D92" s="15" t="s">
        <v>83</v>
      </c>
      <c r="E92" s="29">
        <f>SUM(E88:E91)</f>
        <v>110</v>
      </c>
      <c r="F92" s="30"/>
      <c r="G92" s="30"/>
    </row>
    <row r="93" spans="1:8">
      <c r="A93" s="15" t="s">
        <v>95</v>
      </c>
      <c r="B93" s="15" t="s">
        <v>96</v>
      </c>
      <c r="C93" s="15" t="s">
        <v>97</v>
      </c>
      <c r="D93" s="15" t="s">
        <v>83</v>
      </c>
      <c r="E93" s="29">
        <f>E63-E92</f>
        <v>10</v>
      </c>
      <c r="F93" s="34">
        <f>E93/E92</f>
        <v>9.0909090909090912E-2</v>
      </c>
      <c r="G93" s="30"/>
    </row>
    <row r="94" spans="1:8">
      <c r="A94" s="30"/>
      <c r="B94" s="30"/>
      <c r="C94" s="30"/>
      <c r="D94" s="30"/>
      <c r="E94" s="30"/>
      <c r="F94" s="30"/>
      <c r="G94" s="30"/>
    </row>
    <row r="95" spans="1:8" s="12" customFormat="1">
      <c r="A95" s="26" t="s">
        <v>98</v>
      </c>
      <c r="B95" s="27"/>
      <c r="C95" s="27"/>
      <c r="D95" s="27"/>
      <c r="E95" s="27"/>
      <c r="F95" s="27"/>
      <c r="G95" s="27"/>
      <c r="H95" s="27"/>
    </row>
    <row r="97" spans="1:8">
      <c r="A97" s="13" t="s">
        <v>99</v>
      </c>
      <c r="B97" s="13" t="s">
        <v>3</v>
      </c>
      <c r="C97" s="13" t="s">
        <v>18</v>
      </c>
      <c r="D97" s="39" t="s">
        <v>2</v>
      </c>
      <c r="E97" s="23"/>
    </row>
    <row r="98" spans="1:8">
      <c r="A98" s="15" t="s">
        <v>100</v>
      </c>
      <c r="B98" s="15" t="s">
        <v>348</v>
      </c>
      <c r="C98" s="15"/>
      <c r="D98" s="40" t="s">
        <v>83</v>
      </c>
      <c r="E98" s="29">
        <f>0</f>
        <v>0</v>
      </c>
    </row>
    <row r="99" spans="1:8">
      <c r="E99" s="15"/>
    </row>
    <row r="100" spans="1:8">
      <c r="A100" s="13" t="s">
        <v>101</v>
      </c>
      <c r="B100" s="13" t="s">
        <v>3</v>
      </c>
      <c r="C100" s="13" t="s">
        <v>18</v>
      </c>
      <c r="D100" s="39" t="s">
        <v>2</v>
      </c>
      <c r="E100" s="23"/>
    </row>
    <row r="101" spans="1:8">
      <c r="A101" s="15" t="s">
        <v>102</v>
      </c>
      <c r="B101" s="15" t="s">
        <v>103</v>
      </c>
      <c r="C101" s="15" t="s">
        <v>452</v>
      </c>
      <c r="D101" s="40" t="s">
        <v>83</v>
      </c>
      <c r="E101" s="29">
        <f>E92+E98</f>
        <v>110</v>
      </c>
    </row>
    <row r="102" spans="1:8">
      <c r="A102" s="15" t="s">
        <v>104</v>
      </c>
      <c r="B102" s="15" t="s">
        <v>105</v>
      </c>
      <c r="C102" s="15" t="s">
        <v>106</v>
      </c>
      <c r="D102" s="40" t="s">
        <v>107</v>
      </c>
      <c r="E102" s="29">
        <f>E41 - E101</f>
        <v>10</v>
      </c>
    </row>
    <row r="104" spans="1:8">
      <c r="A104" s="26" t="s">
        <v>108</v>
      </c>
      <c r="B104" s="27"/>
      <c r="C104" s="27"/>
      <c r="D104" s="27"/>
      <c r="E104" s="27"/>
      <c r="F104" s="27"/>
      <c r="G104" s="27"/>
      <c r="H104" s="27"/>
    </row>
    <row r="106" spans="1:8">
      <c r="A106" s="13" t="s">
        <v>109</v>
      </c>
      <c r="B106" s="13" t="s">
        <v>3</v>
      </c>
      <c r="C106" s="13" t="s">
        <v>18</v>
      </c>
      <c r="D106" s="13" t="s">
        <v>2</v>
      </c>
      <c r="E106" s="23" t="s">
        <v>4</v>
      </c>
      <c r="F106" s="30"/>
      <c r="G106" s="30"/>
    </row>
    <row r="107" spans="1:8">
      <c r="A107" s="15" t="s">
        <v>110</v>
      </c>
      <c r="B107" s="15" t="s">
        <v>90</v>
      </c>
      <c r="C107" s="15" t="s">
        <v>90</v>
      </c>
      <c r="D107" s="15" t="s">
        <v>107</v>
      </c>
      <c r="E107" s="29">
        <f>E91</f>
        <v>0</v>
      </c>
    </row>
    <row r="108" spans="1:8">
      <c r="A108" s="15" t="s">
        <v>111</v>
      </c>
      <c r="B108" s="15" t="s">
        <v>112</v>
      </c>
      <c r="C108" s="15" t="s">
        <v>341</v>
      </c>
      <c r="D108" s="15" t="s">
        <v>107</v>
      </c>
      <c r="E108" s="29">
        <f>IF(E107&gt;0, E107-E68, 0)</f>
        <v>0</v>
      </c>
    </row>
    <row r="109" spans="1:8">
      <c r="A109" s="15" t="s">
        <v>113</v>
      </c>
      <c r="B109" s="15" t="s">
        <v>114</v>
      </c>
      <c r="C109" s="15" t="s">
        <v>115</v>
      </c>
      <c r="D109" s="15" t="s">
        <v>107</v>
      </c>
      <c r="E109" s="29">
        <f>E108*(1-E85)*$F$26</f>
        <v>0</v>
      </c>
    </row>
    <row r="111" spans="1:8">
      <c r="A111" s="20" t="s">
        <v>116</v>
      </c>
      <c r="B111" s="21"/>
      <c r="C111" s="21"/>
      <c r="D111" s="21"/>
      <c r="E111" s="21"/>
      <c r="F111" s="21"/>
      <c r="G111" s="21"/>
      <c r="H111" s="21"/>
    </row>
    <row r="113" spans="1:8">
      <c r="A113" s="13" t="s">
        <v>117</v>
      </c>
      <c r="B113" s="13" t="s">
        <v>3</v>
      </c>
      <c r="C113" s="13" t="s">
        <v>18</v>
      </c>
      <c r="D113" s="13" t="s">
        <v>2</v>
      </c>
      <c r="E113" s="23" t="s">
        <v>4</v>
      </c>
    </row>
    <row r="114" spans="1:8">
      <c r="A114" s="15" t="s">
        <v>443</v>
      </c>
      <c r="B114" s="15" t="s">
        <v>105</v>
      </c>
      <c r="C114" s="15"/>
      <c r="D114" s="15" t="s">
        <v>107</v>
      </c>
      <c r="E114" s="29">
        <f>E102</f>
        <v>10</v>
      </c>
    </row>
    <row r="115" spans="1:8">
      <c r="A115" s="15" t="s">
        <v>444</v>
      </c>
      <c r="B115" s="15" t="s">
        <v>438</v>
      </c>
      <c r="C115" s="15"/>
      <c r="D115" s="15" t="s">
        <v>445</v>
      </c>
      <c r="E115" s="32">
        <f>'1.2_Input_Parameters'!F17</f>
        <v>0.4</v>
      </c>
    </row>
    <row r="116" spans="1:8">
      <c r="A116" s="15" t="s">
        <v>446</v>
      </c>
      <c r="B116" s="15" t="s">
        <v>447</v>
      </c>
      <c r="C116" s="94" t="s">
        <v>448</v>
      </c>
      <c r="D116" s="15" t="s">
        <v>107</v>
      </c>
      <c r="E116" s="29">
        <f>-E114*E115</f>
        <v>-4</v>
      </c>
    </row>
    <row r="117" spans="1:8">
      <c r="A117" s="15" t="s">
        <v>450</v>
      </c>
      <c r="B117" s="15" t="s">
        <v>118</v>
      </c>
      <c r="C117" s="15" t="s">
        <v>449</v>
      </c>
      <c r="D117" s="15" t="s">
        <v>107</v>
      </c>
      <c r="E117" s="29">
        <f>E116+E109</f>
        <v>-4</v>
      </c>
      <c r="F117" s="34">
        <f>E117/E41</f>
        <v>-3.3333333333333333E-2</v>
      </c>
      <c r="G117" s="34" t="str">
        <f>IF(E117&gt;=0,"GAIN","LOSS")</f>
        <v>LOSS</v>
      </c>
    </row>
    <row r="118" spans="1:8">
      <c r="B118" s="9" t="s">
        <v>453</v>
      </c>
    </row>
    <row r="120" spans="1:8">
      <c r="A120" s="26"/>
      <c r="B120" s="27"/>
      <c r="C120" s="27"/>
      <c r="D120" s="27"/>
      <c r="E120" s="27"/>
      <c r="F120" s="27"/>
      <c r="G120" s="27"/>
      <c r="H120" s="27"/>
    </row>
  </sheetData>
  <dataValidations count="4">
    <dataValidation type="list" allowBlank="1" showInputMessage="1" showErrorMessage="1" sqref="B14">
      <formula1>$J$23:$J$24</formula1>
    </dataValidation>
    <dataValidation type="list" allowBlank="1" showInputMessage="1" showErrorMessage="1" sqref="B15">
      <formula1>$J$25:$J$26</formula1>
    </dataValidation>
    <dataValidation type="list" allowBlank="1" showInputMessage="1" showErrorMessage="1" sqref="B16">
      <formula1>$J$27:$J$28</formula1>
    </dataValidation>
    <dataValidation type="list" allowBlank="1" showInputMessage="1" showErrorMessage="1" sqref="B17">
      <formula1>$J$29:$J$30</formula1>
    </dataValidation>
  </dataValidations>
  <pageMargins left="0.25" right="0.25" top="0.75" bottom="0.75" header="0.3" footer="0.3"/>
  <pageSetup paperSize="9" scale="51" orientation="portrait" r:id="rId1"/>
  <drawing r:id="rId2"/>
  <legacyDrawing r:id="rId3"/>
  <controls>
    <mc:AlternateContent xmlns:mc="http://schemas.openxmlformats.org/markup-compatibility/2006">
      <mc:Choice Requires="x14">
        <control shapeId="6145" r:id="rId4" name="TextBox1">
          <controlPr defaultSize="0" autoLine="0" altText="Funding is increased, but remains below the company’s outturn expenditure. This is because justified over-delivery is funded, but companies will incur excess expenditure caused by an increase in their UCR at outturn." linkedCell="'2.1_Scenario_Comments'!B3" r:id="rId5">
            <anchor moveWithCells="1">
              <from>
                <xdr:col>3</xdr:col>
                <xdr:colOff>38100</xdr:colOff>
                <xdr:row>10</xdr:row>
                <xdr:rowOff>28575</xdr:rowOff>
              </from>
              <to>
                <xdr:col>8</xdr:col>
                <xdr:colOff>38100</xdr:colOff>
                <xdr:row>18</xdr:row>
                <xdr:rowOff>28575</xdr:rowOff>
              </to>
            </anchor>
          </controlPr>
        </control>
      </mc:Choice>
      <mc:Fallback>
        <control shapeId="6145" r:id="rId4" name="TextBox1"/>
      </mc:Fallback>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0" ma:contentTypeDescription="Create a new document." ma:contentTypeScope="" ma:versionID="73f783b29a1a71d4ecbfbac99e1d7ede">
  <xsd:schema xmlns:xsd="http://www.w3.org/2001/XMLSchema" xmlns:xs="http://www.w3.org/2001/XMLSchema" xmlns:p="http://schemas.microsoft.com/office/2006/metadata/properties" xmlns:ns2="978a1c12-3ab7-471e-b134-e7ba3975f64f" xmlns:ns3="f35b5cbd-7b0b-4440-92cd-b510cab4ec67" targetNamespace="http://schemas.microsoft.com/office/2006/metadata/properties" ma:root="true" ma:fieldsID="a928bd24ae3d8e620454dfa0ea4cdc5a" ns2:_="" ns3:_="">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427387B-71EF-400F-8360-F3F36EE0BD3E}">
  <ds:schemaRefs>
    <ds:schemaRef ds:uri="http://schemas.microsoft.com/sharepoint/v3/contenttype/forms"/>
  </ds:schemaRefs>
</ds:datastoreItem>
</file>

<file path=customXml/itemProps2.xml><?xml version="1.0" encoding="utf-8"?>
<ds:datastoreItem xmlns:ds="http://schemas.openxmlformats.org/officeDocument/2006/customXml" ds:itemID="{4D1AB09A-80D8-4945-BC26-C216B1587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DB024E-F80A-42A2-A39A-69526B204316}">
  <ds:schemaRefs>
    <ds:schemaRef ds:uri="http://purl.org/dc/elements/1.1/"/>
    <ds:schemaRef ds:uri="http://purl.org/dc/term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35b5cbd-7b0b-4440-92cd-b510cab4ec67"/>
    <ds:schemaRef ds:uri="http://www.w3.org/XML/1998/namespace"/>
    <ds:schemaRef ds:uri="978a1c12-3ab7-471e-b134-e7ba3975f64f"/>
  </ds:schemaRefs>
</ds:datastoreItem>
</file>

<file path=customXml/itemProps4.xml><?xml version="1.0" encoding="utf-8"?>
<ds:datastoreItem xmlns:ds="http://schemas.openxmlformats.org/officeDocument/2006/customXml" ds:itemID="{F97B0D39-41EF-4966-B1C1-C8D73BCD8EE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About</vt:lpstr>
      <vt:lpstr>Contents</vt:lpstr>
      <vt:lpstr>1.1_Calculation_Funding_Penalty</vt:lpstr>
      <vt:lpstr>1.2_Input_Parameters</vt:lpstr>
      <vt:lpstr>1.3_Input_Baseline_Allowances</vt:lpstr>
      <vt:lpstr>1.4_Input_Outturn_Delivery</vt:lpstr>
      <vt:lpstr>1.5_Input_Non_Intervention_Adj</vt:lpstr>
      <vt:lpstr>1.6_Input_Efficient_Delivery</vt:lpstr>
      <vt:lpstr>2_Delivery_Scenarios</vt:lpstr>
      <vt:lpstr>2.1_Scenario_Comments</vt:lpstr>
      <vt:lpstr>3_Non_Intervention_Adjustment</vt:lpstr>
    </vt:vector>
  </TitlesOfParts>
  <Manager/>
  <Company>Ofgem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RIIO-2 Draft Determinations - NARM Supporting Workbook</dc:title>
  <dc:subject/>
  <dc:creator>Neill Guha</dc:creator>
  <cp:keywords/>
  <dc:description/>
  <cp:lastModifiedBy>Dale Winch</cp:lastModifiedBy>
  <cp:revision/>
  <cp:lastPrinted>2020-06-26T14:48:08Z</cp:lastPrinted>
  <dcterms:created xsi:type="dcterms:W3CDTF">2020-05-19T12:56:39Z</dcterms:created>
  <dcterms:modified xsi:type="dcterms:W3CDTF">2020-07-08T10:12:19Z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docIndexRef">
    <vt:lpwstr>e44aaef3-c91c-4a7f-b4f5-2c82788eed1c</vt:lpwstr>
  </property>
  <property fmtid="{D5CDD505-2E9C-101B-9397-08002B2CF9AE}" pid="4" name="bjDocumentSecurityLabel">
    <vt:lpwstr>This item has no classification</vt:lpwstr>
  </property>
  <property fmtid="{D5CDD505-2E9C-101B-9397-08002B2CF9AE}" pid="5" name="bjSaver">
    <vt:lpwstr>u2UTUrTwo87r+z+dL0Hv8CbSK1/OCaeT</vt:lpwstr>
  </property>
</Properties>
</file>