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drawings/drawing16.xml" ContentType="application/vnd.openxmlformats-officedocument.drawing+xml"/>
  <Override PartName="/xl/ctrlProps/ctrlProp6.xml" ContentType="application/vnd.ms-excel.controlproperties+xml"/>
  <Override PartName="/xl/comments4.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75" yWindow="-120" windowWidth="13118" windowHeight="8468" tabRatio="763"/>
  </bookViews>
  <sheets>
    <sheet name="Pension Pack cover" sheetId="11" r:id="rId1"/>
    <sheet name="Version control" sheetId="12" r:id="rId2"/>
    <sheet name="Contents" sheetId="13" r:id="rId3"/>
    <sheet name="Changes Log" sheetId="14" r:id="rId4"/>
    <sheet name="P1.1 PDAM Licensee provided" sheetId="4" r:id="rId5"/>
    <sheet name="P1.2 PDAM Actuary provided data" sheetId="6" r:id="rId6"/>
    <sheet name="P1.3 Deleted " sheetId="8" r:id="rId7"/>
    <sheet name="P1.4 Pensions_PPF_Admin" sheetId="20" r:id="rId8"/>
    <sheet name="P1.5 Calculation of Vrr - L1" sheetId="46" r:id="rId9"/>
    <sheet name="P1.6 IBAPA and PBAPA - L1" sheetId="47" r:id="rId10"/>
    <sheet name="controls - do not change" sheetId="48" r:id="rId11"/>
    <sheet name="P2.1 PDAM Licensee provided" sheetId="42" r:id="rId12"/>
    <sheet name="P2.2 PDAM Actuary provided" sheetId="43" r:id="rId13"/>
    <sheet name="P2.3 Deleted" sheetId="44" r:id="rId14"/>
    <sheet name="P2.4 Pensions_PPF_Admin" sheetId="45" r:id="rId15"/>
    <sheet name="P2.5 Calculation of Vrr - L2" sheetId="49" r:id="rId16"/>
    <sheet name="P2.6 IBAPA and PBAPA - L2" sheetId="50" r:id="rId17"/>
    <sheet name="controls - do not change (2)" sheetId="51" r:id="rId18"/>
    <sheet name="Para 6.20 adjustments" sheetId="37"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 hidden="1">'Pension Pack cover'!$C$12:$D$12</definedName>
    <definedName name="_Order1" hidden="1">255</definedName>
    <definedName name="_Order2" hidden="1">0</definedName>
    <definedName name="_Toc199051678" localSheetId="3">'Changes Log'!#REF!</definedName>
    <definedName name="_Toc352922511" localSheetId="18">'Para 6.20 adjustments'!$A$4</definedName>
    <definedName name="compname">'[1]Universal data'!$C$8</definedName>
    <definedName name="constrainsts" localSheetId="3">'[2]4.3 Network Analysis Load'!#REF!</definedName>
    <definedName name="constrainsts" localSheetId="6">'[3]4.3 Network Analysis Load'!#REF!</definedName>
    <definedName name="constrainsts" localSheetId="7">'[3]4.3 Network Analysis Load'!#REF!</definedName>
    <definedName name="constrainsts" localSheetId="11">'[3]4.3 Network Analysis Load'!#REF!</definedName>
    <definedName name="constrainsts" localSheetId="12">'[3]4.3 Network Analysis Load'!#REF!</definedName>
    <definedName name="constrainsts" localSheetId="13">'[3]4.3 Network Analysis Load'!#REF!</definedName>
    <definedName name="constrainsts" localSheetId="14">'[3]4.3 Network Analysis Load'!#REF!</definedName>
    <definedName name="constrainsts">'[3]4.3 Network Analysis Load'!#REF!</definedName>
    <definedName name="CT">'controls - do not change'!$D$2:$D$26</definedName>
    <definedName name="DP5TUV__year">'controls - do not change'!$E$2</definedName>
    <definedName name="DP5TUV_year">'controls - do not change'!$E$2</definedName>
    <definedName name="DRA">'P1.6 IBAPA and PBAPA - L1'!$C$20</definedName>
    <definedName name="DRB">'P2.6 IBAPA and PBAPA - L2'!$C$20</definedName>
    <definedName name="EBAPA1">'P1.6 IBAPA and PBAPA - L1'!$C$19</definedName>
    <definedName name="EBAPA2">'P2.6 IBAPA and PBAPA - L2'!$C$19</definedName>
    <definedName name="f_1">'P1.6 IBAPA and PBAPA - L1'!$C$31</definedName>
    <definedName name="f_2">'P2.6 IBAPA and PBAPA - L2'!$C$31</definedName>
    <definedName name="flatBAPA1">'P1.6 IBAPA and PBAPA - L1'!$C$24</definedName>
    <definedName name="flatBAPA2">'P2.6 IBAPA and PBAPA - L2'!$C$24</definedName>
    <definedName name="flatPBAPA1">'P1.6 IBAPA and PBAPA - L1'!$C$29</definedName>
    <definedName name="flatPBAPA2">'P2.6 IBAPA and PBAPA - L2'!$C$29</definedName>
    <definedName name="Guidance" localSheetId="1">'Version control'!#REF!</definedName>
    <definedName name="Guidance">'[4]Version control'!$B$33:$C$46</definedName>
    <definedName name="Guidance2" localSheetId="11">'Version control'!#REF!</definedName>
    <definedName name="Guidance2" localSheetId="12">'Version control'!#REF!</definedName>
    <definedName name="Guidance2" localSheetId="13">'Version control'!#REF!</definedName>
    <definedName name="Guidance2" localSheetId="14">'Version control'!#REF!</definedName>
    <definedName name="Guidance2">'Version control'!#REF!</definedName>
    <definedName name="irp_1">'P1.6 IBAPA and PBAPA - L1'!$C$23</definedName>
    <definedName name="irp_2">'P2.6 IBAPA and PBAPA - L2'!$C$23</definedName>
    <definedName name="List_1" localSheetId="7">'[5]F5 Financing costs'!$A$454:$A$456</definedName>
    <definedName name="List_1" localSheetId="14">'[5]F5 Financing costs'!$A$454:$A$456</definedName>
    <definedName name="List_1">'[6]F5 Financing costs'!$A$454:$A$456</definedName>
    <definedName name="ManagerialAllocations">'[7]2.12 Cost Mapping'!$AJ$12:$AJ$499</definedName>
    <definedName name="Pal_Workbook_GUID" hidden="1">"LJ9YVKRJVQ1A1KNUG7XIT5A9"</definedName>
    <definedName name="PBAPA">'P1.6 IBAPA and PBAPA - L1'!$C$24</definedName>
    <definedName name="pco1_num">'controls - do not change'!$B$32</definedName>
    <definedName name="pco1A">'controls - do not change'!$B$30</definedName>
    <definedName name="pco1Q">'controls - do not change'!$B$2:$B$4</definedName>
    <definedName name="PrimeRecordAllocations">'[7]2.12 Cost Mapping'!$AI$12:$AI$499</definedName>
    <definedName name="_xlnm.Print_Area" localSheetId="2">Contents!$A$1:$D$19</definedName>
    <definedName name="_xlnm.Print_Area" localSheetId="4">'P1.1 PDAM Licensee provided'!$A$1:$K$176</definedName>
    <definedName name="_xlnm.Print_Area" localSheetId="5">'P1.2 PDAM Actuary provided data'!$A$1:$O$112</definedName>
    <definedName name="_xlnm.Print_Area" localSheetId="6">'P1.3 Deleted '!$A$1:$G$3</definedName>
    <definedName name="_xlnm.Print_Area" localSheetId="7">'P1.4 Pensions_PPF_Admin'!$A$1:$F$87</definedName>
    <definedName name="_xlnm.Print_Area" localSheetId="11">'P2.1 PDAM Licensee provided'!$A$1:$K$176</definedName>
    <definedName name="_xlnm.Print_Area" localSheetId="12">'P2.2 PDAM Actuary provided'!$A$1:$O$112</definedName>
    <definedName name="_xlnm.Print_Area" localSheetId="13">'P2.3 Deleted'!$A$1:$G$3</definedName>
    <definedName name="_xlnm.Print_Area" localSheetId="14">'P2.4 Pensions_PPF_Admin'!$A$1:$F$87</definedName>
    <definedName name="_xlnm.Print_Area" localSheetId="0">'Pension Pack cover'!$A$1:$H$110</definedName>
    <definedName name="_xlnm.Print_Area" localSheetId="1">'Version control'!$A$1:$E$18</definedName>
    <definedName name="_xlnm.Print_Titles" localSheetId="13">'P2.3 Deleted'!#REF!</definedName>
    <definedName name="PSEDA">'P1.6 IBAPA and PBAPA - L1'!$C$15</definedName>
    <definedName name="PSEDB">'P2.6 IBAPA and PBAPA - L2'!$C$15</definedName>
    <definedName name="RepAllow">'[8]3.9a Repex to RAV'!$M$8:$Q$16</definedName>
    <definedName name="Repyear">'[1]Universal data'!$C$21</definedName>
    <definedName name="RepYearM1">'[1]Universal data'!$C$20</definedName>
    <definedName name="RepYearP1">'[1]Universal data'!$C$22</definedName>
    <definedName name="RepYearP5">'[1]Universal data'!$C$26</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ounding">'[1]Universal data'!$C$29</definedName>
    <definedName name="rpa_1">'P1.6 IBAPA and PBAPA - L1'!$C$22</definedName>
    <definedName name="rpa_2">'P2.6 IBAPA and PBAPA - L2'!$C$22</definedName>
    <definedName name="rr_num">'controls - do not change'!$C$32</definedName>
    <definedName name="rr2_num">'controls - do not change'!$C$34</definedName>
    <definedName name="rr3_num">'controls - do not change'!$C$36</definedName>
    <definedName name="rrA">'controls - do not change'!$C$30</definedName>
    <definedName name="rrQ">'controls - do not change'!$C$2:$C$5</definedName>
    <definedName name="SAPBEXhrIndnt" hidden="1">"Wide"</definedName>
    <definedName name="SAPsysID" hidden="1">"708C5W7SBKP804JT78WJ0JNKI"</definedName>
    <definedName name="SAPwbID" hidden="1">"ARS"</definedName>
    <definedName name="selecteddno">'[9]User Interface'!$Z$45</definedName>
    <definedName name="shortname">'[1]Universal data'!$C$9</definedName>
    <definedName name="Table2.12TotalCost">'[7]2.12 Cost Mapping'!$C$12:$C$499</definedName>
    <definedName name="www" localSheetId="7">#REF!</definedName>
    <definedName name="www" localSheetId="11">#REF!</definedName>
    <definedName name="www" localSheetId="12">#REF!</definedName>
    <definedName name="www" localSheetId="13">#REF!</definedName>
    <definedName name="www" localSheetId="14">#REF!</definedName>
    <definedName name="www">#REF!</definedName>
    <definedName name="y_1">'P1.6 IBAPA and PBAPA - L1'!$C$28</definedName>
    <definedName name="y_2">'P2.6 IBAPA and PBAPA - L2'!$C$28</definedName>
    <definedName name="Year">'Pension Pack cover'!$B$80:$B$99</definedName>
    <definedName name="yearQ">'controls - do not change'!$A$2:$A$50</definedName>
    <definedName name="Z_755C4068_4334_4554_8214_F2B7A76C4A12_.wvu.PrintArea" localSheetId="6" hidden="1">'P1.3 Deleted '!$A$1:$G$3</definedName>
    <definedName name="Z_755C4068_4334_4554_8214_F2B7A76C4A12_.wvu.PrintArea" localSheetId="13" hidden="1">'P2.3 Deleted'!$A$1:$G$3</definedName>
    <definedName name="Z_9F87CBFC_E3DF_4B9E_8030_01C84F6B3383_.wvu.PrintArea" localSheetId="6" hidden="1">'P1.3 Deleted '!$A$1:$G$3</definedName>
    <definedName name="Z_9F87CBFC_E3DF_4B9E_8030_01C84F6B3383_.wvu.PrintArea" localSheetId="13" hidden="1">'P2.3 Deleted'!$A$1:$G$3</definedName>
    <definedName name="Z_DA304C26_A3DA_4A7B_9A64_707BB52AC343_.wvu.PrintArea" localSheetId="6" hidden="1">'P1.3 Deleted '!$A$1:$G$3</definedName>
    <definedName name="Z_DA304C26_A3DA_4A7B_9A64_707BB52AC343_.wvu.PrintArea" localSheetId="13" hidden="1">'P2.3 Deleted'!$A$1:$G$3</definedName>
  </definedNames>
  <calcPr calcId="162913"/>
</workbook>
</file>

<file path=xl/calcChain.xml><?xml version="1.0" encoding="utf-8"?>
<calcChain xmlns="http://schemas.openxmlformats.org/spreadsheetml/2006/main">
  <c r="I123" i="42" l="1"/>
  <c r="I123" i="4"/>
  <c r="K16" i="47" l="1"/>
  <c r="AG16" i="47" l="1"/>
  <c r="AH16" i="47"/>
  <c r="AI16" i="47"/>
  <c r="AJ16" i="47"/>
  <c r="AK16" i="47"/>
  <c r="AL16" i="47"/>
  <c r="AM16" i="47"/>
  <c r="AF16" i="47"/>
  <c r="Y16" i="47"/>
  <c r="Z16" i="47"/>
  <c r="AA16" i="47"/>
  <c r="AB16" i="47"/>
  <c r="AC16" i="47"/>
  <c r="AD16" i="47"/>
  <c r="AE16" i="47"/>
  <c r="Q16" i="47"/>
  <c r="R16" i="47"/>
  <c r="S16" i="47"/>
  <c r="T16" i="47"/>
  <c r="U16" i="47"/>
  <c r="V16" i="47"/>
  <c r="W16" i="47"/>
  <c r="X16" i="47"/>
  <c r="O16" i="47"/>
  <c r="P16" i="47"/>
  <c r="N16" i="47"/>
  <c r="M16" i="47"/>
  <c r="L16" i="47"/>
  <c r="J16" i="47"/>
  <c r="I16" i="47"/>
  <c r="J15" i="4"/>
  <c r="I14" i="4"/>
  <c r="B90" i="43" l="1"/>
  <c r="D67" i="43" l="1"/>
  <c r="D41" i="43"/>
  <c r="B46" i="43"/>
  <c r="B46" i="6"/>
  <c r="B25" i="6"/>
  <c r="C31" i="47" l="1"/>
  <c r="C17" i="47"/>
  <c r="C17" i="50"/>
  <c r="D156" i="42" l="1"/>
  <c r="E156" i="42"/>
  <c r="F156" i="42"/>
  <c r="G156" i="42"/>
  <c r="H156" i="42"/>
  <c r="C156" i="42"/>
  <c r="D148" i="42"/>
  <c r="E148" i="42"/>
  <c r="F148" i="42"/>
  <c r="G148" i="42"/>
  <c r="H148" i="42"/>
  <c r="I148" i="42"/>
  <c r="J148" i="42"/>
  <c r="C148" i="42"/>
  <c r="I14" i="42" l="1"/>
  <c r="B12" i="43" l="1"/>
  <c r="B12" i="6"/>
  <c r="E92" i="43"/>
  <c r="E92" i="6"/>
  <c r="A2" i="37"/>
  <c r="A2" i="20"/>
  <c r="J87" i="45"/>
  <c r="I87" i="45"/>
  <c r="H87" i="45"/>
  <c r="G87" i="45"/>
  <c r="J73" i="45"/>
  <c r="I73" i="45"/>
  <c r="H73" i="45"/>
  <c r="G73" i="45"/>
  <c r="H71" i="45"/>
  <c r="J70" i="45"/>
  <c r="I70" i="45"/>
  <c r="H70" i="45"/>
  <c r="G70" i="45"/>
  <c r="J59" i="45"/>
  <c r="J71" i="45" s="1"/>
  <c r="I59" i="45"/>
  <c r="I71" i="45" s="1"/>
  <c r="H59" i="45"/>
  <c r="G59" i="45"/>
  <c r="G71" i="45" s="1"/>
  <c r="G47" i="45"/>
  <c r="I42" i="45"/>
  <c r="H42" i="45"/>
  <c r="J41" i="45"/>
  <c r="J42" i="45" s="1"/>
  <c r="I41" i="45"/>
  <c r="H41" i="45"/>
  <c r="G41" i="45"/>
  <c r="G42" i="45" s="1"/>
  <c r="J29" i="45"/>
  <c r="J33" i="45" s="1"/>
  <c r="I29" i="45"/>
  <c r="I33" i="45" s="1"/>
  <c r="H29" i="45"/>
  <c r="H33" i="45" s="1"/>
  <c r="G29" i="45"/>
  <c r="G33" i="45" s="1"/>
  <c r="J18" i="45"/>
  <c r="J30" i="45" s="1"/>
  <c r="I18" i="45"/>
  <c r="I30" i="45" s="1"/>
  <c r="H18" i="45"/>
  <c r="H30" i="45" s="1"/>
  <c r="G18" i="45"/>
  <c r="G30" i="45" s="1"/>
  <c r="H6" i="45"/>
  <c r="I6" i="45" s="1"/>
  <c r="G6" i="45"/>
  <c r="J87" i="20"/>
  <c r="J73" i="20"/>
  <c r="J70" i="20"/>
  <c r="J59" i="20"/>
  <c r="J71" i="20" s="1"/>
  <c r="J41" i="20"/>
  <c r="J42" i="20" s="1"/>
  <c r="J33" i="20"/>
  <c r="J30" i="20"/>
  <c r="J29" i="20"/>
  <c r="J18" i="20"/>
  <c r="J6" i="20"/>
  <c r="J47" i="20" s="1"/>
  <c r="I87" i="20"/>
  <c r="I73" i="20"/>
  <c r="I70" i="20"/>
  <c r="I71" i="20" s="1"/>
  <c r="I59" i="20"/>
  <c r="I41" i="20"/>
  <c r="I42" i="20" s="1"/>
  <c r="I29" i="20"/>
  <c r="I33" i="20" s="1"/>
  <c r="I18" i="20"/>
  <c r="I30" i="20" s="1"/>
  <c r="I6" i="20"/>
  <c r="I47" i="20" s="1"/>
  <c r="H87" i="20"/>
  <c r="H73" i="20"/>
  <c r="H70" i="20"/>
  <c r="H59" i="20"/>
  <c r="H71" i="20" s="1"/>
  <c r="H41" i="20"/>
  <c r="H42" i="20" s="1"/>
  <c r="H29" i="20"/>
  <c r="H33" i="20" s="1"/>
  <c r="H18" i="20"/>
  <c r="H6" i="20"/>
  <c r="H47" i="20" s="1"/>
  <c r="G87" i="20"/>
  <c r="G73" i="20"/>
  <c r="G70" i="20"/>
  <c r="G71" i="20" s="1"/>
  <c r="G59" i="20"/>
  <c r="G41" i="20"/>
  <c r="G42" i="20" s="1"/>
  <c r="G33" i="20"/>
  <c r="G29" i="20"/>
  <c r="G18" i="20"/>
  <c r="G30" i="20" s="1"/>
  <c r="G6" i="20"/>
  <c r="G47" i="20" s="1"/>
  <c r="D68" i="43"/>
  <c r="J6" i="45" l="1"/>
  <c r="J47" i="45" s="1"/>
  <c r="I47" i="45"/>
  <c r="H47" i="45"/>
  <c r="H30" i="20"/>
  <c r="B123" i="4"/>
  <c r="B123" i="42"/>
  <c r="H123" i="42"/>
  <c r="G123" i="42"/>
  <c r="F123" i="42"/>
  <c r="F123" i="4"/>
  <c r="G123" i="4"/>
  <c r="H123" i="4"/>
  <c r="C115" i="4"/>
  <c r="A2" i="50" l="1"/>
  <c r="A2" i="49"/>
  <c r="A2" i="47"/>
  <c r="A2" i="46"/>
  <c r="O27" i="46" l="1"/>
  <c r="A3" i="46"/>
  <c r="A50" i="51" l="1"/>
  <c r="A49" i="51"/>
  <c r="A48" i="51"/>
  <c r="A47" i="51"/>
  <c r="A46" i="51"/>
  <c r="A45" i="51"/>
  <c r="A44" i="51"/>
  <c r="A43" i="51"/>
  <c r="A42" i="51"/>
  <c r="A41" i="51"/>
  <c r="A40" i="51"/>
  <c r="A39" i="51"/>
  <c r="A38" i="51"/>
  <c r="A37" i="51"/>
  <c r="A36" i="51"/>
  <c r="A35" i="51"/>
  <c r="A34" i="51"/>
  <c r="A33" i="51"/>
  <c r="C32" i="51"/>
  <c r="B32" i="51"/>
  <c r="A32" i="51"/>
  <c r="A31" i="51"/>
  <c r="A30" i="51"/>
  <c r="A29" i="51"/>
  <c r="A28" i="51"/>
  <c r="A27" i="51"/>
  <c r="A26" i="51"/>
  <c r="E2" i="51"/>
  <c r="C31" i="50"/>
  <c r="A3" i="50"/>
  <c r="C81" i="49"/>
  <c r="U70" i="49"/>
  <c r="T70" i="49"/>
  <c r="S70" i="49"/>
  <c r="R70" i="49"/>
  <c r="Q70" i="49"/>
  <c r="P70" i="49"/>
  <c r="O70" i="49"/>
  <c r="N70" i="49"/>
  <c r="M70" i="49"/>
  <c r="L70" i="49"/>
  <c r="K70" i="49"/>
  <c r="J70" i="49"/>
  <c r="I70" i="49"/>
  <c r="H70" i="49"/>
  <c r="G70" i="49"/>
  <c r="F70" i="49"/>
  <c r="E70" i="49"/>
  <c r="D70" i="49"/>
  <c r="T37" i="49"/>
  <c r="L37" i="49"/>
  <c r="K37" i="49"/>
  <c r="H37" i="49"/>
  <c r="G37" i="49"/>
  <c r="D37" i="49"/>
  <c r="U36" i="49"/>
  <c r="U37" i="49" s="1"/>
  <c r="T36" i="49"/>
  <c r="S36" i="49"/>
  <c r="S37" i="49" s="1"/>
  <c r="R36" i="49"/>
  <c r="R37" i="49" s="1"/>
  <c r="Q36" i="49"/>
  <c r="Q37" i="49" s="1"/>
  <c r="P36" i="49"/>
  <c r="P37" i="49" s="1"/>
  <c r="O36" i="49"/>
  <c r="O37" i="49" s="1"/>
  <c r="N36" i="49"/>
  <c r="N37" i="49" s="1"/>
  <c r="M36" i="49"/>
  <c r="M37" i="49" s="1"/>
  <c r="L36" i="49"/>
  <c r="K36" i="49"/>
  <c r="J36" i="49"/>
  <c r="J37" i="49" s="1"/>
  <c r="I36" i="49"/>
  <c r="I37" i="49" s="1"/>
  <c r="H36" i="49"/>
  <c r="G36" i="49"/>
  <c r="F36" i="49"/>
  <c r="F37" i="49" s="1"/>
  <c r="E36" i="49"/>
  <c r="E37" i="49" s="1"/>
  <c r="D36" i="49"/>
  <c r="T21" i="49"/>
  <c r="T24" i="49" s="1"/>
  <c r="I21" i="49"/>
  <c r="I24" i="49" s="1"/>
  <c r="H21" i="49"/>
  <c r="H24" i="49" s="1"/>
  <c r="E21" i="49"/>
  <c r="E24" i="49" s="1"/>
  <c r="D21" i="49"/>
  <c r="D24" i="49" s="1"/>
  <c r="U19" i="49"/>
  <c r="U21" i="49" s="1"/>
  <c r="U24" i="49" s="1"/>
  <c r="T19" i="49"/>
  <c r="S19" i="49"/>
  <c r="S21" i="49" s="1"/>
  <c r="S24" i="49" s="1"/>
  <c r="R19" i="49"/>
  <c r="R21" i="49" s="1"/>
  <c r="R24" i="49" s="1"/>
  <c r="Q19" i="49"/>
  <c r="Q21" i="49" s="1"/>
  <c r="Q24" i="49" s="1"/>
  <c r="P19" i="49"/>
  <c r="P21" i="49" s="1"/>
  <c r="P24" i="49" s="1"/>
  <c r="O19" i="49"/>
  <c r="O21" i="49" s="1"/>
  <c r="O24" i="49" s="1"/>
  <c r="N19" i="49"/>
  <c r="N21" i="49" s="1"/>
  <c r="N24" i="49" s="1"/>
  <c r="M19" i="49"/>
  <c r="M21" i="49" s="1"/>
  <c r="M24" i="49" s="1"/>
  <c r="L19" i="49"/>
  <c r="L21" i="49" s="1"/>
  <c r="L24" i="49" s="1"/>
  <c r="K19" i="49"/>
  <c r="K21" i="49" s="1"/>
  <c r="K24" i="49" s="1"/>
  <c r="J19" i="49"/>
  <c r="J21" i="49" s="1"/>
  <c r="J24" i="49" s="1"/>
  <c r="I19" i="49"/>
  <c r="H19" i="49"/>
  <c r="G19" i="49"/>
  <c r="G21" i="49" s="1"/>
  <c r="G24" i="49" s="1"/>
  <c r="F19" i="49"/>
  <c r="F21" i="49" s="1"/>
  <c r="F24" i="49" s="1"/>
  <c r="E19" i="49"/>
  <c r="D19" i="49"/>
  <c r="A3" i="49"/>
  <c r="D42" i="43" l="1"/>
  <c r="I116" i="42"/>
  <c r="D116" i="42" l="1"/>
  <c r="C116" i="42"/>
  <c r="E2" i="48" l="1"/>
  <c r="A26" i="48"/>
  <c r="A27" i="48"/>
  <c r="A28" i="48"/>
  <c r="A29" i="48"/>
  <c r="A30" i="48"/>
  <c r="A31" i="48"/>
  <c r="A32" i="48"/>
  <c r="B32" i="48"/>
  <c r="F9" i="46" s="1"/>
  <c r="C32" i="48"/>
  <c r="J4" i="47" s="1"/>
  <c r="A33" i="48"/>
  <c r="A34" i="48"/>
  <c r="A35" i="48"/>
  <c r="A36" i="48"/>
  <c r="A37" i="48"/>
  <c r="A38" i="48"/>
  <c r="A39" i="48"/>
  <c r="A40" i="48"/>
  <c r="A41" i="48"/>
  <c r="A42" i="48"/>
  <c r="A43" i="48"/>
  <c r="A44" i="48"/>
  <c r="A45" i="48"/>
  <c r="A46" i="48"/>
  <c r="A47" i="48"/>
  <c r="A48" i="48"/>
  <c r="A49" i="48"/>
  <c r="A50" i="48"/>
  <c r="A3" i="47"/>
  <c r="D9" i="46"/>
  <c r="E9" i="46"/>
  <c r="G9" i="46"/>
  <c r="H9" i="46"/>
  <c r="I9" i="46"/>
  <c r="K9" i="46"/>
  <c r="K10" i="46" s="1"/>
  <c r="L9" i="46"/>
  <c r="M9" i="46"/>
  <c r="O9" i="46"/>
  <c r="P9" i="46"/>
  <c r="Q9" i="46"/>
  <c r="S9" i="46"/>
  <c r="S10" i="46" s="1"/>
  <c r="T9" i="46"/>
  <c r="U9" i="46"/>
  <c r="G10" i="46"/>
  <c r="D19" i="46"/>
  <c r="D21" i="46" s="1"/>
  <c r="E19" i="46"/>
  <c r="E21" i="46" s="1"/>
  <c r="F19" i="46"/>
  <c r="G19" i="46"/>
  <c r="H19" i="46"/>
  <c r="H21" i="46" s="1"/>
  <c r="H24" i="46" s="1"/>
  <c r="I19" i="46"/>
  <c r="I21" i="46" s="1"/>
  <c r="J19" i="46"/>
  <c r="K19" i="46"/>
  <c r="L19" i="46"/>
  <c r="L21" i="46" s="1"/>
  <c r="L24" i="46" s="1"/>
  <c r="M19" i="46"/>
  <c r="M21" i="46" s="1"/>
  <c r="N19" i="46"/>
  <c r="O19" i="46"/>
  <c r="O21" i="46" s="1"/>
  <c r="O24" i="46" s="1"/>
  <c r="P19" i="46"/>
  <c r="P21" i="46" s="1"/>
  <c r="P24" i="46" s="1"/>
  <c r="Q19" i="46"/>
  <c r="Q21" i="46" s="1"/>
  <c r="R19" i="46"/>
  <c r="R21" i="46" s="1"/>
  <c r="R24" i="46" s="1"/>
  <c r="S19" i="46"/>
  <c r="S21" i="46" s="1"/>
  <c r="S24" i="46" s="1"/>
  <c r="T19" i="46"/>
  <c r="T21" i="46" s="1"/>
  <c r="T24" i="46" s="1"/>
  <c r="U19" i="46"/>
  <c r="U21" i="46" s="1"/>
  <c r="F21" i="46"/>
  <c r="F24" i="46" s="1"/>
  <c r="G21" i="46"/>
  <c r="G24" i="46" s="1"/>
  <c r="J21" i="46"/>
  <c r="J24" i="46" s="1"/>
  <c r="K21" i="46"/>
  <c r="K24" i="46" s="1"/>
  <c r="N21" i="46"/>
  <c r="N24" i="46" s="1"/>
  <c r="D24" i="46"/>
  <c r="E24" i="46"/>
  <c r="I24" i="46"/>
  <c r="M24" i="46"/>
  <c r="Q24" i="46"/>
  <c r="U24" i="46"/>
  <c r="D36" i="46"/>
  <c r="D37" i="46" s="1"/>
  <c r="E36" i="46"/>
  <c r="E37" i="46" s="1"/>
  <c r="F36" i="46"/>
  <c r="G36" i="46"/>
  <c r="H36" i="46"/>
  <c r="H37" i="46" s="1"/>
  <c r="I36" i="46"/>
  <c r="I37" i="46" s="1"/>
  <c r="J36" i="46"/>
  <c r="K36" i="46"/>
  <c r="L36" i="46"/>
  <c r="L37" i="46" s="1"/>
  <c r="M36" i="46"/>
  <c r="M37" i="46" s="1"/>
  <c r="N36" i="46"/>
  <c r="N37" i="46" s="1"/>
  <c r="O36" i="46"/>
  <c r="O37" i="46" s="1"/>
  <c r="P36" i="46"/>
  <c r="P37" i="46" s="1"/>
  <c r="Q36" i="46"/>
  <c r="Q37" i="46" s="1"/>
  <c r="R36" i="46"/>
  <c r="R37" i="46" s="1"/>
  <c r="S36" i="46"/>
  <c r="S37" i="46" s="1"/>
  <c r="T36" i="46"/>
  <c r="T37" i="46" s="1"/>
  <c r="U36" i="46"/>
  <c r="U37" i="46" s="1"/>
  <c r="F37" i="46"/>
  <c r="G37" i="46"/>
  <c r="J37" i="46"/>
  <c r="K37" i="46"/>
  <c r="D70" i="46"/>
  <c r="E70" i="46"/>
  <c r="F70" i="46"/>
  <c r="G70" i="46"/>
  <c r="H70" i="46"/>
  <c r="I70" i="46"/>
  <c r="J70" i="46"/>
  <c r="K70" i="46"/>
  <c r="L70" i="46"/>
  <c r="M70" i="46"/>
  <c r="N70" i="46"/>
  <c r="O70" i="46"/>
  <c r="P70" i="46"/>
  <c r="Q70" i="46"/>
  <c r="R70" i="46"/>
  <c r="S70" i="46"/>
  <c r="T70" i="46"/>
  <c r="U70" i="46"/>
  <c r="C81" i="46"/>
  <c r="Q11" i="46" l="1"/>
  <c r="R32" i="46" s="1"/>
  <c r="G13" i="46"/>
  <c r="G58" i="46" s="1"/>
  <c r="U4" i="47"/>
  <c r="T44" i="46"/>
  <c r="S44" i="46" s="1"/>
  <c r="I13" i="46"/>
  <c r="I59" i="46" s="1"/>
  <c r="K4" i="47"/>
  <c r="O14" i="46"/>
  <c r="P4" i="47"/>
  <c r="AA4" i="47"/>
  <c r="K9" i="47"/>
  <c r="AE4" i="47"/>
  <c r="X4" i="47"/>
  <c r="S4" i="47"/>
  <c r="M4" i="47"/>
  <c r="AM4" i="47"/>
  <c r="AI4" i="47"/>
  <c r="AG4" i="47"/>
  <c r="AC4" i="47"/>
  <c r="G71" i="46"/>
  <c r="G72" i="46" s="1"/>
  <c r="G74" i="46" s="1"/>
  <c r="O11" i="46"/>
  <c r="P32" i="46" s="1"/>
  <c r="M11" i="46"/>
  <c r="N32" i="46" s="1"/>
  <c r="H13" i="46"/>
  <c r="H59" i="46" s="1"/>
  <c r="AD4" i="47"/>
  <c r="W4" i="47"/>
  <c r="Q4" i="47"/>
  <c r="L4" i="47"/>
  <c r="U11" i="46"/>
  <c r="P13" i="46"/>
  <c r="E11" i="46"/>
  <c r="F32" i="46" s="1"/>
  <c r="AK4" i="47"/>
  <c r="Y4" i="47"/>
  <c r="T4" i="47"/>
  <c r="O4" i="47"/>
  <c r="F13" i="46"/>
  <c r="F71" i="46"/>
  <c r="F72" i="46" s="1"/>
  <c r="F74" i="46" s="1"/>
  <c r="F12" i="46"/>
  <c r="F27" i="46"/>
  <c r="F29" i="46" s="1"/>
  <c r="F14" i="46"/>
  <c r="F10" i="46"/>
  <c r="F11" i="46"/>
  <c r="G32" i="46" s="1"/>
  <c r="G27" i="46"/>
  <c r="G29" i="46" s="1"/>
  <c r="G12" i="46"/>
  <c r="R9" i="46"/>
  <c r="N9" i="46"/>
  <c r="J9" i="46"/>
  <c r="AJ4" i="47"/>
  <c r="Z4" i="47"/>
  <c r="V4" i="47"/>
  <c r="R4" i="47"/>
  <c r="N4" i="47"/>
  <c r="AL4" i="47"/>
  <c r="AH4" i="47"/>
  <c r="AF4" i="47"/>
  <c r="AB4" i="47"/>
  <c r="O13" i="46"/>
  <c r="O58" i="46" s="1"/>
  <c r="O12" i="46"/>
  <c r="AL16" i="50"/>
  <c r="AL17" i="50" s="1"/>
  <c r="AH16" i="50"/>
  <c r="AH17" i="50" s="1"/>
  <c r="AD16" i="50"/>
  <c r="AD17" i="50" s="1"/>
  <c r="Z16" i="50"/>
  <c r="Z17" i="50" s="1"/>
  <c r="V16" i="50"/>
  <c r="V17" i="50" s="1"/>
  <c r="R16" i="50"/>
  <c r="R17" i="50" s="1"/>
  <c r="N16" i="50"/>
  <c r="N17" i="50" s="1"/>
  <c r="J16" i="50"/>
  <c r="AK16" i="50"/>
  <c r="AK17" i="50" s="1"/>
  <c r="AG16" i="50"/>
  <c r="AG17" i="50" s="1"/>
  <c r="AC16" i="50"/>
  <c r="AC17" i="50" s="1"/>
  <c r="Y16" i="50"/>
  <c r="Y17" i="50" s="1"/>
  <c r="U16" i="50"/>
  <c r="U17" i="50" s="1"/>
  <c r="Q16" i="50"/>
  <c r="Q17" i="50" s="1"/>
  <c r="M16" i="50"/>
  <c r="M17" i="50" s="1"/>
  <c r="I16" i="50"/>
  <c r="AF16" i="50"/>
  <c r="AF17" i="50" s="1"/>
  <c r="X16" i="50"/>
  <c r="X17" i="50" s="1"/>
  <c r="P16" i="50"/>
  <c r="P17" i="50" s="1"/>
  <c r="AM16" i="50"/>
  <c r="AM17" i="50" s="1"/>
  <c r="AE16" i="50"/>
  <c r="AE17" i="50" s="1"/>
  <c r="W16" i="50"/>
  <c r="W17" i="50" s="1"/>
  <c r="O16" i="50"/>
  <c r="O17" i="50" s="1"/>
  <c r="AI16" i="50"/>
  <c r="AI17" i="50" s="1"/>
  <c r="S16" i="50"/>
  <c r="S17" i="50" s="1"/>
  <c r="AJ16" i="50"/>
  <c r="AJ17" i="50" s="1"/>
  <c r="T16" i="50"/>
  <c r="T17" i="50" s="1"/>
  <c r="AB16" i="50"/>
  <c r="AB17" i="50" s="1"/>
  <c r="L16" i="50"/>
  <c r="L17" i="50" s="1"/>
  <c r="AA16" i="50"/>
  <c r="AA17" i="50" s="1"/>
  <c r="K16" i="50"/>
  <c r="C34" i="48"/>
  <c r="AM4" i="50"/>
  <c r="AI4" i="50"/>
  <c r="AE4" i="50"/>
  <c r="AA4" i="50"/>
  <c r="W4" i="50"/>
  <c r="S4" i="50"/>
  <c r="O4" i="50"/>
  <c r="K4" i="50"/>
  <c r="C34" i="51"/>
  <c r="AL4" i="50"/>
  <c r="AH4" i="50"/>
  <c r="AD4" i="50"/>
  <c r="Z4" i="50"/>
  <c r="V4" i="50"/>
  <c r="R4" i="50"/>
  <c r="N4" i="50"/>
  <c r="J4" i="50"/>
  <c r="AG4" i="50"/>
  <c r="Y4" i="50"/>
  <c r="Q4" i="50"/>
  <c r="AF4" i="50"/>
  <c r="X4" i="50"/>
  <c r="P4" i="50"/>
  <c r="AB4" i="50"/>
  <c r="L4" i="50"/>
  <c r="AJ4" i="50"/>
  <c r="AC4" i="50"/>
  <c r="M4" i="50"/>
  <c r="AK4" i="50"/>
  <c r="U4" i="50"/>
  <c r="T4" i="50"/>
  <c r="O29" i="46"/>
  <c r="G14" i="46"/>
  <c r="G11" i="46"/>
  <c r="H32" i="46" s="1"/>
  <c r="U9" i="49"/>
  <c r="Q9" i="49"/>
  <c r="M9" i="49"/>
  <c r="I9" i="49"/>
  <c r="E9" i="49"/>
  <c r="O9" i="49"/>
  <c r="G9" i="49"/>
  <c r="T9" i="49"/>
  <c r="P9" i="49"/>
  <c r="L9" i="49"/>
  <c r="H9" i="49"/>
  <c r="D9" i="49"/>
  <c r="K9" i="50" s="1"/>
  <c r="S9" i="49"/>
  <c r="K9" i="49"/>
  <c r="N9" i="49"/>
  <c r="J9" i="49"/>
  <c r="R9" i="49"/>
  <c r="F9" i="49"/>
  <c r="O10" i="46"/>
  <c r="H58" i="46"/>
  <c r="S27" i="46"/>
  <c r="S29" i="46" s="1"/>
  <c r="K27" i="46"/>
  <c r="K29" i="46" s="1"/>
  <c r="S14" i="46"/>
  <c r="K14" i="46"/>
  <c r="S13" i="46"/>
  <c r="L13" i="46"/>
  <c r="L58" i="46" s="1"/>
  <c r="J9" i="47"/>
  <c r="K71" i="46"/>
  <c r="K72" i="46" s="1"/>
  <c r="K74" i="46" s="1"/>
  <c r="K13" i="46"/>
  <c r="S12" i="46"/>
  <c r="S54" i="46" s="1"/>
  <c r="K12" i="46"/>
  <c r="S11" i="46"/>
  <c r="T32" i="46" s="1"/>
  <c r="K11" i="46"/>
  <c r="F58" i="46"/>
  <c r="F59" i="46"/>
  <c r="AH17" i="47"/>
  <c r="R17" i="47"/>
  <c r="AD17" i="47"/>
  <c r="N17" i="47"/>
  <c r="Z17" i="47"/>
  <c r="T13" i="46"/>
  <c r="D13" i="46"/>
  <c r="AL17" i="47"/>
  <c r="V17" i="47"/>
  <c r="AK17" i="47"/>
  <c r="AG17" i="47"/>
  <c r="AC17" i="47"/>
  <c r="Y17" i="47"/>
  <c r="U17" i="47"/>
  <c r="Q17" i="47"/>
  <c r="M17" i="47"/>
  <c r="AJ17" i="47"/>
  <c r="AF17" i="47"/>
  <c r="AB17" i="47"/>
  <c r="X17" i="47"/>
  <c r="T17" i="47"/>
  <c r="P17" i="47"/>
  <c r="L17" i="47"/>
  <c r="AM17" i="47"/>
  <c r="AI17" i="47"/>
  <c r="AE17" i="47"/>
  <c r="AA17" i="47"/>
  <c r="W17" i="47"/>
  <c r="S17" i="47"/>
  <c r="O17" i="47"/>
  <c r="G59" i="46"/>
  <c r="U13" i="46"/>
  <c r="U59" i="46" s="1"/>
  <c r="Q13" i="46"/>
  <c r="M13" i="46"/>
  <c r="E13" i="46"/>
  <c r="I10" i="46"/>
  <c r="I12" i="46"/>
  <c r="I14" i="46"/>
  <c r="I27" i="46"/>
  <c r="I29" i="46" s="1"/>
  <c r="P10" i="46"/>
  <c r="P12" i="46"/>
  <c r="P14" i="46"/>
  <c r="P27" i="46"/>
  <c r="P29" i="46" s="1"/>
  <c r="H10" i="46"/>
  <c r="H12" i="46"/>
  <c r="H14" i="46"/>
  <c r="H27" i="46"/>
  <c r="H29" i="46" s="1"/>
  <c r="H71" i="46"/>
  <c r="H72" i="46" s="1"/>
  <c r="H74" i="46" s="1"/>
  <c r="I71" i="46"/>
  <c r="I72" i="46" s="1"/>
  <c r="I74" i="46" s="1"/>
  <c r="I11" i="46"/>
  <c r="J32" i="46" s="1"/>
  <c r="U10" i="46"/>
  <c r="U12" i="46"/>
  <c r="U14" i="46"/>
  <c r="U27" i="46"/>
  <c r="U29" i="46" s="1"/>
  <c r="Q10" i="46"/>
  <c r="Q12" i="46"/>
  <c r="Q14" i="46"/>
  <c r="Q27" i="46"/>
  <c r="Q29" i="46" s="1"/>
  <c r="M10" i="46"/>
  <c r="M12" i="46"/>
  <c r="M14" i="46"/>
  <c r="M27" i="46"/>
  <c r="M29" i="46" s="1"/>
  <c r="E10" i="46"/>
  <c r="E12" i="46"/>
  <c r="E14" i="46"/>
  <c r="E27" i="46"/>
  <c r="E29" i="46" s="1"/>
  <c r="E71" i="46"/>
  <c r="E72" i="46" s="1"/>
  <c r="E74" i="46" s="1"/>
  <c r="I58" i="46"/>
  <c r="U44" i="46"/>
  <c r="T10" i="46"/>
  <c r="T12" i="46"/>
  <c r="T14" i="46"/>
  <c r="T27" i="46"/>
  <c r="T29" i="46" s="1"/>
  <c r="L10" i="46"/>
  <c r="L12" i="46"/>
  <c r="L14" i="46"/>
  <c r="L27" i="46"/>
  <c r="L29" i="46" s="1"/>
  <c r="L71" i="46"/>
  <c r="L72" i="46" s="1"/>
  <c r="L74" i="46" s="1"/>
  <c r="D10" i="46"/>
  <c r="D12" i="46"/>
  <c r="D14" i="46"/>
  <c r="D27" i="46"/>
  <c r="D29" i="46" s="1"/>
  <c r="D71" i="46"/>
  <c r="D72" i="46" s="1"/>
  <c r="D74" i="46" s="1"/>
  <c r="T11" i="46"/>
  <c r="U32" i="46" s="1"/>
  <c r="P11" i="46"/>
  <c r="Q32" i="46" s="1"/>
  <c r="L11" i="46"/>
  <c r="M32" i="46" s="1"/>
  <c r="H11" i="46"/>
  <c r="I32" i="46" s="1"/>
  <c r="D11" i="46"/>
  <c r="E32" i="46" s="1"/>
  <c r="H55" i="4"/>
  <c r="K17" i="47" l="1"/>
  <c r="K17" i="50"/>
  <c r="C19" i="47"/>
  <c r="C22" i="47" s="1"/>
  <c r="S77" i="46"/>
  <c r="S79" i="46" s="1"/>
  <c r="Q77" i="46"/>
  <c r="Q79" i="46" s="1"/>
  <c r="M77" i="46"/>
  <c r="M79" i="46" s="1"/>
  <c r="T77" i="46"/>
  <c r="T79" i="46" s="1"/>
  <c r="F77" i="46"/>
  <c r="F79" i="46" s="1"/>
  <c r="L32" i="46"/>
  <c r="O77" i="46"/>
  <c r="O79" i="46" s="1"/>
  <c r="O59" i="46"/>
  <c r="L77" i="46"/>
  <c r="L79" i="46" s="1"/>
  <c r="G77" i="46"/>
  <c r="G79" i="46" s="1"/>
  <c r="U58" i="46"/>
  <c r="H77" i="46"/>
  <c r="H79" i="46" s="1"/>
  <c r="P77" i="46"/>
  <c r="P79" i="46" s="1"/>
  <c r="F71" i="49"/>
  <c r="F72" i="49" s="1"/>
  <c r="F74" i="49" s="1"/>
  <c r="F27" i="49"/>
  <c r="F29" i="49" s="1"/>
  <c r="F13" i="49"/>
  <c r="F14" i="49"/>
  <c r="F12" i="49"/>
  <c r="F10" i="49"/>
  <c r="F77" i="49" s="1"/>
  <c r="F79" i="49" s="1"/>
  <c r="F11" i="49"/>
  <c r="G32" i="49" s="1"/>
  <c r="K71" i="49"/>
  <c r="K72" i="49" s="1"/>
  <c r="K74" i="49" s="1"/>
  <c r="K14" i="49"/>
  <c r="K12" i="49"/>
  <c r="K10" i="49"/>
  <c r="K77" i="49" s="1"/>
  <c r="K79" i="49" s="1"/>
  <c r="K27" i="49"/>
  <c r="K29" i="49" s="1"/>
  <c r="K13" i="49"/>
  <c r="K11" i="49"/>
  <c r="L14" i="49"/>
  <c r="L71" i="49"/>
  <c r="L72" i="49" s="1"/>
  <c r="L74" i="49" s="1"/>
  <c r="L27" i="49"/>
  <c r="L29" i="49" s="1"/>
  <c r="L13" i="49"/>
  <c r="L11" i="49"/>
  <c r="M32" i="49" s="1"/>
  <c r="L10" i="49"/>
  <c r="L77" i="49" s="1"/>
  <c r="L79" i="49" s="1"/>
  <c r="L12" i="49"/>
  <c r="O27" i="49"/>
  <c r="O29" i="49" s="1"/>
  <c r="O14" i="49"/>
  <c r="O12" i="49"/>
  <c r="O10" i="49"/>
  <c r="O77" i="49" s="1"/>
  <c r="O79" i="49" s="1"/>
  <c r="O11" i="49"/>
  <c r="P32" i="49" s="1"/>
  <c r="O13" i="49"/>
  <c r="Q27" i="49"/>
  <c r="Q29" i="49" s="1"/>
  <c r="Q13" i="49"/>
  <c r="Q11" i="49"/>
  <c r="R32" i="49" s="1"/>
  <c r="Q14" i="49"/>
  <c r="Q10" i="49"/>
  <c r="Q77" i="49" s="1"/>
  <c r="Q79" i="49" s="1"/>
  <c r="Q12" i="49"/>
  <c r="C36" i="48"/>
  <c r="C36" i="51"/>
  <c r="J10" i="46"/>
  <c r="J11" i="46"/>
  <c r="K32" i="46" s="1"/>
  <c r="J14" i="46"/>
  <c r="J27" i="46"/>
  <c r="J29" i="46" s="1"/>
  <c r="J71" i="46"/>
  <c r="J72" i="46" s="1"/>
  <c r="J74" i="46" s="1"/>
  <c r="J12" i="46"/>
  <c r="J13" i="46"/>
  <c r="D77" i="46"/>
  <c r="D79" i="46" s="1"/>
  <c r="E77" i="46"/>
  <c r="E79" i="46" s="1"/>
  <c r="I77" i="46"/>
  <c r="I79" i="46" s="1"/>
  <c r="R27" i="49"/>
  <c r="R29" i="49" s="1"/>
  <c r="R13" i="49"/>
  <c r="R14" i="49"/>
  <c r="R12" i="49"/>
  <c r="R10" i="49"/>
  <c r="R77" i="49" s="1"/>
  <c r="R79" i="49" s="1"/>
  <c r="R11" i="49"/>
  <c r="S32" i="49" s="1"/>
  <c r="S14" i="49"/>
  <c r="S12" i="49"/>
  <c r="S10" i="49"/>
  <c r="S27" i="49"/>
  <c r="S29" i="49" s="1"/>
  <c r="S13" i="49"/>
  <c r="S11" i="49"/>
  <c r="T32" i="49" s="1"/>
  <c r="P27" i="49"/>
  <c r="P29" i="49" s="1"/>
  <c r="P14" i="49"/>
  <c r="P12" i="49"/>
  <c r="P13" i="49"/>
  <c r="P11" i="49"/>
  <c r="Q32" i="49" s="1"/>
  <c r="P10" i="49"/>
  <c r="E27" i="49"/>
  <c r="E29" i="49" s="1"/>
  <c r="E13" i="49"/>
  <c r="E11" i="49"/>
  <c r="F32" i="49" s="1"/>
  <c r="E71" i="49"/>
  <c r="E72" i="49" s="1"/>
  <c r="E74" i="49" s="1"/>
  <c r="E12" i="49"/>
  <c r="E14" i="49"/>
  <c r="E10" i="49"/>
  <c r="E77" i="49" s="1"/>
  <c r="E79" i="49" s="1"/>
  <c r="U27" i="49"/>
  <c r="U29" i="49" s="1"/>
  <c r="U13" i="49"/>
  <c r="U11" i="49"/>
  <c r="U12" i="49"/>
  <c r="U44" i="49"/>
  <c r="U14" i="49"/>
  <c r="U10" i="49"/>
  <c r="J9" i="50"/>
  <c r="N12" i="46"/>
  <c r="N13" i="46"/>
  <c r="N27" i="46"/>
  <c r="N29" i="46" s="1"/>
  <c r="N10" i="46"/>
  <c r="N77" i="46" s="1"/>
  <c r="N79" i="46" s="1"/>
  <c r="N11" i="46"/>
  <c r="O32" i="46" s="1"/>
  <c r="N14" i="46"/>
  <c r="J71" i="49"/>
  <c r="J72" i="49" s="1"/>
  <c r="J74" i="49" s="1"/>
  <c r="J27" i="49"/>
  <c r="J29" i="49" s="1"/>
  <c r="J13" i="49"/>
  <c r="J14" i="49"/>
  <c r="J12" i="49"/>
  <c r="J10" i="49"/>
  <c r="J11" i="49"/>
  <c r="K32" i="49" s="1"/>
  <c r="T44" i="49"/>
  <c r="S44" i="49" s="1"/>
  <c r="T14" i="49"/>
  <c r="T12" i="49"/>
  <c r="T27" i="49"/>
  <c r="T29" i="49" s="1"/>
  <c r="T13" i="49"/>
  <c r="T11" i="49"/>
  <c r="T10" i="49"/>
  <c r="T77" i="49" s="1"/>
  <c r="T79" i="49" s="1"/>
  <c r="I71" i="49"/>
  <c r="I72" i="49" s="1"/>
  <c r="I74" i="49" s="1"/>
  <c r="I27" i="49"/>
  <c r="I29" i="49" s="1"/>
  <c r="I13" i="49"/>
  <c r="I11" i="49"/>
  <c r="J32" i="49" s="1"/>
  <c r="I14" i="49"/>
  <c r="I10" i="49"/>
  <c r="I77" i="49" s="1"/>
  <c r="I79" i="49" s="1"/>
  <c r="I12" i="49"/>
  <c r="D71" i="49"/>
  <c r="D72" i="49" s="1"/>
  <c r="D74" i="49" s="1"/>
  <c r="D14" i="49"/>
  <c r="D27" i="49"/>
  <c r="D29" i="49" s="1"/>
  <c r="D13" i="49"/>
  <c r="D11" i="49"/>
  <c r="E32" i="49" s="1"/>
  <c r="D12" i="49"/>
  <c r="D10" i="49"/>
  <c r="D77" i="49" s="1"/>
  <c r="D79" i="49" s="1"/>
  <c r="R11" i="46"/>
  <c r="S32" i="46" s="1"/>
  <c r="R14" i="46"/>
  <c r="R10" i="46"/>
  <c r="R77" i="46" s="1"/>
  <c r="R79" i="46" s="1"/>
  <c r="R12" i="46"/>
  <c r="R13" i="46"/>
  <c r="R27" i="46"/>
  <c r="R29" i="46" s="1"/>
  <c r="R44" i="46"/>
  <c r="Q44" i="46" s="1"/>
  <c r="P44" i="46" s="1"/>
  <c r="O44" i="46" s="1"/>
  <c r="N44" i="46" s="1"/>
  <c r="M44" i="46" s="1"/>
  <c r="L44" i="46" s="1"/>
  <c r="K44" i="46" s="1"/>
  <c r="J44" i="46" s="1"/>
  <c r="I44" i="46" s="1"/>
  <c r="H44" i="46" s="1"/>
  <c r="G44" i="46" s="1"/>
  <c r="F44" i="46" s="1"/>
  <c r="E44" i="46" s="1"/>
  <c r="D44" i="46" s="1"/>
  <c r="N27" i="49"/>
  <c r="N29" i="49" s="1"/>
  <c r="N13" i="49"/>
  <c r="N14" i="49"/>
  <c r="N12" i="49"/>
  <c r="N10" i="49"/>
  <c r="N77" i="49" s="1"/>
  <c r="N79" i="49" s="1"/>
  <c r="N11" i="49"/>
  <c r="O32" i="49" s="1"/>
  <c r="H71" i="49"/>
  <c r="H72" i="49" s="1"/>
  <c r="H74" i="49" s="1"/>
  <c r="H27" i="49"/>
  <c r="H29" i="49" s="1"/>
  <c r="H14" i="49"/>
  <c r="H13" i="49"/>
  <c r="H11" i="49"/>
  <c r="I32" i="49" s="1"/>
  <c r="H12" i="49"/>
  <c r="H10" i="49"/>
  <c r="H77" i="49" s="1"/>
  <c r="H79" i="49" s="1"/>
  <c r="G71" i="49"/>
  <c r="G72" i="49" s="1"/>
  <c r="G74" i="49" s="1"/>
  <c r="G27" i="49"/>
  <c r="G29" i="49" s="1"/>
  <c r="G14" i="49"/>
  <c r="G12" i="49"/>
  <c r="G10" i="49"/>
  <c r="G77" i="49" s="1"/>
  <c r="G79" i="49" s="1"/>
  <c r="G11" i="49"/>
  <c r="H32" i="49" s="1"/>
  <c r="G13" i="49"/>
  <c r="M27" i="49"/>
  <c r="M29" i="49" s="1"/>
  <c r="M13" i="49"/>
  <c r="M11" i="49"/>
  <c r="N32" i="49" s="1"/>
  <c r="M12" i="49"/>
  <c r="M14" i="49"/>
  <c r="M10" i="49"/>
  <c r="M77" i="49" s="1"/>
  <c r="M79" i="49" s="1"/>
  <c r="S53" i="46"/>
  <c r="J17" i="47"/>
  <c r="L59" i="46"/>
  <c r="D58" i="46"/>
  <c r="D59" i="46"/>
  <c r="E59" i="46"/>
  <c r="E58" i="46"/>
  <c r="T53" i="46"/>
  <c r="T54" i="46"/>
  <c r="U53" i="46"/>
  <c r="U54" i="46"/>
  <c r="M71" i="46"/>
  <c r="D6" i="42"/>
  <c r="F87" i="45"/>
  <c r="E87" i="45"/>
  <c r="D87" i="45"/>
  <c r="F73" i="45"/>
  <c r="E73" i="45"/>
  <c r="D73" i="45"/>
  <c r="C73" i="45"/>
  <c r="F70" i="45"/>
  <c r="E70" i="45"/>
  <c r="D70" i="45"/>
  <c r="C70" i="45"/>
  <c r="F59" i="45"/>
  <c r="F71" i="45" s="1"/>
  <c r="E59" i="45"/>
  <c r="E71" i="45" s="1"/>
  <c r="D59" i="45"/>
  <c r="C59" i="45"/>
  <c r="C71" i="45" s="1"/>
  <c r="C47" i="45"/>
  <c r="F41" i="45"/>
  <c r="F42" i="45" s="1"/>
  <c r="E41" i="45"/>
  <c r="E42" i="45" s="1"/>
  <c r="D41" i="45"/>
  <c r="D42" i="45" s="1"/>
  <c r="C41" i="45"/>
  <c r="C42" i="45" s="1"/>
  <c r="F29" i="45"/>
  <c r="F33" i="45" s="1"/>
  <c r="E29" i="45"/>
  <c r="E33" i="45" s="1"/>
  <c r="D29" i="45"/>
  <c r="D33" i="45" s="1"/>
  <c r="C29" i="45"/>
  <c r="C33" i="45" s="1"/>
  <c r="F18" i="45"/>
  <c r="F30" i="45" s="1"/>
  <c r="E18" i="45"/>
  <c r="E30" i="45" s="1"/>
  <c r="D18" i="45"/>
  <c r="D30" i="45" s="1"/>
  <c r="C18" i="45"/>
  <c r="D6" i="45"/>
  <c r="D47" i="45" s="1"/>
  <c r="A3" i="45"/>
  <c r="A2" i="45"/>
  <c r="A3" i="44"/>
  <c r="A2" i="44"/>
  <c r="D105" i="43"/>
  <c r="C105" i="43"/>
  <c r="B105" i="43"/>
  <c r="E104" i="43"/>
  <c r="E103" i="43"/>
  <c r="E102" i="43"/>
  <c r="E101" i="43"/>
  <c r="E100" i="43"/>
  <c r="E99" i="43"/>
  <c r="E98" i="43"/>
  <c r="E97" i="43"/>
  <c r="E96" i="43"/>
  <c r="E95" i="43"/>
  <c r="E94" i="43"/>
  <c r="E93" i="43"/>
  <c r="E91" i="43"/>
  <c r="E90" i="43"/>
  <c r="D83" i="43"/>
  <c r="D77" i="43"/>
  <c r="D111" i="43" s="1"/>
  <c r="B67" i="43"/>
  <c r="D46" i="43"/>
  <c r="B41" i="43"/>
  <c r="B25" i="43"/>
  <c r="B21" i="43"/>
  <c r="D20" i="43"/>
  <c r="D21" i="43" s="1"/>
  <c r="A14" i="43"/>
  <c r="D12" i="43"/>
  <c r="D25" i="43" s="1"/>
  <c r="A8" i="43"/>
  <c r="A3" i="43"/>
  <c r="A2" i="43"/>
  <c r="B157" i="42"/>
  <c r="B156" i="42"/>
  <c r="J153" i="42"/>
  <c r="I153" i="42"/>
  <c r="B148" i="42"/>
  <c r="F142" i="42"/>
  <c r="E141" i="42"/>
  <c r="H140" i="42"/>
  <c r="D140" i="42"/>
  <c r="B140" i="42"/>
  <c r="I138" i="42"/>
  <c r="H138" i="42"/>
  <c r="G138" i="42"/>
  <c r="F138" i="42"/>
  <c r="E138" i="42"/>
  <c r="D138" i="42"/>
  <c r="C138" i="42"/>
  <c r="J137" i="42"/>
  <c r="I142" i="42" s="1"/>
  <c r="J136" i="42"/>
  <c r="H141" i="42" s="1"/>
  <c r="J135" i="42"/>
  <c r="I140" i="42" s="1"/>
  <c r="B135" i="42"/>
  <c r="J129" i="42"/>
  <c r="B129" i="42"/>
  <c r="B122" i="42"/>
  <c r="J121" i="42"/>
  <c r="J120" i="42"/>
  <c r="J119" i="42"/>
  <c r="J118" i="42"/>
  <c r="J117" i="42"/>
  <c r="H115" i="42"/>
  <c r="H154" i="42" s="1"/>
  <c r="G115" i="42"/>
  <c r="G154" i="42" s="1"/>
  <c r="F115" i="42"/>
  <c r="F154" i="42" s="1"/>
  <c r="E115" i="42"/>
  <c r="D115" i="42"/>
  <c r="C115" i="42"/>
  <c r="B115" i="42"/>
  <c r="B109" i="42"/>
  <c r="B107" i="42"/>
  <c r="C105" i="42"/>
  <c r="C107" i="42" s="1"/>
  <c r="D104" i="42" s="1"/>
  <c r="D105" i="42" s="1"/>
  <c r="B104" i="42"/>
  <c r="H102" i="42"/>
  <c r="K102" i="42" s="1"/>
  <c r="G102" i="42"/>
  <c r="J102" i="42" s="1"/>
  <c r="F102" i="42"/>
  <c r="I102" i="42" s="1"/>
  <c r="I105" i="42" s="1"/>
  <c r="I107" i="42" s="1"/>
  <c r="J104" i="42" s="1"/>
  <c r="I101" i="42"/>
  <c r="J101" i="42" s="1"/>
  <c r="K101" i="42" s="1"/>
  <c r="F101" i="42"/>
  <c r="G101" i="42" s="1"/>
  <c r="H101" i="42" s="1"/>
  <c r="D101" i="42"/>
  <c r="I85" i="42"/>
  <c r="J85" i="42" s="1"/>
  <c r="G85" i="42"/>
  <c r="F85" i="42"/>
  <c r="C85" i="42"/>
  <c r="J84" i="42"/>
  <c r="G84" i="42"/>
  <c r="D84" i="42"/>
  <c r="J80" i="42"/>
  <c r="G80" i="42"/>
  <c r="G81" i="42" s="1"/>
  <c r="H79" i="42" s="1"/>
  <c r="H80" i="42" s="1"/>
  <c r="D80" i="42"/>
  <c r="D81" i="42" s="1"/>
  <c r="D90" i="42" s="1"/>
  <c r="D94" i="42" s="1"/>
  <c r="H77" i="42"/>
  <c r="E77" i="42"/>
  <c r="I76" i="42"/>
  <c r="F76" i="42"/>
  <c r="I63" i="42"/>
  <c r="J63" i="42" s="1"/>
  <c r="F63" i="42"/>
  <c r="G63" i="42" s="1"/>
  <c r="C63" i="42"/>
  <c r="J62" i="42"/>
  <c r="G62" i="42"/>
  <c r="D62" i="42"/>
  <c r="B62" i="42"/>
  <c r="J58" i="42"/>
  <c r="J59" i="42" s="1"/>
  <c r="K57" i="42" s="1"/>
  <c r="K58" i="42" s="1"/>
  <c r="G58" i="42"/>
  <c r="D58" i="42"/>
  <c r="D59" i="42" s="1"/>
  <c r="H55" i="42"/>
  <c r="E55" i="42"/>
  <c r="I54" i="42"/>
  <c r="F54" i="42"/>
  <c r="I41" i="42"/>
  <c r="J41" i="42" s="1"/>
  <c r="F41" i="42"/>
  <c r="G41" i="42" s="1"/>
  <c r="C41" i="42"/>
  <c r="J40" i="42"/>
  <c r="G40" i="42"/>
  <c r="D40" i="42"/>
  <c r="J36" i="42"/>
  <c r="G36" i="42"/>
  <c r="G37" i="42" s="1"/>
  <c r="H35" i="42" s="1"/>
  <c r="H36" i="42" s="1"/>
  <c r="D36" i="42"/>
  <c r="D37" i="42" s="1"/>
  <c r="H33" i="42"/>
  <c r="E33" i="42"/>
  <c r="I32" i="42"/>
  <c r="F32" i="42"/>
  <c r="J29" i="42"/>
  <c r="K26" i="42" s="1"/>
  <c r="G29" i="42"/>
  <c r="H27" i="42" s="1"/>
  <c r="D29" i="42"/>
  <c r="E28" i="42" s="1"/>
  <c r="E29" i="42" s="1"/>
  <c r="H28" i="42"/>
  <c r="H29" i="42" s="1"/>
  <c r="B28" i="42"/>
  <c r="B75" i="42" s="1"/>
  <c r="B27" i="42"/>
  <c r="B53" i="42" s="1"/>
  <c r="H26" i="42"/>
  <c r="B26" i="42"/>
  <c r="B31" i="42" s="1"/>
  <c r="J23" i="42"/>
  <c r="G23" i="42"/>
  <c r="H16" i="42"/>
  <c r="G16" i="42"/>
  <c r="F16" i="42"/>
  <c r="E16" i="42"/>
  <c r="D16" i="42"/>
  <c r="C16" i="42"/>
  <c r="I15" i="42"/>
  <c r="J15" i="42" s="1"/>
  <c r="I115" i="42"/>
  <c r="H13" i="42"/>
  <c r="G13" i="42"/>
  <c r="F13" i="42"/>
  <c r="E13" i="42"/>
  <c r="D13" i="42"/>
  <c r="C13" i="42"/>
  <c r="B11" i="42"/>
  <c r="A3" i="42"/>
  <c r="A2" i="42"/>
  <c r="U32" i="49" l="1"/>
  <c r="C27" i="47"/>
  <c r="I22" i="47"/>
  <c r="I23" i="47" s="1"/>
  <c r="P77" i="49"/>
  <c r="P79" i="49" s="1"/>
  <c r="M71" i="49"/>
  <c r="M72" i="49" s="1"/>
  <c r="M74" i="49" s="1"/>
  <c r="R44" i="49"/>
  <c r="Q44" i="49" s="1"/>
  <c r="P44" i="49" s="1"/>
  <c r="O44" i="49" s="1"/>
  <c r="N44" i="49" s="1"/>
  <c r="M44" i="49" s="1"/>
  <c r="L44" i="49" s="1"/>
  <c r="K44" i="49" s="1"/>
  <c r="J44" i="49" s="1"/>
  <c r="I44" i="49" s="1"/>
  <c r="H44" i="49" s="1"/>
  <c r="G44" i="49" s="1"/>
  <c r="F44" i="49" s="1"/>
  <c r="E44" i="49" s="1"/>
  <c r="D44" i="49" s="1"/>
  <c r="S77" i="49"/>
  <c r="S79" i="49" s="1"/>
  <c r="C32" i="46"/>
  <c r="J58" i="46" s="1"/>
  <c r="J59" i="46" s="1"/>
  <c r="C82" i="46"/>
  <c r="C83" i="46" s="1"/>
  <c r="C85" i="46" s="1"/>
  <c r="J17" i="50"/>
  <c r="I22" i="50" s="1"/>
  <c r="I23" i="50" s="1"/>
  <c r="C19" i="50"/>
  <c r="H58" i="49"/>
  <c r="H59" i="49"/>
  <c r="N71" i="49"/>
  <c r="T54" i="49"/>
  <c r="T53" i="49"/>
  <c r="U53" i="49"/>
  <c r="U54" i="49"/>
  <c r="S54" i="49"/>
  <c r="S53" i="49"/>
  <c r="R59" i="49"/>
  <c r="R58" i="49"/>
  <c r="O59" i="49"/>
  <c r="O58" i="49"/>
  <c r="F59" i="49"/>
  <c r="F58" i="49"/>
  <c r="G59" i="49"/>
  <c r="G58" i="49"/>
  <c r="N58" i="49"/>
  <c r="N59" i="49" s="1"/>
  <c r="I58" i="49"/>
  <c r="I59" i="49"/>
  <c r="J77" i="49"/>
  <c r="J79" i="49" s="1"/>
  <c r="R58" i="46"/>
  <c r="R59" i="46"/>
  <c r="D58" i="49"/>
  <c r="D59" i="49"/>
  <c r="L32" i="49"/>
  <c r="C32" i="49" s="1"/>
  <c r="O53" i="49" s="1"/>
  <c r="O54" i="49" s="1"/>
  <c r="U59" i="49"/>
  <c r="U58" i="49"/>
  <c r="E58" i="49"/>
  <c r="E59" i="49"/>
  <c r="L59" i="49"/>
  <c r="L58" i="49"/>
  <c r="C48" i="46" a="1"/>
  <c r="N71" i="46"/>
  <c r="M72" i="46"/>
  <c r="M74" i="46" s="1"/>
  <c r="K28" i="42"/>
  <c r="K29" i="42" s="1"/>
  <c r="E79" i="42"/>
  <c r="K27" i="42"/>
  <c r="E80" i="42"/>
  <c r="F140" i="42"/>
  <c r="G141" i="42"/>
  <c r="H142" i="42"/>
  <c r="E105" i="43"/>
  <c r="C30" i="45"/>
  <c r="I141" i="42"/>
  <c r="D6" i="43"/>
  <c r="D5" i="45" s="1"/>
  <c r="E26" i="42"/>
  <c r="E27" i="42"/>
  <c r="J105" i="42"/>
  <c r="J107" i="42" s="1"/>
  <c r="K104" i="42" s="1"/>
  <c r="C141" i="42"/>
  <c r="D142" i="42"/>
  <c r="D71" i="45"/>
  <c r="E6" i="45"/>
  <c r="F6" i="45" s="1"/>
  <c r="F47" i="45" s="1"/>
  <c r="D79" i="43"/>
  <c r="D109" i="43" s="1"/>
  <c r="D84" i="43"/>
  <c r="D46" i="42"/>
  <c r="D47" i="42"/>
  <c r="E36" i="42"/>
  <c r="E35" i="42"/>
  <c r="D68" i="42"/>
  <c r="D69" i="42"/>
  <c r="E58" i="42"/>
  <c r="E57" i="42"/>
  <c r="K107" i="42"/>
  <c r="K105" i="42"/>
  <c r="C100" i="42"/>
  <c r="C134" i="42"/>
  <c r="C114" i="42"/>
  <c r="I100" i="42"/>
  <c r="E153" i="42"/>
  <c r="E128" i="42"/>
  <c r="G134" i="42"/>
  <c r="G114" i="42"/>
  <c r="D63" i="42"/>
  <c r="D85" i="42"/>
  <c r="J115" i="42"/>
  <c r="C128" i="42"/>
  <c r="E134" i="42"/>
  <c r="C153" i="42"/>
  <c r="D153" i="42"/>
  <c r="D134" i="42"/>
  <c r="D128" i="42"/>
  <c r="D114" i="42"/>
  <c r="F100" i="42"/>
  <c r="F153" i="42"/>
  <c r="F134" i="42"/>
  <c r="F128" i="42"/>
  <c r="F114" i="42"/>
  <c r="H153" i="42"/>
  <c r="H134" i="42"/>
  <c r="H128" i="42"/>
  <c r="H114" i="42"/>
  <c r="I16" i="42"/>
  <c r="J16" i="42" s="1"/>
  <c r="J37" i="42"/>
  <c r="K35" i="42" s="1"/>
  <c r="K36" i="42" s="1"/>
  <c r="D41" i="42"/>
  <c r="G59" i="42"/>
  <c r="H57" i="42" s="1"/>
  <c r="H58" i="42" s="1"/>
  <c r="E94" i="42"/>
  <c r="D86" i="42"/>
  <c r="C86" i="42" s="1"/>
  <c r="D91" i="42"/>
  <c r="B141" i="42"/>
  <c r="E101" i="42"/>
  <c r="D107" i="42"/>
  <c r="E104" i="42" s="1"/>
  <c r="E114" i="42"/>
  <c r="G128" i="42"/>
  <c r="B136" i="42"/>
  <c r="G153" i="42"/>
  <c r="J81" i="42"/>
  <c r="K79" i="42" s="1"/>
  <c r="K80" i="42" s="1"/>
  <c r="F105" i="42"/>
  <c r="F107" i="42" s="1"/>
  <c r="G104" i="42" s="1"/>
  <c r="J138" i="42"/>
  <c r="H143" i="42" s="1"/>
  <c r="C140" i="42"/>
  <c r="E140" i="42"/>
  <c r="G140" i="42"/>
  <c r="D141" i="42"/>
  <c r="F141" i="42"/>
  <c r="C142" i="42"/>
  <c r="E142" i="42"/>
  <c r="G142" i="42"/>
  <c r="C27" i="50" l="1"/>
  <c r="C28" i="50" s="1"/>
  <c r="C23" i="47"/>
  <c r="C24" i="47" s="1"/>
  <c r="C22" i="50"/>
  <c r="C23" i="50" s="1"/>
  <c r="C28" i="47"/>
  <c r="S58" i="49"/>
  <c r="S59" i="49" s="1"/>
  <c r="J53" i="49"/>
  <c r="J54" i="49" s="1"/>
  <c r="Q53" i="49"/>
  <c r="Q54" i="49" s="1"/>
  <c r="K58" i="46"/>
  <c r="K59" i="46" s="1"/>
  <c r="P58" i="49"/>
  <c r="P59" i="49" s="1"/>
  <c r="Q58" i="49"/>
  <c r="Q59" i="49" s="1"/>
  <c r="M53" i="49"/>
  <c r="M54" i="49" s="1"/>
  <c r="N53" i="49"/>
  <c r="N54" i="49" s="1"/>
  <c r="M58" i="46"/>
  <c r="M59" i="46" s="1"/>
  <c r="P58" i="46"/>
  <c r="P59" i="46" s="1"/>
  <c r="Q58" i="46"/>
  <c r="Q59" i="46" s="1"/>
  <c r="D53" i="46"/>
  <c r="D54" i="46" s="1"/>
  <c r="M58" i="49"/>
  <c r="M59" i="49" s="1"/>
  <c r="N58" i="46"/>
  <c r="N59" i="46" s="1"/>
  <c r="C82" i="49"/>
  <c r="C83" i="49" s="1"/>
  <c r="C85" i="49" s="1"/>
  <c r="G53" i="46"/>
  <c r="G54" i="46" s="1"/>
  <c r="S58" i="46"/>
  <c r="S59" i="46" s="1"/>
  <c r="O53" i="46"/>
  <c r="O54" i="46" s="1"/>
  <c r="L53" i="46"/>
  <c r="L54" i="46" s="1"/>
  <c r="P53" i="46"/>
  <c r="P54" i="46" s="1"/>
  <c r="M53" i="46"/>
  <c r="M54" i="46" s="1"/>
  <c r="K53" i="46"/>
  <c r="K54" i="46" s="1"/>
  <c r="T58" i="46"/>
  <c r="T59" i="46" s="1"/>
  <c r="Q53" i="46"/>
  <c r="Q54" i="46" s="1"/>
  <c r="E53" i="46"/>
  <c r="E54" i="46" s="1"/>
  <c r="N53" i="46"/>
  <c r="N54" i="46" s="1"/>
  <c r="T58" i="49"/>
  <c r="T59" i="49" s="1"/>
  <c r="K53" i="49"/>
  <c r="K54" i="49" s="1"/>
  <c r="R53" i="49"/>
  <c r="R54" i="49" s="1"/>
  <c r="J53" i="46"/>
  <c r="J54" i="46" s="1"/>
  <c r="L53" i="49"/>
  <c r="L54" i="49" s="1"/>
  <c r="P53" i="49"/>
  <c r="P54" i="49" s="1"/>
  <c r="R53" i="46"/>
  <c r="R54" i="46" s="1"/>
  <c r="I53" i="46"/>
  <c r="I54" i="46" s="1"/>
  <c r="H53" i="46"/>
  <c r="H54" i="46" s="1"/>
  <c r="F53" i="46"/>
  <c r="F54" i="46" s="1"/>
  <c r="C48" i="46"/>
  <c r="C49" i="46" s="1"/>
  <c r="C51" i="46" s="1"/>
  <c r="C96" i="46" s="1"/>
  <c r="I53" i="49"/>
  <c r="I54" i="49" s="1"/>
  <c r="C48" i="49" a="1"/>
  <c r="C48" i="49" s="1"/>
  <c r="C49" i="49" s="1"/>
  <c r="C51" i="49" s="1"/>
  <c r="F53" i="49"/>
  <c r="F54" i="49" s="1"/>
  <c r="H53" i="49"/>
  <c r="H54" i="49" s="1"/>
  <c r="D53" i="49"/>
  <c r="D54" i="49" s="1"/>
  <c r="J58" i="49"/>
  <c r="J59" i="49" s="1"/>
  <c r="K58" i="49"/>
  <c r="K59" i="49" s="1"/>
  <c r="G53" i="49"/>
  <c r="G54" i="49" s="1"/>
  <c r="E53" i="49"/>
  <c r="E54" i="49" s="1"/>
  <c r="N72" i="49"/>
  <c r="N74" i="49" s="1"/>
  <c r="O71" i="49"/>
  <c r="O71" i="46"/>
  <c r="N72" i="46"/>
  <c r="N74" i="46" s="1"/>
  <c r="G143" i="42"/>
  <c r="I143" i="42"/>
  <c r="J141" i="42"/>
  <c r="E47" i="45"/>
  <c r="C143" i="42"/>
  <c r="J140" i="42"/>
  <c r="E105" i="42"/>
  <c r="E107" i="42" s="1"/>
  <c r="D72" i="42"/>
  <c r="E72" i="42" s="1"/>
  <c r="D64" i="42"/>
  <c r="D51" i="42"/>
  <c r="E51" i="42" s="1"/>
  <c r="D43" i="42"/>
  <c r="C43" i="42" s="1"/>
  <c r="J142" i="42"/>
  <c r="E143" i="42"/>
  <c r="F143" i="42"/>
  <c r="G105" i="42"/>
  <c r="G107" i="42" s="1"/>
  <c r="H104" i="42" s="1"/>
  <c r="D143" i="42"/>
  <c r="B137" i="42"/>
  <c r="B142" i="42"/>
  <c r="J33" i="42"/>
  <c r="D95" i="42"/>
  <c r="E95" i="42" s="1"/>
  <c r="D87" i="42"/>
  <c r="J86" i="42"/>
  <c r="G86" i="42"/>
  <c r="D73" i="42"/>
  <c r="E73" i="42" s="1"/>
  <c r="D65" i="42"/>
  <c r="C65" i="42" s="1"/>
  <c r="D50" i="42"/>
  <c r="E50" i="42" s="1"/>
  <c r="D42" i="42"/>
  <c r="F87" i="20"/>
  <c r="E87" i="20"/>
  <c r="D87" i="20"/>
  <c r="C73" i="20"/>
  <c r="E70" i="20"/>
  <c r="F59" i="20"/>
  <c r="C59" i="20"/>
  <c r="F70" i="20"/>
  <c r="D70" i="20"/>
  <c r="C70" i="20"/>
  <c r="D59" i="20"/>
  <c r="E59" i="20"/>
  <c r="E71" i="20" s="1"/>
  <c r="C41" i="20"/>
  <c r="C42" i="20"/>
  <c r="D29" i="20"/>
  <c r="E29" i="20"/>
  <c r="F29" i="20"/>
  <c r="C29" i="20"/>
  <c r="C33" i="20" s="1"/>
  <c r="D18" i="20"/>
  <c r="E18" i="20"/>
  <c r="F18" i="20"/>
  <c r="C18" i="20"/>
  <c r="C30" i="20" s="1"/>
  <c r="F30" i="20"/>
  <c r="E30" i="20"/>
  <c r="C29" i="50" l="1"/>
  <c r="J8" i="50" s="1"/>
  <c r="C29" i="47"/>
  <c r="W8" i="47" s="1"/>
  <c r="C24" i="50"/>
  <c r="K7" i="50" s="1" a="1"/>
  <c r="K7" i="50" s="1"/>
  <c r="C61" i="46"/>
  <c r="C56" i="46"/>
  <c r="C97" i="46" s="1"/>
  <c r="C61" i="49"/>
  <c r="C96" i="49"/>
  <c r="O72" i="49"/>
  <c r="O74" i="49" s="1"/>
  <c r="P71" i="49"/>
  <c r="C56" i="49"/>
  <c r="C97" i="49" s="1"/>
  <c r="P71" i="46"/>
  <c r="O72" i="46"/>
  <c r="O74" i="46" s="1"/>
  <c r="C42" i="42"/>
  <c r="D44" i="42"/>
  <c r="G65" i="42"/>
  <c r="J65" i="42"/>
  <c r="J90" i="42"/>
  <c r="J94" i="42" s="1"/>
  <c r="K94" i="42" s="1"/>
  <c r="H105" i="42"/>
  <c r="H107" i="42" s="1"/>
  <c r="J43" i="42"/>
  <c r="G43" i="42"/>
  <c r="C64" i="42"/>
  <c r="D66" i="42"/>
  <c r="G90" i="42"/>
  <c r="G94" i="42" s="1"/>
  <c r="H94" i="42" s="1"/>
  <c r="C87" i="42"/>
  <c r="D88" i="42"/>
  <c r="K33" i="42"/>
  <c r="J77" i="42"/>
  <c r="K77" i="42" s="1"/>
  <c r="J55" i="42"/>
  <c r="K55" i="42" s="1"/>
  <c r="J143" i="42"/>
  <c r="C41" i="4"/>
  <c r="D36" i="4"/>
  <c r="D37" i="4" s="1"/>
  <c r="AD8" i="47" l="1"/>
  <c r="N8" i="47"/>
  <c r="Y8" i="47"/>
  <c r="AJ8" i="47"/>
  <c r="T8" i="47"/>
  <c r="AI8" i="47"/>
  <c r="S8" i="47"/>
  <c r="Z8" i="47"/>
  <c r="AK8" i="47"/>
  <c r="U8" i="47"/>
  <c r="AF8" i="47"/>
  <c r="P8" i="47"/>
  <c r="AE8" i="47"/>
  <c r="O8" i="47"/>
  <c r="AL8" i="47"/>
  <c r="V8" i="47"/>
  <c r="AG8" i="47"/>
  <c r="Q8" i="47"/>
  <c r="AB8" i="47"/>
  <c r="L8" i="47"/>
  <c r="AA8" i="47"/>
  <c r="K8" i="47"/>
  <c r="AH8" i="47"/>
  <c r="R8" i="47"/>
  <c r="AC8" i="47"/>
  <c r="M8" i="47"/>
  <c r="X8" i="47"/>
  <c r="AM8" i="47"/>
  <c r="AH8" i="50"/>
  <c r="R8" i="50"/>
  <c r="AC8" i="50"/>
  <c r="M8" i="50"/>
  <c r="X8" i="50"/>
  <c r="AM8" i="50"/>
  <c r="W8" i="50"/>
  <c r="AD8" i="50"/>
  <c r="N8" i="50"/>
  <c r="Y8" i="50"/>
  <c r="AJ8" i="50"/>
  <c r="T8" i="50"/>
  <c r="AI8" i="50"/>
  <c r="S8" i="50"/>
  <c r="Z8" i="50"/>
  <c r="AK8" i="50"/>
  <c r="U8" i="50"/>
  <c r="AF8" i="50"/>
  <c r="P8" i="50"/>
  <c r="AE8" i="50"/>
  <c r="O8" i="50"/>
  <c r="AL8" i="50"/>
  <c r="V8" i="50"/>
  <c r="AG8" i="50"/>
  <c r="Q8" i="50"/>
  <c r="AB8" i="50"/>
  <c r="L8" i="50"/>
  <c r="AA8" i="50"/>
  <c r="K8" i="50"/>
  <c r="J8" i="47"/>
  <c r="S7" i="50" a="1"/>
  <c r="S7" i="50" s="1"/>
  <c r="V7" i="50" a="1"/>
  <c r="V7" i="50" s="1"/>
  <c r="R7" i="50" a="1"/>
  <c r="R7" i="50" s="1"/>
  <c r="W7" i="50" a="1"/>
  <c r="W7" i="50" s="1"/>
  <c r="T7" i="50" a="1"/>
  <c r="T7" i="50" s="1"/>
  <c r="P7" i="50" a="1"/>
  <c r="P7" i="50" s="1"/>
  <c r="L7" i="50" a="1"/>
  <c r="L7" i="50" s="1"/>
  <c r="X7" i="50" a="1"/>
  <c r="X7" i="50" s="1"/>
  <c r="Q7" i="50" a="1"/>
  <c r="Q7" i="50" s="1"/>
  <c r="M7" i="50" a="1"/>
  <c r="M7" i="50" s="1"/>
  <c r="U7" i="50" a="1"/>
  <c r="U7" i="50" s="1"/>
  <c r="N7" i="50" a="1"/>
  <c r="N7" i="50" s="1"/>
  <c r="J7" i="50" a="1"/>
  <c r="J7" i="50" s="1"/>
  <c r="O7" i="50" a="1"/>
  <c r="O7" i="50" s="1"/>
  <c r="M7" i="47" a="1"/>
  <c r="M7" i="47" s="1"/>
  <c r="J7" i="47" a="1"/>
  <c r="J7" i="47" s="1"/>
  <c r="K7" i="47" a="1"/>
  <c r="K7" i="47" s="1"/>
  <c r="L7" i="47" a="1"/>
  <c r="L7" i="47" s="1"/>
  <c r="Q7" i="47" a="1"/>
  <c r="Q7" i="47" s="1"/>
  <c r="R7" i="47" a="1"/>
  <c r="R7" i="47" s="1"/>
  <c r="S7" i="47" a="1"/>
  <c r="S7" i="47" s="1"/>
  <c r="P7" i="47" a="1"/>
  <c r="P7" i="47" s="1"/>
  <c r="U7" i="47" a="1"/>
  <c r="U7" i="47" s="1"/>
  <c r="V7" i="47" a="1"/>
  <c r="V7" i="47" s="1"/>
  <c r="W7" i="47" a="1"/>
  <c r="W7" i="47" s="1"/>
  <c r="T7" i="47" a="1"/>
  <c r="T7" i="47" s="1"/>
  <c r="O7" i="47" a="1"/>
  <c r="O7" i="47" s="1"/>
  <c r="X7" i="47" a="1"/>
  <c r="X7" i="47" s="1"/>
  <c r="N7" i="47" a="1"/>
  <c r="N7" i="47" s="1"/>
  <c r="C63" i="46"/>
  <c r="C86" i="46" s="1"/>
  <c r="C87" i="46" s="1"/>
  <c r="P72" i="49"/>
  <c r="P74" i="49" s="1"/>
  <c r="Q71" i="49"/>
  <c r="C63" i="49"/>
  <c r="C86" i="49" s="1"/>
  <c r="C87" i="49" s="1"/>
  <c r="C91" i="46"/>
  <c r="P72" i="46"/>
  <c r="P74" i="46" s="1"/>
  <c r="Q71" i="46"/>
  <c r="G64" i="42"/>
  <c r="J64" i="42"/>
  <c r="J47" i="42"/>
  <c r="J51" i="42" s="1"/>
  <c r="K51" i="42" s="1"/>
  <c r="J69" i="42"/>
  <c r="J73" i="42" s="1"/>
  <c r="K73" i="42" s="1"/>
  <c r="E62" i="42"/>
  <c r="E84" i="42"/>
  <c r="E40" i="42"/>
  <c r="E85" i="42"/>
  <c r="E87" i="42" s="1"/>
  <c r="E41" i="42"/>
  <c r="E43" i="42" s="1"/>
  <c r="E63" i="42"/>
  <c r="E65" i="42" s="1"/>
  <c r="J87" i="42"/>
  <c r="G87" i="42"/>
  <c r="G47" i="42"/>
  <c r="G51" i="42" s="1"/>
  <c r="H51" i="42" s="1"/>
  <c r="G69" i="42"/>
  <c r="G73" i="42" s="1"/>
  <c r="H73" i="42" s="1"/>
  <c r="J42" i="42"/>
  <c r="G42" i="42"/>
  <c r="Y7" i="50" l="1" a="1"/>
  <c r="Y7" i="50" s="1"/>
  <c r="Z7" i="50" s="1" a="1"/>
  <c r="Z7" i="50" s="1"/>
  <c r="Y7" i="47" a="1"/>
  <c r="Y7" i="47" s="1"/>
  <c r="C91" i="49"/>
  <c r="Q72" i="49"/>
  <c r="Q74" i="49" s="1"/>
  <c r="R71" i="49"/>
  <c r="Q72" i="46"/>
  <c r="Q74" i="46" s="1"/>
  <c r="R71" i="46"/>
  <c r="G44" i="42"/>
  <c r="H87" i="42" s="1"/>
  <c r="G46" i="42"/>
  <c r="G50" i="42" s="1"/>
  <c r="H50" i="42" s="1"/>
  <c r="G91" i="42"/>
  <c r="G95" i="42" s="1"/>
  <c r="H95" i="42" s="1"/>
  <c r="G88" i="42"/>
  <c r="E86" i="42"/>
  <c r="E88" i="42" s="1"/>
  <c r="J66" i="42"/>
  <c r="J68" i="42"/>
  <c r="J72" i="42" s="1"/>
  <c r="K72" i="42" s="1"/>
  <c r="K42" i="42"/>
  <c r="J44" i="42"/>
  <c r="K87" i="42" s="1"/>
  <c r="J46" i="42"/>
  <c r="J50" i="42" s="1"/>
  <c r="K50" i="42" s="1"/>
  <c r="J91" i="42"/>
  <c r="J95" i="42" s="1"/>
  <c r="K95" i="42" s="1"/>
  <c r="J88" i="42"/>
  <c r="E42" i="42"/>
  <c r="E44" i="42" s="1"/>
  <c r="E64" i="42"/>
  <c r="E66" i="42" s="1"/>
  <c r="H64" i="42"/>
  <c r="G66" i="42"/>
  <c r="G68" i="42"/>
  <c r="G72" i="42" s="1"/>
  <c r="H72" i="42" s="1"/>
  <c r="C15" i="37"/>
  <c r="C22" i="37" s="1"/>
  <c r="A3" i="37"/>
  <c r="A3" i="8"/>
  <c r="C20" i="37"/>
  <c r="C19" i="37"/>
  <c r="A3" i="4"/>
  <c r="B62" i="11"/>
  <c r="B62" i="4"/>
  <c r="B67" i="6"/>
  <c r="B156" i="11"/>
  <c r="B156" i="4"/>
  <c r="B157" i="11"/>
  <c r="B157" i="4"/>
  <c r="B109" i="11"/>
  <c r="B109" i="4"/>
  <c r="B137" i="11"/>
  <c r="C47" i="20"/>
  <c r="C21" i="37"/>
  <c r="D24" i="37" s="1"/>
  <c r="B148" i="4"/>
  <c r="C23" i="37"/>
  <c r="B105" i="6"/>
  <c r="B90" i="6"/>
  <c r="B21" i="6"/>
  <c r="A14" i="6"/>
  <c r="A8" i="6"/>
  <c r="D73" i="20"/>
  <c r="E73" i="20"/>
  <c r="F73" i="20"/>
  <c r="A3" i="20"/>
  <c r="F71" i="20"/>
  <c r="D71" i="20"/>
  <c r="C71" i="20"/>
  <c r="F41" i="20"/>
  <c r="F42" i="20" s="1"/>
  <c r="E41" i="20"/>
  <c r="E42" i="20" s="1"/>
  <c r="D41" i="20"/>
  <c r="D42" i="20" s="1"/>
  <c r="F33" i="20"/>
  <c r="E33" i="20"/>
  <c r="D33" i="20"/>
  <c r="D30" i="20"/>
  <c r="D6" i="20"/>
  <c r="D47" i="20" s="1"/>
  <c r="A2" i="4"/>
  <c r="B28" i="4"/>
  <c r="B75" i="4" s="1"/>
  <c r="B27" i="4"/>
  <c r="B53" i="4" s="1"/>
  <c r="B26" i="4"/>
  <c r="B31" i="4" s="1"/>
  <c r="H13" i="4"/>
  <c r="G13" i="4"/>
  <c r="G114" i="4" s="1"/>
  <c r="F13" i="4"/>
  <c r="F114" i="4" s="1"/>
  <c r="E13" i="4"/>
  <c r="E153" i="4" s="1"/>
  <c r="A25" i="20" s="1"/>
  <c r="D13" i="4"/>
  <c r="C13" i="4"/>
  <c r="C100" i="4" s="1"/>
  <c r="D6" i="4"/>
  <c r="D6" i="6" s="1"/>
  <c r="D5" i="20" s="1"/>
  <c r="A2" i="12"/>
  <c r="A3" i="6"/>
  <c r="A2" i="8"/>
  <c r="A3" i="13"/>
  <c r="A2" i="13"/>
  <c r="B2" i="14"/>
  <c r="A2" i="6"/>
  <c r="B41" i="6"/>
  <c r="D153" i="4"/>
  <c r="A82" i="20" s="1"/>
  <c r="H153" i="4"/>
  <c r="A28" i="20" s="1"/>
  <c r="I153" i="4"/>
  <c r="J153" i="4"/>
  <c r="B122" i="4"/>
  <c r="J121" i="4"/>
  <c r="J118" i="4"/>
  <c r="J119" i="4"/>
  <c r="J120" i="4"/>
  <c r="B115" i="4"/>
  <c r="I76" i="4"/>
  <c r="F76" i="4"/>
  <c r="I54" i="4"/>
  <c r="F54" i="4"/>
  <c r="J23" i="4"/>
  <c r="G23" i="4"/>
  <c r="I32" i="4"/>
  <c r="F32" i="4"/>
  <c r="D115" i="4"/>
  <c r="E115" i="4"/>
  <c r="F115" i="4"/>
  <c r="F154" i="4" s="1"/>
  <c r="G115" i="4"/>
  <c r="G154" i="4" s="1"/>
  <c r="H115" i="4"/>
  <c r="H154" i="4" s="1"/>
  <c r="D84" i="4"/>
  <c r="J80" i="4"/>
  <c r="J81" i="4" s="1"/>
  <c r="K79" i="4" s="1"/>
  <c r="K80" i="4" s="1"/>
  <c r="G80" i="4"/>
  <c r="G81" i="4" s="1"/>
  <c r="H79" i="4" s="1"/>
  <c r="H80" i="4" s="1"/>
  <c r="D80" i="4"/>
  <c r="D81" i="4" s="1"/>
  <c r="E79" i="4" s="1"/>
  <c r="I85" i="4"/>
  <c r="J85" i="4" s="1"/>
  <c r="F85" i="4"/>
  <c r="G85" i="4" s="1"/>
  <c r="C85" i="4"/>
  <c r="J84" i="4"/>
  <c r="G84" i="4"/>
  <c r="H77" i="4"/>
  <c r="E77" i="4"/>
  <c r="D62" i="4"/>
  <c r="D63" i="4" s="1"/>
  <c r="A86" i="20"/>
  <c r="A17" i="20"/>
  <c r="A58" i="20"/>
  <c r="A24" i="20"/>
  <c r="A65" i="20"/>
  <c r="I63" i="4"/>
  <c r="J63" i="4" s="1"/>
  <c r="F63" i="4"/>
  <c r="G63" i="4" s="1"/>
  <c r="C63" i="4"/>
  <c r="J62" i="4"/>
  <c r="G62" i="4"/>
  <c r="E55" i="4"/>
  <c r="J29" i="4"/>
  <c r="G58" i="4"/>
  <c r="G59" i="4" s="1"/>
  <c r="H57" i="4" s="1"/>
  <c r="H58" i="4" s="1"/>
  <c r="G36" i="4"/>
  <c r="G37" i="4" s="1"/>
  <c r="H35" i="4" s="1"/>
  <c r="H36" i="4" s="1"/>
  <c r="D40" i="4"/>
  <c r="J58" i="4"/>
  <c r="J59" i="4" s="1"/>
  <c r="K57" i="4" s="1"/>
  <c r="K58" i="4" s="1"/>
  <c r="J36" i="4"/>
  <c r="J37" i="4" s="1"/>
  <c r="K35" i="4" s="1"/>
  <c r="K36" i="4" s="1"/>
  <c r="D58" i="4"/>
  <c r="D29" i="4"/>
  <c r="G29" i="4"/>
  <c r="C105" i="4"/>
  <c r="C107" i="4" s="1"/>
  <c r="D104" i="4" s="1"/>
  <c r="I115" i="4"/>
  <c r="C16" i="4"/>
  <c r="E91" i="6"/>
  <c r="E93" i="6"/>
  <c r="E94" i="6"/>
  <c r="E95" i="6"/>
  <c r="E96" i="6"/>
  <c r="E97" i="6"/>
  <c r="E98" i="6"/>
  <c r="E99" i="6"/>
  <c r="E100" i="6"/>
  <c r="E101" i="6"/>
  <c r="E102" i="6"/>
  <c r="E103" i="6"/>
  <c r="E104" i="6"/>
  <c r="E90" i="6"/>
  <c r="B11" i="4"/>
  <c r="H102" i="4"/>
  <c r="K102" i="4" s="1"/>
  <c r="G102" i="4"/>
  <c r="J102" i="4" s="1"/>
  <c r="F102" i="4"/>
  <c r="F105" i="4" s="1"/>
  <c r="I101" i="4"/>
  <c r="J101" i="4" s="1"/>
  <c r="K101" i="4" s="1"/>
  <c r="F101" i="4"/>
  <c r="G101" i="4" s="1"/>
  <c r="H101" i="4" s="1"/>
  <c r="F100" i="4"/>
  <c r="D105" i="6"/>
  <c r="C105" i="6"/>
  <c r="D83" i="6"/>
  <c r="D77" i="6"/>
  <c r="D46" i="6"/>
  <c r="D67" i="6" s="1"/>
  <c r="D68" i="6" s="1"/>
  <c r="D20" i="6"/>
  <c r="D21" i="6" s="1"/>
  <c r="D12" i="6"/>
  <c r="D25" i="6" s="1"/>
  <c r="D41" i="6" s="1"/>
  <c r="D42" i="6" s="1"/>
  <c r="I15" i="4"/>
  <c r="B140" i="4"/>
  <c r="B135" i="4"/>
  <c r="D101" i="4"/>
  <c r="D15" i="37" s="1"/>
  <c r="D22" i="37" s="1"/>
  <c r="I41" i="4"/>
  <c r="J41" i="4" s="1"/>
  <c r="F41" i="4"/>
  <c r="G41" i="4" s="1"/>
  <c r="J40" i="4"/>
  <c r="G40" i="4"/>
  <c r="E33" i="4"/>
  <c r="H33" i="4"/>
  <c r="D114" i="4"/>
  <c r="E114" i="4"/>
  <c r="H114" i="4"/>
  <c r="B129" i="4"/>
  <c r="D134" i="4"/>
  <c r="G134" i="4"/>
  <c r="H134" i="4"/>
  <c r="B107" i="4"/>
  <c r="B104" i="4"/>
  <c r="D128" i="4"/>
  <c r="H128" i="4"/>
  <c r="D138" i="4"/>
  <c r="E138" i="4"/>
  <c r="F138" i="4"/>
  <c r="G138" i="4"/>
  <c r="H138" i="4"/>
  <c r="I138" i="4"/>
  <c r="C138" i="4"/>
  <c r="J136" i="4"/>
  <c r="J137" i="4"/>
  <c r="D16" i="4"/>
  <c r="E16" i="4"/>
  <c r="F16" i="4"/>
  <c r="G16" i="4"/>
  <c r="H16" i="4"/>
  <c r="AA7" i="50" l="1" a="1"/>
  <c r="AA7" i="50" s="1"/>
  <c r="AB7" i="50" s="1" a="1"/>
  <c r="AB7" i="50" s="1"/>
  <c r="Z7" i="47" a="1"/>
  <c r="Z7" i="47" s="1"/>
  <c r="AA7" i="47" s="1" a="1"/>
  <c r="AA7" i="47" s="1"/>
  <c r="E128" i="4"/>
  <c r="I100" i="4"/>
  <c r="A13" i="20"/>
  <c r="A69" i="20"/>
  <c r="F153" i="4"/>
  <c r="A84" i="45" s="1"/>
  <c r="F134" i="4"/>
  <c r="F128" i="4"/>
  <c r="E134" i="4"/>
  <c r="A54" i="20"/>
  <c r="R72" i="49"/>
  <c r="R74" i="49" s="1"/>
  <c r="S71" i="49"/>
  <c r="R72" i="46"/>
  <c r="S71" i="46"/>
  <c r="H155" i="42"/>
  <c r="H157" i="42" s="1"/>
  <c r="I155" i="42"/>
  <c r="I157" i="42" s="1"/>
  <c r="D155" i="42"/>
  <c r="D157" i="42" s="1"/>
  <c r="C155" i="42"/>
  <c r="C157" i="42" s="1"/>
  <c r="F155" i="42"/>
  <c r="F157" i="42" s="1"/>
  <c r="E155" i="42"/>
  <c r="E157" i="42" s="1"/>
  <c r="G155" i="42"/>
  <c r="G157" i="42" s="1"/>
  <c r="A66" i="45"/>
  <c r="A25" i="45"/>
  <c r="A83" i="45"/>
  <c r="A55" i="45"/>
  <c r="A14" i="45"/>
  <c r="C114" i="4"/>
  <c r="J115" i="4" s="1"/>
  <c r="E105" i="6"/>
  <c r="A14" i="20"/>
  <c r="A17" i="45"/>
  <c r="A69" i="45"/>
  <c r="A28" i="45"/>
  <c r="A86" i="45"/>
  <c r="A58" i="45"/>
  <c r="A13" i="45"/>
  <c r="A65" i="45"/>
  <c r="A24" i="45"/>
  <c r="A82" i="45"/>
  <c r="A54" i="45"/>
  <c r="C134" i="4"/>
  <c r="J135" i="4" s="1"/>
  <c r="E140" i="4" s="1"/>
  <c r="A55" i="20"/>
  <c r="A83" i="20"/>
  <c r="C153" i="4"/>
  <c r="G153" i="4"/>
  <c r="B136" i="4"/>
  <c r="G128" i="4"/>
  <c r="C128" i="4"/>
  <c r="J129" i="4" s="1"/>
  <c r="A66" i="20"/>
  <c r="A15" i="45"/>
  <c r="E23" i="37"/>
  <c r="C24" i="37"/>
  <c r="D91" i="4"/>
  <c r="D95" i="4" s="1"/>
  <c r="E95" i="4" s="1"/>
  <c r="E6" i="20"/>
  <c r="H40" i="42"/>
  <c r="H62" i="42"/>
  <c r="H84" i="42"/>
  <c r="H63" i="42"/>
  <c r="H85" i="42"/>
  <c r="H41" i="42"/>
  <c r="H86" i="42"/>
  <c r="H43" i="42"/>
  <c r="H65" i="42"/>
  <c r="K85" i="42"/>
  <c r="K63" i="42"/>
  <c r="K41" i="42"/>
  <c r="K62" i="42"/>
  <c r="K84" i="42"/>
  <c r="K40" i="42"/>
  <c r="K86" i="42"/>
  <c r="K43" i="42"/>
  <c r="K65" i="42"/>
  <c r="K64" i="42"/>
  <c r="H42" i="42"/>
  <c r="D111" i="6"/>
  <c r="E101" i="4"/>
  <c r="B137" i="4" s="1"/>
  <c r="D90" i="4"/>
  <c r="D86" i="4" s="1"/>
  <c r="C86" i="4" s="1"/>
  <c r="G86" i="4" s="1"/>
  <c r="G90" i="4" s="1"/>
  <c r="G94" i="4" s="1"/>
  <c r="H94" i="4" s="1"/>
  <c r="C140" i="4"/>
  <c r="I16" i="4"/>
  <c r="J16" i="4" s="1"/>
  <c r="I141" i="4"/>
  <c r="H141" i="4"/>
  <c r="G141" i="4"/>
  <c r="F141" i="4"/>
  <c r="E141" i="4"/>
  <c r="D141" i="4"/>
  <c r="C141" i="4"/>
  <c r="I142" i="4"/>
  <c r="H142" i="4"/>
  <c r="G142" i="4"/>
  <c r="F142" i="4"/>
  <c r="E142" i="4"/>
  <c r="C142" i="4"/>
  <c r="D142" i="4"/>
  <c r="D85" i="4"/>
  <c r="D59" i="4"/>
  <c r="E57" i="4" s="1"/>
  <c r="E80" i="4"/>
  <c r="K28" i="4"/>
  <c r="K29" i="4" s="1"/>
  <c r="K27" i="4"/>
  <c r="K26" i="4"/>
  <c r="H28" i="4"/>
  <c r="H29" i="4" s="1"/>
  <c r="H27" i="4"/>
  <c r="H26" i="4"/>
  <c r="E26" i="4"/>
  <c r="E28" i="4"/>
  <c r="E29" i="4" s="1"/>
  <c r="E27" i="4"/>
  <c r="D41" i="4"/>
  <c r="I102" i="4"/>
  <c r="I105" i="4" s="1"/>
  <c r="I107" i="4" s="1"/>
  <c r="J104" i="4" s="1"/>
  <c r="J105" i="4" s="1"/>
  <c r="D79" i="6"/>
  <c r="F107" i="4"/>
  <c r="G104" i="4" s="1"/>
  <c r="G105" i="4" s="1"/>
  <c r="D105" i="4"/>
  <c r="D107" i="4" s="1"/>
  <c r="E104" i="4" s="1"/>
  <c r="D23" i="37"/>
  <c r="D68" i="4"/>
  <c r="B141" i="4"/>
  <c r="D84" i="6"/>
  <c r="E24" i="37"/>
  <c r="AC7" i="50" l="1" a="1"/>
  <c r="AC7" i="50" s="1"/>
  <c r="AD7" i="50" s="1" a="1"/>
  <c r="AD7" i="50" s="1"/>
  <c r="AB7" i="47" a="1"/>
  <c r="AB7" i="47" s="1"/>
  <c r="J33" i="4"/>
  <c r="D109" i="6"/>
  <c r="D69" i="4"/>
  <c r="G140" i="4"/>
  <c r="F140" i="4"/>
  <c r="I140" i="4"/>
  <c r="I143" i="4" s="1"/>
  <c r="I148" i="4" s="1"/>
  <c r="I155" i="4" s="1"/>
  <c r="I157" i="4" s="1"/>
  <c r="A84" i="20"/>
  <c r="A56" i="20"/>
  <c r="A15" i="20"/>
  <c r="A26" i="20"/>
  <c r="A67" i="20"/>
  <c r="J142" i="4"/>
  <c r="D140" i="4"/>
  <c r="H140" i="4"/>
  <c r="J140" i="4" s="1"/>
  <c r="A56" i="45"/>
  <c r="J138" i="4"/>
  <c r="C143" i="4" s="1"/>
  <c r="D87" i="4"/>
  <c r="C87" i="4" s="1"/>
  <c r="G87" i="4" s="1"/>
  <c r="A67" i="45"/>
  <c r="A26" i="45"/>
  <c r="S72" i="49"/>
  <c r="T71" i="49"/>
  <c r="S72" i="46"/>
  <c r="S74" i="46" s="1"/>
  <c r="T71" i="46"/>
  <c r="R74" i="46"/>
  <c r="A81" i="45"/>
  <c r="A53" i="45"/>
  <c r="A12" i="45"/>
  <c r="A64" i="45"/>
  <c r="A23" i="45"/>
  <c r="A12" i="20"/>
  <c r="A81" i="20"/>
  <c r="A23" i="20"/>
  <c r="A64" i="20"/>
  <c r="A53" i="20"/>
  <c r="K109" i="42"/>
  <c r="E109" i="42"/>
  <c r="C122" i="42" s="1"/>
  <c r="C123" i="42" s="1"/>
  <c r="H109" i="42"/>
  <c r="J86" i="4"/>
  <c r="D94" i="4"/>
  <c r="E94" i="4" s="1"/>
  <c r="J141" i="4"/>
  <c r="A85" i="45"/>
  <c r="A57" i="45"/>
  <c r="A16" i="45"/>
  <c r="A68" i="45"/>
  <c r="A27" i="45"/>
  <c r="A16" i="20"/>
  <c r="A57" i="20"/>
  <c r="A85" i="20"/>
  <c r="A68" i="20"/>
  <c r="A27" i="20"/>
  <c r="J157" i="42"/>
  <c r="J155" i="42"/>
  <c r="E58" i="4"/>
  <c r="E47" i="20"/>
  <c r="F6" i="20"/>
  <c r="F47" i="20" s="1"/>
  <c r="K90" i="42"/>
  <c r="K91" i="42" s="1"/>
  <c r="K88" i="42"/>
  <c r="H68" i="42"/>
  <c r="H69" i="42" s="1"/>
  <c r="H66" i="42"/>
  <c r="K46" i="42"/>
  <c r="K47" i="42" s="1"/>
  <c r="K44" i="42"/>
  <c r="K68" i="42"/>
  <c r="K69" i="42" s="1"/>
  <c r="K66" i="42"/>
  <c r="H90" i="42"/>
  <c r="H91" i="42" s="1"/>
  <c r="H88" i="42"/>
  <c r="H46" i="42"/>
  <c r="H47" i="42" s="1"/>
  <c r="H44" i="42"/>
  <c r="B142" i="4"/>
  <c r="E15" i="37"/>
  <c r="E22" i="37" s="1"/>
  <c r="D88" i="4"/>
  <c r="J87" i="4"/>
  <c r="H143" i="4"/>
  <c r="H148" i="4" s="1"/>
  <c r="H155" i="4" s="1"/>
  <c r="H157" i="4" s="1"/>
  <c r="G88" i="4"/>
  <c r="J91" i="4"/>
  <c r="J95" i="4" s="1"/>
  <c r="K95" i="4" s="1"/>
  <c r="D47" i="4"/>
  <c r="E35" i="4"/>
  <c r="D46" i="4"/>
  <c r="D42" i="4" s="1"/>
  <c r="E36" i="4"/>
  <c r="G156" i="4"/>
  <c r="F156" i="4"/>
  <c r="H156" i="4"/>
  <c r="J107" i="4"/>
  <c r="K104" i="4" s="1"/>
  <c r="E105" i="4"/>
  <c r="G107" i="4"/>
  <c r="H104" i="4" s="1"/>
  <c r="H105" i="4" s="1"/>
  <c r="J55" i="4"/>
  <c r="K55" i="4" s="1"/>
  <c r="J77" i="4"/>
  <c r="K77" i="4" s="1"/>
  <c r="K33" i="4"/>
  <c r="D65" i="4"/>
  <c r="C65" i="4" s="1"/>
  <c r="D73" i="4"/>
  <c r="E73" i="4" s="1"/>
  <c r="G91" i="4"/>
  <c r="G95" i="4" s="1"/>
  <c r="H95" i="4" s="1"/>
  <c r="D72" i="4"/>
  <c r="E72" i="4" s="1"/>
  <c r="D64" i="4"/>
  <c r="C64" i="4" s="1"/>
  <c r="AE7" i="50" l="1" a="1"/>
  <c r="AE7" i="50" s="1"/>
  <c r="AF7" i="50" s="1" a="1"/>
  <c r="AF7" i="50" s="1"/>
  <c r="AG7" i="50" s="1" a="1"/>
  <c r="AG7" i="50" s="1"/>
  <c r="AH7" i="50" s="1" a="1"/>
  <c r="AH7" i="50" s="1"/>
  <c r="AI7" i="50" s="1" a="1"/>
  <c r="AI7" i="50" s="1"/>
  <c r="AJ7" i="50" s="1" a="1"/>
  <c r="AJ7" i="50" s="1"/>
  <c r="AK7" i="50" s="1" a="1"/>
  <c r="AK7" i="50" s="1"/>
  <c r="AL7" i="50" s="1" a="1"/>
  <c r="AL7" i="50" s="1"/>
  <c r="AM7" i="50" s="1" a="1"/>
  <c r="AM7" i="50" s="1"/>
  <c r="AC7" i="47" a="1"/>
  <c r="AC7" i="47" s="1"/>
  <c r="AD7" i="47" s="1" a="1"/>
  <c r="AD7" i="47" s="1"/>
  <c r="D122" i="42"/>
  <c r="D123" i="42" s="1"/>
  <c r="D154" i="42" s="1"/>
  <c r="E122" i="42"/>
  <c r="E123" i="42" s="1"/>
  <c r="E154" i="42" s="1"/>
  <c r="J88" i="4"/>
  <c r="E143" i="4"/>
  <c r="E148" i="4" s="1"/>
  <c r="E155" i="4" s="1"/>
  <c r="E157" i="4" s="1"/>
  <c r="F143" i="4"/>
  <c r="F148" i="4" s="1"/>
  <c r="F155" i="4" s="1"/>
  <c r="F157" i="4" s="1"/>
  <c r="D143" i="4"/>
  <c r="D148" i="4" s="1"/>
  <c r="D155" i="4" s="1"/>
  <c r="D157" i="4" s="1"/>
  <c r="G143" i="4"/>
  <c r="G148" i="4" s="1"/>
  <c r="G155" i="4" s="1"/>
  <c r="G157" i="4" s="1"/>
  <c r="T72" i="49"/>
  <c r="T74" i="49" s="1"/>
  <c r="U71" i="49"/>
  <c r="U72" i="49" s="1"/>
  <c r="S74" i="49"/>
  <c r="U73" i="49" a="1"/>
  <c r="T72" i="46"/>
  <c r="U71" i="46"/>
  <c r="U72" i="46" s="1"/>
  <c r="J122" i="42"/>
  <c r="J90" i="4"/>
  <c r="J94" i="4" s="1"/>
  <c r="K94" i="4" s="1"/>
  <c r="D50" i="4"/>
  <c r="E50" i="4" s="1"/>
  <c r="D51" i="4"/>
  <c r="E51" i="4" s="1"/>
  <c r="D43" i="4"/>
  <c r="C43" i="4" s="1"/>
  <c r="J43" i="4" s="1"/>
  <c r="K105" i="4"/>
  <c r="K107" i="4" s="1"/>
  <c r="H107" i="4"/>
  <c r="H109" i="4" s="1"/>
  <c r="D122" i="4" s="1"/>
  <c r="E107" i="4"/>
  <c r="E109" i="4" s="1"/>
  <c r="C122" i="4" s="1"/>
  <c r="D66" i="4"/>
  <c r="C148" i="4"/>
  <c r="C155" i="4" s="1"/>
  <c r="C157" i="4" s="1"/>
  <c r="G65" i="4"/>
  <c r="J65" i="4"/>
  <c r="AE7" i="47" l="1" a="1"/>
  <c r="AE7" i="47" s="1"/>
  <c r="AF7" i="47" s="1" a="1"/>
  <c r="AF7" i="47" s="1"/>
  <c r="AG7" i="47" s="1" a="1"/>
  <c r="AG7" i="47" s="1"/>
  <c r="AH7" i="47" s="1" a="1"/>
  <c r="AH7" i="47" s="1"/>
  <c r="AI7" i="47" s="1" a="1"/>
  <c r="AI7" i="47" s="1"/>
  <c r="AJ7" i="47" s="1" a="1"/>
  <c r="AJ7" i="47" s="1"/>
  <c r="AK7" i="47" s="1" a="1"/>
  <c r="AK7" i="47" s="1"/>
  <c r="AL7" i="47" s="1" a="1"/>
  <c r="AL7" i="47" s="1"/>
  <c r="AM7" i="47" s="1" a="1"/>
  <c r="AM7" i="47" s="1"/>
  <c r="J143" i="4"/>
  <c r="J148" i="4" s="1"/>
  <c r="U73" i="49"/>
  <c r="U74" i="49" s="1"/>
  <c r="C75" i="49" s="1"/>
  <c r="B91" i="49" s="1"/>
  <c r="T74" i="46"/>
  <c r="U73" i="46" a="1"/>
  <c r="U73" i="46" s="1"/>
  <c r="C154" i="42"/>
  <c r="K109" i="4"/>
  <c r="G43" i="4"/>
  <c r="C42" i="4"/>
  <c r="D44" i="4"/>
  <c r="G69" i="4"/>
  <c r="G73" i="4" s="1"/>
  <c r="H73" i="4" s="1"/>
  <c r="J64" i="4"/>
  <c r="G64" i="4"/>
  <c r="J69" i="4"/>
  <c r="J73" i="4" s="1"/>
  <c r="K73" i="4" s="1"/>
  <c r="J47" i="4"/>
  <c r="J51" i="4" s="1"/>
  <c r="K51" i="4" s="1"/>
  <c r="E122" i="4" l="1"/>
  <c r="E123" i="4" s="1"/>
  <c r="E154" i="4" s="1"/>
  <c r="E156" i="4" s="1"/>
  <c r="U77" i="49"/>
  <c r="U79" i="49" s="1"/>
  <c r="U77" i="46"/>
  <c r="U79" i="46" s="1"/>
  <c r="U74" i="46"/>
  <c r="C75" i="46" s="1"/>
  <c r="B91" i="46" s="1"/>
  <c r="E63" i="4"/>
  <c r="E65" i="4" s="1"/>
  <c r="E84" i="4"/>
  <c r="E62" i="4"/>
  <c r="E85" i="4"/>
  <c r="E87" i="4" s="1"/>
  <c r="G47" i="4"/>
  <c r="G51" i="4" s="1"/>
  <c r="H51" i="4" s="1"/>
  <c r="E40" i="4"/>
  <c r="E41" i="4"/>
  <c r="E43" i="4" s="1"/>
  <c r="G42" i="4"/>
  <c r="J42" i="4"/>
  <c r="J68" i="4"/>
  <c r="J72" i="4" s="1"/>
  <c r="J66" i="4"/>
  <c r="G68" i="4"/>
  <c r="G72" i="4" s="1"/>
  <c r="H72" i="4" s="1"/>
  <c r="G66" i="4"/>
  <c r="J122" i="4" l="1"/>
  <c r="K72" i="4"/>
  <c r="J46" i="4"/>
  <c r="J50" i="4" s="1"/>
  <c r="J44" i="4"/>
  <c r="E86" i="4"/>
  <c r="E88" i="4" s="1"/>
  <c r="G46" i="4"/>
  <c r="G50" i="4" s="1"/>
  <c r="H50" i="4" s="1"/>
  <c r="G44" i="4"/>
  <c r="H42" i="4" s="1"/>
  <c r="E64" i="4"/>
  <c r="E66" i="4" s="1"/>
  <c r="E42" i="4"/>
  <c r="E44" i="4" s="1"/>
  <c r="D116" i="4" l="1"/>
  <c r="D123" i="4" s="1"/>
  <c r="D154" i="4" s="1"/>
  <c r="D156" i="4" s="1"/>
  <c r="K85" i="4"/>
  <c r="K41" i="4"/>
  <c r="K62" i="4"/>
  <c r="K40" i="4"/>
  <c r="K63" i="4"/>
  <c r="K84" i="4"/>
  <c r="K86" i="4"/>
  <c r="K87" i="4"/>
  <c r="K65" i="4"/>
  <c r="K43" i="4"/>
  <c r="K64" i="4"/>
  <c r="H40" i="4"/>
  <c r="H63" i="4"/>
  <c r="H62" i="4"/>
  <c r="H85" i="4"/>
  <c r="H41" i="4"/>
  <c r="H84" i="4"/>
  <c r="H86" i="4"/>
  <c r="H87" i="4"/>
  <c r="H65" i="4"/>
  <c r="H64" i="4"/>
  <c r="H43" i="4"/>
  <c r="K50" i="4"/>
  <c r="C116" i="4" s="1"/>
  <c r="K42" i="4"/>
  <c r="C123" i="4" l="1"/>
  <c r="I116" i="4"/>
  <c r="J117" i="4"/>
  <c r="H68" i="4"/>
  <c r="H69" i="4" s="1"/>
  <c r="K66" i="4"/>
  <c r="H66" i="4"/>
  <c r="H88" i="4"/>
  <c r="H90" i="4"/>
  <c r="H91" i="4" s="1"/>
  <c r="H46" i="4"/>
  <c r="H47" i="4" s="1"/>
  <c r="H44" i="4"/>
  <c r="K68" i="4"/>
  <c r="K69" i="4" s="1"/>
  <c r="K46" i="4"/>
  <c r="K47" i="4" s="1"/>
  <c r="K44" i="4"/>
  <c r="K90" i="4"/>
  <c r="K91" i="4" s="1"/>
  <c r="K88" i="4"/>
  <c r="C154" i="4" l="1"/>
  <c r="J155" i="4" s="1"/>
  <c r="C156" i="4" l="1"/>
  <c r="J157" i="4" l="1"/>
  <c r="J77" i="46"/>
  <c r="J79" i="46" s="1"/>
  <c r="K77" i="46"/>
  <c r="K79" i="46" s="1"/>
  <c r="J123" i="42" l="1"/>
  <c r="I154" i="42"/>
  <c r="I156" i="42" s="1"/>
  <c r="J156" i="42" s="1"/>
  <c r="J154" i="42" l="1"/>
  <c r="J123" i="4"/>
  <c r="I154" i="4"/>
  <c r="J154" i="4" s="1"/>
  <c r="I156" i="4" l="1"/>
  <c r="J156" i="4" s="1"/>
</calcChain>
</file>

<file path=xl/comments1.xml><?xml version="1.0" encoding="utf-8"?>
<comments xmlns="http://schemas.openxmlformats.org/spreadsheetml/2006/main">
  <authors>
    <author>Author</author>
  </authors>
  <commentList>
    <comment ref="C48" authorId="0" shapeId="0">
      <text>
        <r>
          <rPr>
            <b/>
            <sz val="9"/>
            <color indexed="81"/>
            <rFont val="Tahoma"/>
            <family val="2"/>
          </rPr>
          <t xml:space="preserve">Ian Rowson: </t>
        </r>
        <r>
          <rPr>
            <sz val="9"/>
            <color indexed="81"/>
            <rFont val="Tahoma"/>
            <family val="2"/>
          </rPr>
          <t xml:space="preserve">Cell C48 is for an offset value to be input, corresponding to the value of the allowances excluded from Ey in accordance with paragraph 3.39(b) of the financial handbook (row 20). There is no prescribed calculation of the attributed value, but this cell included an illustrative calculation at the time this model was circulated by Ofgem
</t>
        </r>
      </text>
    </comment>
  </commentList>
</comments>
</file>

<file path=xl/comments2.xml><?xml version="1.0" encoding="utf-8"?>
<comments xmlns="http://schemas.openxmlformats.org/spreadsheetml/2006/main">
  <authors>
    <author>Author</author>
  </authors>
  <commentList>
    <comment ref="E28" authorId="0" shapeId="0">
      <text>
        <r>
          <rPr>
            <b/>
            <sz val="9"/>
            <color indexed="81"/>
            <rFont val="Tahoma"/>
            <family val="2"/>
          </rPr>
          <t>Author:</t>
        </r>
        <r>
          <rPr>
            <sz val="9"/>
            <color indexed="81"/>
            <rFont val="Tahoma"/>
            <family val="2"/>
          </rPr>
          <t xml:space="preserve">
Note, set y (cell C13) to equal irp for this to calculate IBAPA. Specify another value for y to determine a compliant BAPA, a candidate for PBAPA. The licensee may propose a different, non-flat profile for PBAPA if it chooses.</t>
        </r>
      </text>
    </comment>
  </commentList>
</comments>
</file>

<file path=xl/comments3.xml><?xml version="1.0" encoding="utf-8"?>
<comments xmlns="http://schemas.openxmlformats.org/spreadsheetml/2006/main">
  <authors>
    <author>Author</author>
  </authors>
  <commentList>
    <comment ref="C48" authorId="0" shapeId="0">
      <text>
        <r>
          <rPr>
            <b/>
            <sz val="9"/>
            <color indexed="81"/>
            <rFont val="Tahoma"/>
            <family val="2"/>
          </rPr>
          <t xml:space="preserve">Ian Rowson: </t>
        </r>
        <r>
          <rPr>
            <sz val="9"/>
            <color indexed="81"/>
            <rFont val="Tahoma"/>
            <family val="2"/>
          </rPr>
          <t xml:space="preserve">Cell C48 is for an offset value to be input, corresponding to the value of the allowances excluded from Ey in accordance with paragraph 3.39(b) of the financial handbook (row 20). There is no prescribed calculation of the attributed value, but this cell included an illustrative calculation at the time this model was circulated by Ofgem
</t>
        </r>
      </text>
    </comment>
  </commentList>
</comments>
</file>

<file path=xl/comments4.xml><?xml version="1.0" encoding="utf-8"?>
<comments xmlns="http://schemas.openxmlformats.org/spreadsheetml/2006/main">
  <authors>
    <author>Author</author>
  </authors>
  <commentList>
    <comment ref="E28" authorId="0" shapeId="0">
      <text>
        <r>
          <rPr>
            <b/>
            <sz val="9"/>
            <color indexed="81"/>
            <rFont val="Tahoma"/>
            <family val="2"/>
          </rPr>
          <t>Author:</t>
        </r>
        <r>
          <rPr>
            <sz val="9"/>
            <color indexed="81"/>
            <rFont val="Tahoma"/>
            <family val="2"/>
          </rPr>
          <t xml:space="preserve">
Note, set y (cell C13) to equal irp for this to calculate IBAPA. Specify another value for y to determine a compliant BAPA, a candidate for PBAPA. The licensee may propose a different, non-flat profile for PBAPA if it chooses.</t>
        </r>
      </text>
    </comment>
  </commentList>
</comments>
</file>

<file path=xl/sharedStrings.xml><?xml version="1.0" encoding="utf-8"?>
<sst xmlns="http://schemas.openxmlformats.org/spreadsheetml/2006/main" count="1719" uniqueCount="601">
  <si>
    <t>£m</t>
  </si>
  <si>
    <t>Other adjustment (please specify)</t>
  </si>
  <si>
    <t>%</t>
  </si>
  <si>
    <t>Check</t>
  </si>
  <si>
    <t>Higher \ Lower than expected investment returns</t>
  </si>
  <si>
    <t>Higher \ Lower than expected salary increases</t>
  </si>
  <si>
    <t>Higher \ Lower than expected pension increases</t>
  </si>
  <si>
    <t>- Active liabilities</t>
  </si>
  <si>
    <t>- Deferred liabilities</t>
  </si>
  <si>
    <t>- Pensioner liabilities</t>
  </si>
  <si>
    <t>Liabilities attributable to post cut-off date notional sub fund</t>
  </si>
  <si>
    <t>Proportion of liabilities attributable to post cut-off date notional sub fund:</t>
  </si>
  <si>
    <t>Liabilities attributable to pre cut-off date notional sub fund</t>
  </si>
  <si>
    <t>Assets attributable to post cut-off date notional sub fund:</t>
  </si>
  <si>
    <t>+</t>
  </si>
  <si>
    <t>-</t>
  </si>
  <si>
    <t>c. member contributions paid towards future benefit accrual since last Valuation, including any age-related contracting-out rebates</t>
  </si>
  <si>
    <t>Deficit in the pre Cut-Off Date Notional Sub-Fund</t>
  </si>
  <si>
    <t>Deficit in the post Cut-Off Date Notional Sub-Fund</t>
  </si>
  <si>
    <t>Pension Scheme Name</t>
  </si>
  <si>
    <t>Licensee 1</t>
  </si>
  <si>
    <t>Licensee 2</t>
  </si>
  <si>
    <t>Licensee 3</t>
  </si>
  <si>
    <t>Licensee 4</t>
  </si>
  <si>
    <t>Licensee 5</t>
  </si>
  <si>
    <t>Licensee 6</t>
  </si>
  <si>
    <t>Non-regulated</t>
  </si>
  <si>
    <t>Total</t>
  </si>
  <si>
    <t>Total value of all liabilities in respect of all benefits accrued since post Cut-Off Date</t>
  </si>
  <si>
    <t>Proportions of Service:</t>
  </si>
  <si>
    <t>Weighted Proportion</t>
  </si>
  <si>
    <t>Total Pensionable Salaries (£m)</t>
  </si>
  <si>
    <t>Scheme</t>
  </si>
  <si>
    <t>Post cut-off date sub-fund</t>
  </si>
  <si>
    <t xml:space="preserve">Total Liabilities </t>
  </si>
  <si>
    <t>Date of previous, ie opening, valuation</t>
  </si>
  <si>
    <t>Date of current, ie closing, valuation</t>
  </si>
  <si>
    <t>31 March 2010</t>
  </si>
  <si>
    <t>31 March 2013</t>
  </si>
  <si>
    <t>Return at WACC for each year in period</t>
  </si>
  <si>
    <t>WACC per Financial Model (pre RIIO)/PCFM (RIIO)</t>
  </si>
  <si>
    <t>Individual licensee data</t>
  </si>
  <si>
    <t>=</t>
  </si>
  <si>
    <t>Pre cut-off date sub-fund</t>
  </si>
  <si>
    <t>Employer paid value of new benefits accrued during the period by active members</t>
  </si>
  <si>
    <t>Member paid value of new benefits accrued during the period</t>
  </si>
  <si>
    <t>New benefits due to incoming transfers</t>
  </si>
  <si>
    <t>Outgoing bulk transfer of liabilities during period</t>
  </si>
  <si>
    <t>Interest earned on liabilities during the period</t>
  </si>
  <si>
    <t>Impact of changes in actuarial assumptions due to changes in market conditions</t>
  </si>
  <si>
    <t>Impact of changes in longevity assumption</t>
  </si>
  <si>
    <t>Impact of changes in other assumptions</t>
  </si>
  <si>
    <t>Liabilities transferred out during the period</t>
  </si>
  <si>
    <t>Benefits paid out during the period</t>
  </si>
  <si>
    <t>+/-</t>
  </si>
  <si>
    <t>New benefits due to pension strain costs</t>
  </si>
  <si>
    <t>Liabilities</t>
  </si>
  <si>
    <t>DPCR4</t>
  </si>
  <si>
    <t>Actives (plus retirees from actives after 2004)</t>
  </si>
  <si>
    <t>Pensioners &amp; deferreds (less retirees from actives since 2004)</t>
  </si>
  <si>
    <t>Total liabilities</t>
  </si>
  <si>
    <t>At DPCR4 split 80/20 attributable as follows:</t>
  </si>
  <si>
    <t>Regulatory fraction:</t>
  </si>
  <si>
    <t xml:space="preserve">Year ended 31 March </t>
  </si>
  <si>
    <t>Total scheme at cut-off date</t>
  </si>
  <si>
    <t>Insert basis of the calculation of attribution to post cut-off date sub-fund, including data and formulae applied</t>
  </si>
  <si>
    <t>k. money paid out to meet post Cut-Off Date scheme administration expenses and PPF levies since last Valuation</t>
  </si>
  <si>
    <t>Start of DPCR4</t>
  </si>
  <si>
    <t>Actives - regulated</t>
  </si>
  <si>
    <t>Actives - non-regulated</t>
  </si>
  <si>
    <t>Pensioners &amp; deferreds - regulated</t>
  </si>
  <si>
    <t>Pensioners &amp; deferreds - non-regulated</t>
  </si>
  <si>
    <t xml:space="preserve">Regulated </t>
  </si>
  <si>
    <t>1. Total pre Cut-Off Date liabilities attributable to each licensee</t>
  </si>
  <si>
    <t>Section C - ERDC computation of movement in residual unfunded balance in period</t>
  </si>
  <si>
    <t>Section D - Changes to pre Cut-Off Date Regulatory Fractions</t>
  </si>
  <si>
    <t>Split of liabilities between regulated and non-regulated:</t>
  </si>
  <si>
    <t>Adjustment to Pre Cut-Off Date Regulatory Fractions due to bulk transfers in during period excluding protected persons</t>
  </si>
  <si>
    <t>Adjustment to Pre Cut-Off Date Regulatory Fractions due to bulk transfers out during period excluding protected persons</t>
  </si>
  <si>
    <t>Adjustment to Pre Cut-Off Date Regulatory Fractions due to bulk transfers out during period in relation to protected persons</t>
  </si>
  <si>
    <t>Adjustment to Pre Cut-Off Date Regulatory Fractions due to bulk transfers in during period in relation to protected persons</t>
  </si>
  <si>
    <t>Adjustment to Pre Cut-Off Date Regulatory Fractions due to other items</t>
  </si>
  <si>
    <t xml:space="preserve">Section E - Post Cut-Off Date Regulatory Proportion at Previous Valuation </t>
  </si>
  <si>
    <t>Section F - Calculation of Weighted Proportion (based on data from RRPs)</t>
  </si>
  <si>
    <t>Section H - Calculation of Established Deficit and Incremental Deficit</t>
  </si>
  <si>
    <t>d. employer contributions paid since last Valuation towards the deficit attributable to pre / post Cut-Off Date pensionable service</t>
  </si>
  <si>
    <t>e. employer contributions paid since last valuation towards Pension Strain Costs attributable to pre / post Cut-Off Date pensionable service</t>
  </si>
  <si>
    <t>f. employer contributions paid since last valuation towards and other benefit augmentations attributable to pre / post Cut-Off Date pensionable service</t>
  </si>
  <si>
    <t>g. employer contributions to meet pre / post Cut-Off Date scheme administration expenses and PPF Levies since last Valuation</t>
  </si>
  <si>
    <t>h. other employer contributions paid since last Valuation in respect of pre / post Cut-Off Date pensionable pensionable service</t>
  </si>
  <si>
    <t>i. assets paid in as part of a Bulk Transfer and individual transfers-in in respect of pre / post Cut-Off Date pensionable service</t>
  </si>
  <si>
    <t>j. benefits paid or transferred out since last Valuation in respect of pre / post Cut-Off Date pensionable service</t>
  </si>
  <si>
    <t>l. assets paid out as part of a Bulk Transfer in respect of pre / post Cut-Off Date pensionable service</t>
  </si>
  <si>
    <t>m. any other payments out of the scheme since last Valuation in respect of pre / post Cut-Off Date pensionable service</t>
  </si>
  <si>
    <t xml:space="preserve">n. actual investment returns achieved by the pension scheme’s assets during the period as applied to pre / post Cut‑Off Date assets and cashflows set out in (a) to (l) </t>
  </si>
  <si>
    <t>Post Cut-Off Date Regulatory Proportion</t>
  </si>
  <si>
    <t>Regulatory fraction as a proportion of Pre Cut-Off Date liabilities</t>
  </si>
  <si>
    <t>Interest on deficit</t>
  </si>
  <si>
    <t>Employer contributions in excess of cost of benefit accrual</t>
  </si>
  <si>
    <t>Membership movements</t>
  </si>
  <si>
    <t>Change in financial assumptions</t>
  </si>
  <si>
    <t>Change in life expectancy assumption</t>
  </si>
  <si>
    <t>Impact of Pension Strain costs</t>
  </si>
  <si>
    <t>MM/YYYY</t>
  </si>
  <si>
    <t xml:space="preserve"> </t>
  </si>
  <si>
    <t>WMID</t>
  </si>
  <si>
    <t>EMID</t>
  </si>
  <si>
    <t>ENWL</t>
  </si>
  <si>
    <t>NPN</t>
  </si>
  <si>
    <t>Input cells</t>
  </si>
  <si>
    <t>NPG</t>
  </si>
  <si>
    <t>Totals cells (of formula within worksheet)</t>
  </si>
  <si>
    <t>SWALES</t>
  </si>
  <si>
    <t>Referencing to other worksheets</t>
  </si>
  <si>
    <t>SWEST</t>
  </si>
  <si>
    <t>Referencing to other workbooks</t>
  </si>
  <si>
    <t>LPN</t>
  </si>
  <si>
    <t>Check cells</t>
  </si>
  <si>
    <t>SPN</t>
  </si>
  <si>
    <t>No Input</t>
  </si>
  <si>
    <t>EPN</t>
  </si>
  <si>
    <t>Descriptions and pack data</t>
  </si>
  <si>
    <t>SPD</t>
  </si>
  <si>
    <t>SPMW</t>
  </si>
  <si>
    <t>SSEH</t>
  </si>
  <si>
    <t>SSES</t>
  </si>
  <si>
    <t>Reporting year</t>
  </si>
  <si>
    <t>[Year]</t>
  </si>
  <si>
    <t>Version control</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</si>
  <si>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</si>
  <si>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</si>
  <si>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</si>
  <si>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</si>
  <si>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</si>
  <si>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</si>
  <si>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</si>
  <si>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</si>
  <si>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</si>
  <si>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</si>
  <si>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</si>
  <si>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</si>
  <si>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</si>
  <si>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</si>
  <si>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Contents</t>
  </si>
  <si>
    <t>Changes log</t>
  </si>
  <si>
    <t>Change control</t>
  </si>
  <si>
    <t>Version</t>
  </si>
  <si>
    <t>Table Reference</t>
  </si>
  <si>
    <t>Changes made in the Financial RIGs</t>
  </si>
  <si>
    <t>Triennial Pension Reporting Pack data tables</t>
  </si>
  <si>
    <t>WWU</t>
  </si>
  <si>
    <t>NGN</t>
  </si>
  <si>
    <t>SGN - Southern</t>
  </si>
  <si>
    <t>SGN - Scotland</t>
  </si>
  <si>
    <t>NGG EOE</t>
  </si>
  <si>
    <t>NGG London</t>
  </si>
  <si>
    <t>NGG WM</t>
  </si>
  <si>
    <t>NGG NW</t>
  </si>
  <si>
    <t>NGET</t>
  </si>
  <si>
    <t>(change log from 2013 master)</t>
  </si>
  <si>
    <t>[Insert Scheme Name]</t>
  </si>
  <si>
    <t>NGGT</t>
  </si>
  <si>
    <t>NWO Name</t>
  </si>
  <si>
    <t>Scheme Name</t>
  </si>
  <si>
    <t>[NWO]</t>
  </si>
  <si>
    <t>UKPN ESPS</t>
  </si>
  <si>
    <t>UKPN PS</t>
  </si>
  <si>
    <t>ENWL ESPS</t>
  </si>
  <si>
    <t>ENWL PS</t>
  </si>
  <si>
    <t>SPPS</t>
  </si>
  <si>
    <t>Manweb ESPS</t>
  </si>
  <si>
    <t>SHEPS</t>
  </si>
  <si>
    <t>Southern ESPS</t>
  </si>
  <si>
    <t>SGN</t>
  </si>
  <si>
    <t>NGUKPS</t>
  </si>
  <si>
    <t>NGET ESPS</t>
  </si>
  <si>
    <t>2012-13</t>
  </si>
  <si>
    <t>2010-13</t>
  </si>
  <si>
    <t>2010-12</t>
  </si>
  <si>
    <t>WPD (Central Networks) ESPS</t>
  </si>
  <si>
    <t>WPD (South West) ESPS</t>
  </si>
  <si>
    <t>Group</t>
  </si>
  <si>
    <t>Northern Powergrid</t>
  </si>
  <si>
    <t>UKPN</t>
  </si>
  <si>
    <t xml:space="preserve">NWO Group Name </t>
  </si>
  <si>
    <t>SPD &amp; SPTL</t>
  </si>
  <si>
    <t>SHETL &amp; SHEPD</t>
  </si>
  <si>
    <t>SP Manweb</t>
  </si>
  <si>
    <t>Scotia Gas Networks</t>
  </si>
  <si>
    <t>Wales &amp; West</t>
  </si>
  <si>
    <t>Northern Gas Networks</t>
  </si>
  <si>
    <t>National Grid Gas</t>
  </si>
  <si>
    <t>Northen Electric ESPS</t>
  </si>
  <si>
    <t>Reporting Year/period:</t>
  </si>
  <si>
    <t>Navigate</t>
  </si>
  <si>
    <t>Scheme 1</t>
  </si>
  <si>
    <t>Scheme 2</t>
  </si>
  <si>
    <t>NGET TO</t>
  </si>
  <si>
    <t>NGET SO</t>
  </si>
  <si>
    <t>NGGT TO</t>
  </si>
  <si>
    <t>NGGT SO</t>
  </si>
  <si>
    <t>WWU PS</t>
  </si>
  <si>
    <t>SGN PS</t>
  </si>
  <si>
    <t>P1.1 - PDAM information completed by licensee - primary scheme</t>
  </si>
  <si>
    <t>P2.2 - PDAM information completed by Actuary - second scheme</t>
  </si>
  <si>
    <t>Sources</t>
  </si>
  <si>
    <t>Assets (+ve)</t>
  </si>
  <si>
    <t>Liabilities (-ve)</t>
  </si>
  <si>
    <t>Active Liabilities  (-ve)</t>
  </si>
  <si>
    <t>Deferred Liabilities  (-ve)</t>
  </si>
  <si>
    <t>Pensioner Liabilities  (-ve)</t>
  </si>
  <si>
    <t>Total PPF levy paid in year</t>
  </si>
  <si>
    <t>Non-regulated businesses</t>
  </si>
  <si>
    <t>Regulated business of:</t>
  </si>
  <si>
    <t>Total PPF levy paid directly by sponsoring employers</t>
  </si>
  <si>
    <t>Total PPF levy collected through normal ongoing pension costs</t>
  </si>
  <si>
    <t>Total PPF levy collected through ongoing pension costs (%age of pensionable pay)</t>
  </si>
  <si>
    <t>ATTRIBUTION of PPF levies to the licensee</t>
  </si>
  <si>
    <t>Transmission / Distribution</t>
  </si>
  <si>
    <t xml:space="preserve">Excluded Services </t>
  </si>
  <si>
    <t>De minimis</t>
  </si>
  <si>
    <t>Other consented</t>
  </si>
  <si>
    <t>All non-regulated activities (exc Excluded Services) - balancing amount</t>
  </si>
  <si>
    <t>score</t>
  </si>
  <si>
    <t>Date scored</t>
  </si>
  <si>
    <t>Section B - Pension admin costs paid by all DB schemes</t>
  </si>
  <si>
    <t>Total scheme admin costs paid in year</t>
  </si>
  <si>
    <t>Paid directly by sponsoring employers:</t>
  </si>
  <si>
    <t>Total admin costs paid directly by sponsoring employers</t>
  </si>
  <si>
    <t>Collected through normal ongoing pension service costs:</t>
  </si>
  <si>
    <t>Total admin costs collected through normal ongoing pension costs</t>
  </si>
  <si>
    <t>Contingent asset actual costs</t>
  </si>
  <si>
    <t>Submission Dates</t>
  </si>
  <si>
    <t>Total Contingent asset and hedging costs</t>
  </si>
  <si>
    <t>Section C - Contingent asset and hedging costs paid directly by licensee</t>
  </si>
  <si>
    <t>Pension hedging costs</t>
  </si>
  <si>
    <t>Attribution</t>
  </si>
  <si>
    <t>NGN PS</t>
  </si>
  <si>
    <t>Proportion of employer deficit payments that can be attributed, in line with the approach detailed in paragraph 6.5 of chapter 6, to the remaining additional liabilities which relate to unfunded ERDCs, allowing for expected returns calculated using the WACC determined for the relevant price control</t>
  </si>
  <si>
    <t>Value of liabilities at the current Valuation Date in respect of post Cut-Off Date benefits accrued up to and including the date of the previous Valuation</t>
  </si>
  <si>
    <t>Value of liabilities at the current Valuation Date in respect of post Cut-Off Date benefits accrued since the date of previous valuation</t>
  </si>
  <si>
    <t>Dun &amp; Bradstreet failure score (annual average)</t>
  </si>
  <si>
    <t>Section A - Total PPF levies paid in respect of this scheme</t>
  </si>
  <si>
    <t>PPF levy paid directly by sponsoring employers to the PPF:</t>
  </si>
  <si>
    <t>PPF levy collected through normal ongoing pension costs by scheme:</t>
  </si>
  <si>
    <t>Administration costs actually paid in respect of the scheme in the year</t>
  </si>
  <si>
    <t>P1.2: Pensions Deficit Allocation Methodology</t>
  </si>
  <si>
    <t>P1.2 - PDAM information completed and signed off by actuarial advisers - primary scheme</t>
  </si>
  <si>
    <t>P1.4: PPF Levies, Scheme administration, contingent asset and hedging costs - Primary scheme</t>
  </si>
  <si>
    <t>P2.1 - PDAM information completed by licensee - second scheme</t>
  </si>
  <si>
    <t>P1.2 - PDAM information completed by Actuary - primary scheme</t>
  </si>
  <si>
    <t>NPgN</t>
  </si>
  <si>
    <t>NPgY</t>
  </si>
  <si>
    <t>DB scheme 1</t>
  </si>
  <si>
    <t>DB Scheme 2</t>
  </si>
  <si>
    <t>31 March 2011</t>
  </si>
  <si>
    <t>31 March 2012</t>
  </si>
  <si>
    <t>31 December 2012</t>
  </si>
  <si>
    <t>31 March 2014</t>
  </si>
  <si>
    <t>31 March 2015</t>
  </si>
  <si>
    <t>31 March 2016</t>
  </si>
  <si>
    <t>31 March 2017</t>
  </si>
  <si>
    <t>31-Mar</t>
  </si>
  <si>
    <t>Section G - Calculation of Post Cut-Off Regulatory Proportion</t>
  </si>
  <si>
    <t>Section C - Reconciliation of surplus / deficit</t>
  </si>
  <si>
    <r>
      <t xml:space="preserve">Pre cut-off date regulatory fractions, </t>
    </r>
    <r>
      <rPr>
        <b/>
        <sz val="10"/>
        <color indexed="8"/>
        <rFont val="Verdana"/>
        <family val="2"/>
      </rPr>
      <t xml:space="preserve">post residual unfunded ERDCs </t>
    </r>
  </si>
  <si>
    <t>Section D1 - Scheme liabilities and attribution</t>
  </si>
  <si>
    <t>Section D2 - Attribution of scheme liabilities to pre and post Cut-Off Date Notional Sub-Funds</t>
  </si>
  <si>
    <t>Northern Powergrid ESPS</t>
  </si>
  <si>
    <t>Section E - Scheme assets and attribution to pre and post Cut-Off Date Notional Sub-Funds</t>
  </si>
  <si>
    <t>Section F - Calculation of pre and post Cut-Off Date deficits</t>
  </si>
  <si>
    <t>Pre-retirement discount rate at previous valuation</t>
  </si>
  <si>
    <t>Post-retirement discount rate at previous valuation</t>
  </si>
  <si>
    <t>Proportion of Pre Cut-Off Date liabilities at the previous valuation in respect of actives and deferred pensioners</t>
  </si>
  <si>
    <t>Proportion of Pre Cut-Off Date liabilities at the previous valuation in respect of pensioners and dependants</t>
  </si>
  <si>
    <t>(a) The weighted average discount rate in respect of Pre Cut-Off Date liabilities at the previous valuation:</t>
  </si>
  <si>
    <t>(b) The weighted average discount rate in respect of Post Cut-Off Date liabilities at the previous valuation:</t>
  </si>
  <si>
    <t>Proportion of Post Cut-Off Date liabilities at the previous valuation in respect of actives and deferred pensioners</t>
  </si>
  <si>
    <t>Proportion of Post Cut-Off Date liabilities at the previous valuation in respect of pensioners and dependants</t>
  </si>
  <si>
    <t>Proportion of liabilities in respect of the Pre Cut-Off Date sub-fund at the previous valuation</t>
  </si>
  <si>
    <t>Proportion of liabilities in respect of the Post Cut-Off Date sub-fund at the previous valuation</t>
  </si>
  <si>
    <t>(c) The weighted average discount rate at the previous valuation:</t>
  </si>
  <si>
    <t>Inputs for calculating pre and post discount rates and investment returns to sub-funds</t>
  </si>
  <si>
    <t>Formulae set out in paragraph 6.20 of Chapter 6</t>
  </si>
  <si>
    <t>Paragraph 6.20 adjustments</t>
  </si>
  <si>
    <t>(d) The adjusted annual actual investment return for the Pre Cut-off Date sub-fund:</t>
  </si>
  <si>
    <t>(e) The adjusted annual actual investment return for the Post Cut-off Date sub-fund:</t>
  </si>
  <si>
    <t>Annual investment return in each year</t>
  </si>
  <si>
    <t>Year ended 31 March</t>
  </si>
  <si>
    <t>V1.01</t>
  </si>
  <si>
    <t>P1.1 and P2.1</t>
  </si>
  <si>
    <t>Row 107: formulae amended to be “+C104+C105-C106”</t>
  </si>
  <si>
    <t>V1.03</t>
  </si>
  <si>
    <t>P1.3</t>
  </si>
  <si>
    <t>Cell A73: Amended description to exclude reference to [31 March] 2010</t>
  </si>
  <si>
    <t>Cell A81: Amended description to exclude reference to [31 March] 2013</t>
  </si>
  <si>
    <t>Cell A84: Amended description to exclude reference to [31 March] 2010</t>
  </si>
  <si>
    <t>Cell A86: Amended description to include "deaths"</t>
  </si>
  <si>
    <t>Cell A90: Amended description to exclude reference to [31 March] 2013</t>
  </si>
  <si>
    <t>Cell A93: Amended description to exclude reference to [31 March] 2010</t>
  </si>
  <si>
    <t>Cell A95: Amended description to include "deaths"</t>
  </si>
  <si>
    <t>Cell A98: Amended description to exclude reference to [31 March] 2013</t>
  </si>
  <si>
    <t>Cell A101: Amended description to exclude reference to [31 March] 2010</t>
  </si>
  <si>
    <t>Cell A104: Amended description to include "deaths"</t>
  </si>
  <si>
    <t>Cell A106: Amended description to exclude reference to [31 March] 2013</t>
  </si>
  <si>
    <t>Cell A109: Amended description to exclude reference to [31 March] 2010</t>
  </si>
  <si>
    <t>Cell A111: Amended description to include "deaths"</t>
  </si>
  <si>
    <t>Cell A113: Amended description to exclude reference to [31 March] 2013</t>
  </si>
  <si>
    <t>Cell D132: Corrected formula to link to 2013 data, not 2010 data. Formula was: =D81-D125</t>
  </si>
  <si>
    <t>Cell D133: Corrected formula to link to 2013 data, not 2010 data. Formula was: =D90-D126</t>
  </si>
  <si>
    <t>Cell D134: Corrected formula to link to 2013 data, not 2010 data. Formula was: =D98-D127</t>
  </si>
  <si>
    <t>V1.04</t>
  </si>
  <si>
    <t>Cell D135: Corrected formula to link to 2013 data, not 2010 data. Formula was: =D106-D128</t>
  </si>
  <si>
    <t>Insert "iferror" formula into cells with "#div" calculations</t>
  </si>
  <si>
    <t>Cells H117:I121: Remove duplicate cells</t>
  </si>
  <si>
    <t>Cells L117:M121: Remove duplicate cells</t>
  </si>
  <si>
    <t>Cells P117:Q121: Remove duplicate cells</t>
  </si>
  <si>
    <t>P1.4</t>
  </si>
  <si>
    <t>Cells C17:F17: Corrected formula to include omitted cells for licensees 4-6</t>
  </si>
  <si>
    <t>Cells C28:F28: Corrected formula to include omitted cells for licensees 4-6</t>
  </si>
  <si>
    <t>Cells C58:F58: Corrected formula to include omitted cells for licensees 4-6</t>
  </si>
  <si>
    <t>Cells C69:F69: Corrected formula to include omitted cells for licensees 4-6</t>
  </si>
  <si>
    <t>Cells C86:F86: Corrected formula to include omitted cells for licensees 4-6</t>
  </si>
  <si>
    <t>Impact of pension increases in excess of minimum increases required under Rules</t>
  </si>
  <si>
    <t>V1.05</t>
  </si>
  <si>
    <t>Cells A28:A29 Added with additional items to be submitted</t>
  </si>
  <si>
    <t>P1.2</t>
  </si>
  <si>
    <t>Cell B35 item added "Impact of pension increases in excess of minimum increases required under Rules"</t>
  </si>
  <si>
    <t>Cell A135 renamed to "Actuarial Valuation Results"</t>
  </si>
  <si>
    <t>Cells A212, A213, A216 and A217 - all references to "aged 60" changed to "aged 65"</t>
  </si>
  <si>
    <t>Rows 221:241 deleted</t>
  </si>
  <si>
    <t>Rows 278:313 deleted</t>
  </si>
  <si>
    <t>Cells H26:P28 deleted</t>
  </si>
  <si>
    <t>V2.0</t>
  </si>
  <si>
    <t>Updated cells where necessary for years eg 2010 changed to 2013</t>
  </si>
  <si>
    <t>(version 2.0 Draft)</t>
  </si>
  <si>
    <t>P2.1 - PDAM information completed by licensee - secondary scheme</t>
  </si>
  <si>
    <t>P2.2: Pensions Deficit Allocation Methodology</t>
  </si>
  <si>
    <t>P2.2 - PDAM information completed and signed off by actuarial advisers - secondary scheme</t>
  </si>
  <si>
    <t>P1.3 - Deleted</t>
  </si>
  <si>
    <t>P2.3 - Deleted</t>
  </si>
  <si>
    <t>P1.3 &amp; P2.3</t>
  </si>
  <si>
    <t>Delete contents, but retain table numbers</t>
  </si>
  <si>
    <t>P1.4 &amp; P2.4</t>
  </si>
  <si>
    <t>Not required to be completed by DNO/RIIO-ED1 licencees</t>
  </si>
  <si>
    <t>Example P1.1 &amp; 1.2</t>
  </si>
  <si>
    <t>Delete tables</t>
  </si>
  <si>
    <t xml:space="preserve">P2.4: PPF Levies, Scheme administration, contingent asset and hedging costs - Secondary scheme </t>
  </si>
  <si>
    <t>2nd term in Vrr calculation</t>
  </si>
  <si>
    <t>1st term in Vrr calculation</t>
  </si>
  <si>
    <t>Value for truncated calculation next time</t>
  </si>
  <si>
    <t>Result of test</t>
  </si>
  <si>
    <t>Right hand side of test</t>
  </si>
  <si>
    <t>Value of Vrr</t>
  </si>
  <si>
    <t>Value of ABC</t>
  </si>
  <si>
    <t>Input: difference, agreed risk transfer</t>
  </si>
  <si>
    <t>PV equivalent ABV at end year rr</t>
  </si>
  <si>
    <t>Present value factor</t>
  </si>
  <si>
    <t>ABV (from PBAPA sheet)</t>
  </si>
  <si>
    <t>Total proposed EDE</t>
  </si>
  <si>
    <t>Adjustment factors determined by the Authority (if any)</t>
  </si>
  <si>
    <t>Note: PBAPA plus PPH</t>
  </si>
  <si>
    <t>Left hand side of test</t>
  </si>
  <si>
    <t>Discounted PPHy</t>
  </si>
  <si>
    <t>Note: this cell may contain a formula to equalise the test. If so, to permit a non-equal outcome, please overwrite the formula with an input value.</t>
  </si>
  <si>
    <t>Input: Proposed PPHy (balancing figure in last column)</t>
  </si>
  <si>
    <t>h</t>
  </si>
  <si>
    <t>Proposed discount rates, PhDRy</t>
  </si>
  <si>
    <t>Illustrative test for PPHy</t>
  </si>
  <si>
    <t>Result: Vrr =</t>
  </si>
  <si>
    <t>Third term term of formula =</t>
  </si>
  <si>
    <t>Second term of formula =</t>
  </si>
  <si>
    <t>First term of formula =</t>
  </si>
  <si>
    <t>LTU</t>
  </si>
  <si>
    <t>Offset against attributed allowances</t>
  </si>
  <si>
    <t>Legacy true-up value before offset</t>
  </si>
  <si>
    <t>Legacy true-up value as at the end of year rr</t>
  </si>
  <si>
    <t>Calculation of Vrr term</t>
  </si>
  <si>
    <r>
      <t>1+g</t>
    </r>
    <r>
      <rPr>
        <sz val="11"/>
        <color theme="1"/>
        <rFont val="Verdana"/>
        <family val="2"/>
      </rPr>
      <t>·</t>
    </r>
    <r>
      <rPr>
        <sz val="11"/>
        <color theme="1"/>
        <rFont val="Calibri"/>
        <family val="2"/>
      </rPr>
      <t>hDR</t>
    </r>
  </si>
  <si>
    <t>g</t>
  </si>
  <si>
    <t>hDR</t>
  </si>
  <si>
    <t>Determined discount rates</t>
  </si>
  <si>
    <t>1-CTrr+1</t>
  </si>
  <si>
    <t>Resulting CT rates (CTy)</t>
  </si>
  <si>
    <t>User input</t>
  </si>
  <si>
    <t>Known CT rates</t>
  </si>
  <si>
    <t>Corporation tax rates</t>
  </si>
  <si>
    <t>Pre-valuation Dy-Ey</t>
  </si>
  <si>
    <t>Blank row</t>
  </si>
  <si>
    <t>Dy (up to valuation date)</t>
  </si>
  <si>
    <t>Ey</t>
  </si>
  <si>
    <t>Of which: attributed to LTU offset, cell C48 (input as positive)</t>
  </si>
  <si>
    <t>Subtotal</t>
  </si>
  <si>
    <t>historical PH (assuming PH = PPH at last rr) &amp; LTU allowances</t>
  </si>
  <si>
    <t>historical BAPA (note: last two years define EBAPA)</t>
  </si>
  <si>
    <t>Payment and allowance history (ie actuals)</t>
  </si>
  <si>
    <t>years rr+1 onwards</t>
  </si>
  <si>
    <t>years rr-1 to rr</t>
  </si>
  <si>
    <t>years pco1 to rr-2</t>
  </si>
  <si>
    <t>year rr</t>
  </si>
  <si>
    <t>year_num</t>
  </si>
  <si>
    <t>year</t>
  </si>
  <si>
    <t>Reasonableness review year (rr)</t>
  </si>
  <si>
    <t>First year post cut-off (pco1)</t>
  </si>
  <si>
    <t>P1.5 - Calculation of Vrr</t>
  </si>
  <si>
    <t xml:space="preserve">CAA/ORR/Ureg methods use f = 1/2 </t>
  </si>
  <si>
    <t>Note: PCFM discounting method implies f = 1/(2 + DR)</t>
  </si>
  <si>
    <t>discount factor = (1+DR*f)/(1+DR)^year</t>
  </si>
  <si>
    <t>Discount factor</t>
  </si>
  <si>
    <t xml:space="preserve">f = 1/LN(1+DR)-1/DR </t>
  </si>
  <si>
    <t>f</t>
  </si>
  <si>
    <t>flatPBAPA (possible PBAPA for PSED - ABV)</t>
  </si>
  <si>
    <t>BAPA = PSED x LN(1+DR) / (1-(1+DR)^ -y)</t>
  </si>
  <si>
    <t>preferred repair period</t>
  </si>
  <si>
    <t>equiv repair period with ABV</t>
  </si>
  <si>
    <t>Use whole number to test integrity of discounting</t>
  </si>
  <si>
    <t>Minimum of rpa and 15</t>
  </si>
  <si>
    <t>flatBAPA (IBAPA for PSED)</t>
  </si>
  <si>
    <t>Error</t>
  </si>
  <si>
    <t>indicative repair period (min irp,15)</t>
  </si>
  <si>
    <t>Sum</t>
  </si>
  <si>
    <t>irp value</t>
  </si>
  <si>
    <t>DR</t>
  </si>
  <si>
    <t>EBAPA</t>
  </si>
  <si>
    <t>Discounted values</t>
  </si>
  <si>
    <t>PSED (+LO) - ABV</t>
  </si>
  <si>
    <t>ABV (input as positive)</t>
  </si>
  <si>
    <t>PSED (+LO)</t>
  </si>
  <si>
    <t>note: PBAPA =BAPA for rr-1 and rr, from P1.5 sheet</t>
  </si>
  <si>
    <t>User input proposed (PBAPA)</t>
  </si>
  <si>
    <r>
      <t xml:space="preserve">Note: PSED at the date of the last triennial valuation is the starting point for proposals for BAPA allowances. The Financial Handbook provides for BAPA proposals to take account of any asset </t>
    </r>
    <r>
      <rPr>
        <u/>
        <sz val="9"/>
        <color theme="1"/>
        <rFont val="Calibri"/>
        <family val="2"/>
        <scheme val="minor"/>
      </rPr>
      <t>included</t>
    </r>
    <r>
      <rPr>
        <sz val="9"/>
        <color theme="1"/>
        <rFont val="Calibri"/>
        <family val="2"/>
        <scheme val="minor"/>
      </rPr>
      <t xml:space="preserve"> in PSED which really represents a commitment from the licensee to future funding (LO) and to take account of any asset </t>
    </r>
    <r>
      <rPr>
        <u/>
        <sz val="9"/>
        <color theme="1"/>
        <rFont val="Calibri"/>
        <family val="2"/>
        <scheme val="minor"/>
      </rPr>
      <t>outside</t>
    </r>
    <r>
      <rPr>
        <sz val="9"/>
        <color theme="1"/>
        <rFont val="Calibri"/>
        <family val="2"/>
        <scheme val="minor"/>
      </rPr>
      <t xml:space="preserve"> the PSED which really represents past funding by consumers towards the deficit (ABV).</t>
    </r>
  </si>
  <si>
    <t>Flat profile PBAPA to equal PSED - ABV</t>
  </si>
  <si>
    <t>Flat profile IBAPA to equal PSED</t>
  </si>
  <si>
    <t>rr+28</t>
  </si>
  <si>
    <t>rr+27</t>
  </si>
  <si>
    <t>rr+26</t>
  </si>
  <si>
    <t>rr+25</t>
  </si>
  <si>
    <t>rr+24</t>
  </si>
  <si>
    <t>rr+23</t>
  </si>
  <si>
    <t>rr+22</t>
  </si>
  <si>
    <t>rr+21</t>
  </si>
  <si>
    <t>rr+20</t>
  </si>
  <si>
    <t>rr+19</t>
  </si>
  <si>
    <t>rr+18</t>
  </si>
  <si>
    <t>rr+17</t>
  </si>
  <si>
    <t>rr+16</t>
  </si>
  <si>
    <t>rr+15</t>
  </si>
  <si>
    <t>rr+14</t>
  </si>
  <si>
    <t>rr+13</t>
  </si>
  <si>
    <t>rr+12</t>
  </si>
  <si>
    <t>rr+11</t>
  </si>
  <si>
    <t>rr+10</t>
  </si>
  <si>
    <t>rr+9</t>
  </si>
  <si>
    <t>rr+8</t>
  </si>
  <si>
    <t>rr+7</t>
  </si>
  <si>
    <t>rr+6</t>
  </si>
  <si>
    <t>rr+5</t>
  </si>
  <si>
    <t>rr+4</t>
  </si>
  <si>
    <t>rr+3</t>
  </si>
  <si>
    <t>rr+2</t>
  </si>
  <si>
    <t>rr+1</t>
  </si>
  <si>
    <t>rr</t>
  </si>
  <si>
    <t>rr-1</t>
  </si>
  <si>
    <t>Year</t>
  </si>
  <si>
    <t>formula description</t>
  </si>
  <si>
    <t>cell values</t>
  </si>
  <si>
    <t>cell name</t>
  </si>
  <si>
    <t>P1.6 - IBAPA and PBAPA</t>
  </si>
  <si>
    <t>rr3_num</t>
  </si>
  <si>
    <t>rr2_num</t>
  </si>
  <si>
    <t>rr_num</t>
  </si>
  <si>
    <t>pco1_num</t>
  </si>
  <si>
    <t>rrA</t>
  </si>
  <si>
    <t>pco1A</t>
  </si>
  <si>
    <t>2032-33</t>
  </si>
  <si>
    <t>2031-32</t>
  </si>
  <si>
    <t>2030-31</t>
  </si>
  <si>
    <t>2029-30</t>
  </si>
  <si>
    <t>2028-29</t>
  </si>
  <si>
    <t>2027-28</t>
  </si>
  <si>
    <t>2026-27</t>
  </si>
  <si>
    <t>2025-26</t>
  </si>
  <si>
    <t>2024-25</t>
  </si>
  <si>
    <t>2023-24</t>
  </si>
  <si>
    <t>2022-23</t>
  </si>
  <si>
    <t>2021-22</t>
  </si>
  <si>
    <t>2020-21</t>
  </si>
  <si>
    <t>2019-20</t>
  </si>
  <si>
    <t>2018-19</t>
  </si>
  <si>
    <t>2017-18</t>
  </si>
  <si>
    <t>2016-17</t>
  </si>
  <si>
    <t>2015-16</t>
  </si>
  <si>
    <t>2014-15</t>
  </si>
  <si>
    <t>2013-14</t>
  </si>
  <si>
    <t>2011-12</t>
  </si>
  <si>
    <t>2010-11</t>
  </si>
  <si>
    <t>2009-10</t>
  </si>
  <si>
    <t>DP5TUV_year</t>
  </si>
  <si>
    <t>CT</t>
  </si>
  <si>
    <t>rrQ</t>
  </si>
  <si>
    <t>pco1Q</t>
  </si>
  <si>
    <t>yearQ</t>
  </si>
  <si>
    <t>P1.5, P1.6 and control</t>
  </si>
  <si>
    <t>P1.1 &amp; P2.1</t>
  </si>
  <si>
    <t>P1.1 PDAM Licensee provided</t>
  </si>
  <si>
    <t xml:space="preserve">Pre Cut-Off Date Regulatory Fractions at 31 March 2016 - after adjustment for Section B; before adjustment for ERDCs, bulk transfers and other items </t>
  </si>
  <si>
    <t>Insert tables P1.5, P1.6, 2.5, 2.6 and control tabs</t>
  </si>
  <si>
    <t>WPD (Central Networks ESPS)</t>
  </si>
  <si>
    <t>WPD (WPD Group ESPS)</t>
  </si>
  <si>
    <t>P2.5 - Calculation of Vrr</t>
  </si>
  <si>
    <t>P2.6 - IBAPA and PBAPA</t>
  </si>
  <si>
    <t>Para 6.20 adjustment</t>
  </si>
  <si>
    <t>Price Base to be used:</t>
  </si>
  <si>
    <t>GT, GD, ET - 2009-10 prices</t>
  </si>
  <si>
    <t>ED - 2012-2013 prices</t>
  </si>
  <si>
    <t>b(i). employer contributions paid towards future benefit accrual since last Valuation</t>
  </si>
  <si>
    <t>Cell B87 amended to read b(i)</t>
  </si>
  <si>
    <t>P1.2 &amp; P2.2</t>
  </si>
  <si>
    <t>Also submitted' deleted</t>
  </si>
  <si>
    <t>P1.5 - Calculation of Vrr - Licensee 1</t>
  </si>
  <si>
    <t>P1.6 IBAPA and PBAPA - Licensee 1</t>
  </si>
  <si>
    <t>P2.5 - Calculation of Vrr - Licensee 2</t>
  </si>
  <si>
    <t>P2.6 IBAPA and PBAPA - Licensee 2</t>
  </si>
  <si>
    <t>P1.4 - PPF Levies and Scheme administration - Primary scheme [not RIIO-ED1 Licensees]</t>
  </si>
  <si>
    <t>P2.4 - PPF Levies and Scheme administration - Second scheme [not RIIO-ED1 Licensees]</t>
  </si>
  <si>
    <t>[not required to be completed by RIIO-ED1 licencees]</t>
  </si>
  <si>
    <t>Licensee completing Yes or No</t>
  </si>
  <si>
    <t>No</t>
  </si>
  <si>
    <t>Reinserted row 116 (this was removed by some NOW, following advice from Ofgem, but wasn't logged here)</t>
  </si>
  <si>
    <t>Pension cover pack</t>
  </si>
  <si>
    <t xml:space="preserve">Drop-down menu options corrected for WPD should be WPD (Central Networks ESPS) and WPD (WPD Group ESPS). </t>
  </si>
  <si>
    <t>All tables</t>
  </si>
  <si>
    <t>Amended formula and typographical errors</t>
  </si>
  <si>
    <t>Row 116 - not working in cases where section B is not filled in.  Should automatically repeat row 115 if there are no entries in section B.
A drop down menu (cell C20) has been added where DNOs must select "Yes".</t>
  </si>
  <si>
    <t>P1.2/2.2</t>
  </si>
  <si>
    <t>P1.2/P2.2</t>
  </si>
  <si>
    <t>Para 6.2 adjustment</t>
  </si>
  <si>
    <t>P1.1/P2.1</t>
  </si>
  <si>
    <t>P1.5/P2.5</t>
  </si>
  <si>
    <t>Correct cell D64 to : =IF(ROUND(D63,1)=ROUND(-D20,1),"OK","ERROR")</t>
  </si>
  <si>
    <t>Amend Cell B19 to read "…..required for DNOs only (if applicable)"
Also heading on page 55 of the Pension RIGs should read "Section B - Optional Roll Forward of Pre Cut-Off Date Regulatory Fraction Update – DNOs (if applicable)" and Paragraph 16.7 should read "........completed by DNOs (if applicable)....".</t>
  </si>
  <si>
    <t>Delete formula in cell D78</t>
  </si>
  <si>
    <t>Adjustment to investment returns due to paragraph 5.9</t>
  </si>
  <si>
    <t>Amend cell A4 to read "….paragragh 5.9".
Also Pensions RIGs should refer to paragraph 5.9 in the contents, the heading on page 31, paragrah 6.20 and 22.1.</t>
  </si>
  <si>
    <t>Section B - Optional Roll Forward of Pre Cut-Off Date Regulatory Fraction Update - required for DNOs only (if applicable)</t>
  </si>
  <si>
    <t>Deleted dummy data in cells D69:K69 and for submission enter discount rate as per Para 21.21 of the Pensions RIGs</t>
  </si>
  <si>
    <t>V2.01</t>
  </si>
  <si>
    <t>P1.4/P2.4</t>
  </si>
  <si>
    <t>Add columns in J:G to capture costs for 2017-2020</t>
  </si>
  <si>
    <t xml:space="preserve">b(ii). The portion of differences between employer contributions paid towards future benefit accrual since last Valuation and the value of future benefit accrual since last Valuation arising because of a surplus attributable to Pre Cut-Off Date pensionable service </t>
  </si>
  <si>
    <t>Inserted in row 88 "b(ii). The portion of differences between employer contributions paid towards future benefit accrual since last Valuation and the value of future benefit accrual since last Valuation arising because of a surplus attributable to Pre Cut-Off Date pensionable service"</t>
  </si>
  <si>
    <t>31 March 2018</t>
  </si>
  <si>
    <t>31 March 2019</t>
  </si>
  <si>
    <t>31 March 2020</t>
  </si>
  <si>
    <t>31 March 2021</t>
  </si>
  <si>
    <t>31 March 2022</t>
  </si>
  <si>
    <t>31 March 2023</t>
  </si>
  <si>
    <r>
      <t xml:space="preserve">Pre cut-off date Regulatory Fractions as at 31 March 2016, </t>
    </r>
    <r>
      <rPr>
        <b/>
        <sz val="10"/>
        <color indexed="8"/>
        <rFont val="Verdana"/>
        <family val="2"/>
      </rPr>
      <t>pre residual unfunded ERDCs</t>
    </r>
  </si>
  <si>
    <t>ERDC adjustment as at 31 March 2016</t>
  </si>
  <si>
    <r>
      <t xml:space="preserve">Pre cut-off date regulatory fractions as at 31 March 2016, </t>
    </r>
    <r>
      <rPr>
        <b/>
        <sz val="10"/>
        <color indexed="8"/>
        <rFont val="Verdana"/>
        <family val="2"/>
      </rPr>
      <t>post residual unfunded ERDCs</t>
    </r>
  </si>
  <si>
    <t xml:space="preserve">P1.1/P2.1 </t>
  </si>
  <si>
    <t>Changed the cells in B14-B16 to "as at 31 March 2016" instead of "as at 31 March 2013".</t>
  </si>
  <si>
    <t>P1.6 and 2.6</t>
  </si>
  <si>
    <t xml:space="preserve">Changed cells C17, C22 &amp; C24, J7-AM7 to link to separate named cells for tabs P1.6 and P2.6 to PSEDA and PSEDB respectively </t>
  </si>
  <si>
    <t xml:space="preserve">Changed cells C22 &amp; C27 to link to separate named cells for tabs P1.6 and P2.6 to EBAPA1 and EBAPA2 respectively </t>
  </si>
  <si>
    <t xml:space="preserve">Changed cells C20, C27, C31, Z16-AM16 to link to separate named cells for tabs P1.6 and P2.6 to DRA and DRB respectively </t>
  </si>
  <si>
    <t xml:space="preserve">Changed cells J7-AM7 &amp; J8 - AM8 to link to separate named cells for tabs P1.6 and P2.6 to flatBAPA1 and flatBAPA2 respectively </t>
  </si>
  <si>
    <t>Para 6.20 adjustments</t>
  </si>
  <si>
    <t xml:space="preserve">Cells C15- E15 &amp; C22-E22 updated to 2017,2018,2019 </t>
  </si>
  <si>
    <t>Added formula in B46 to replace hardcoded input</t>
  </si>
  <si>
    <t>Higher / Lower than expected investment returns</t>
  </si>
  <si>
    <t>Higher / Lower than expected salary increases</t>
  </si>
  <si>
    <t>Higher / Lower than expected pension increases</t>
  </si>
  <si>
    <t>Updated year in G33, G55 and G77 from 2013 to 2016.</t>
  </si>
  <si>
    <t>Updated C101 to year 2017</t>
  </si>
  <si>
    <t xml:space="preserve">Updated B44 to refer to Liabilities at 31 March 2016 </t>
  </si>
  <si>
    <t>P1.1 PDAM Licensee provided (&amp; P2.1)</t>
  </si>
  <si>
    <t>Changed formula in I123 from '=SUM(I116:I122)' to '=IF($C$20 = "Yes",SUM(I116:I122),SUM(I115,I117:I122))', to correct for an error</t>
  </si>
  <si>
    <t>Change '2013' to '2016' in B14 and B15</t>
  </si>
  <si>
    <t>P1.2 PDAM Actuary provided data</t>
  </si>
  <si>
    <r>
      <t>Added in 2 extra free form rows for</t>
    </r>
    <r>
      <rPr>
        <i/>
        <sz val="11"/>
        <color theme="1"/>
        <rFont val="Calibri"/>
        <family val="2"/>
        <scheme val="minor"/>
      </rPr>
      <t xml:space="preserve"> "Other adjustment" (please specify) in B38 and D38</t>
    </r>
  </si>
  <si>
    <r>
      <t>Added in 2 extra free form rows for</t>
    </r>
    <r>
      <rPr>
        <i/>
        <sz val="11"/>
        <color theme="1"/>
        <rFont val="Calibri"/>
        <family val="2"/>
        <scheme val="minor"/>
      </rPr>
      <t xml:space="preserve"> "Other adjustment" (please specify) in B61 and D61</t>
    </r>
  </si>
  <si>
    <t>P1.1/2.1</t>
  </si>
  <si>
    <t>Formula in I14 changed to reflect a third Licensee (added "-E14" to the formula)</t>
  </si>
  <si>
    <t>Formula in I123 amended to =IF($C$20="YES",SUM(I116:I122),SUM(I115,I177:I122))</t>
  </si>
  <si>
    <t>Formulas in C148-J148, C156-J156 and C157-J157 adjusted to reference P2.2 - not P1.2 formula</t>
  </si>
  <si>
    <t>P2.1</t>
  </si>
  <si>
    <t xml:space="preserve">Changed the range name for "f" for cells I16:AM16 to link to separate named cells for tabs P1.6 and P2.6 to f_1 and f_2 respectively </t>
  </si>
  <si>
    <t xml:space="preserve">Changed the range name for "y" for cells J8:AM8 to link to separate named cells for tabs P1.6 and P2.6 to y_1 and y_2 respectively </t>
  </si>
  <si>
    <t>p1.6/p2.6</t>
  </si>
  <si>
    <t>P1.6</t>
  </si>
  <si>
    <t>The formula in C22 was bringing in PSEDB instead of PSEDA. Rectified this.</t>
  </si>
  <si>
    <t xml:space="preserve">P1.1, P2.1 </t>
  </si>
  <si>
    <t>The formula in C24 was bringing in PSEDB instead of PSEDA. Rectified this.</t>
  </si>
  <si>
    <r>
      <t>Changed formula in I123 to '=IF($C$20 = "Yes",SUM(I116:I122),SUM(I115,I117:I122))', from '=IF($C$20="YES",SUM(I116:I122),SUM(I115,</t>
    </r>
    <r>
      <rPr>
        <sz val="11"/>
        <color rgb="FFFF0000"/>
        <rFont val="Calibri"/>
        <family val="2"/>
        <scheme val="minor"/>
      </rPr>
      <t>I122:I177</t>
    </r>
    <r>
      <rPr>
        <sz val="11"/>
        <rFont val="Calibri"/>
        <family val="2"/>
        <scheme val="minor"/>
      </rPr>
      <t xml:space="preserve">))' 
</t>
    </r>
  </si>
  <si>
    <t>Renamed cells in C22 and C23 as “rpa1” and “irp1” respectively in P1.6, and “rpa2” and “irp2” in P2.6 to follow the convention in the rest of the template.</t>
  </si>
  <si>
    <t>Formula in K16 was bringing in f_2 rather than f_1. Rectified this.</t>
  </si>
  <si>
    <t>P1.6,P2.6</t>
  </si>
  <si>
    <t>Controls - do not change</t>
  </si>
  <si>
    <t>Changed the corporate tax rate from 17% to 19% in D13 to make it consistent with the 2020 Budget.</t>
  </si>
  <si>
    <t>Formula in J8:AM8 was bringing in FLATBAPA from P2.6 rather than cell C29 of table P1.6. Rectified this, and created two new names - FLATBAPA_1 and FLATBAPA_2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</si>
</sst>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_(&quot;£&quot;* #,##0.00_);_(&quot;£&quot;* \(#,##0.00\);_(&quot;£&quot;* &quot;-&quot;??_);_(@_)"/>
    <numFmt numFmtId="165" formatCode="_(* #,##0.00_);_(* \(#,##0.00\);_(* &quot;-&quot;??_);_(@_)"/>
    <numFmt numFmtId="166" formatCode="#,##0.0_);[Red]\(#,##0.0\);\-"/>
    <numFmt numFmtId="167" formatCode="0.0"/>
    <numFmt numFmtId="168" formatCode="0.0%"/>
    <numFmt numFmtId="169" formatCode="#,##0.0;[Red]\(#,##0.0\)"/>
    <numFmt numFmtId="170" formatCode="#,##0.00;[Red]\-#,##0.00;\-"/>
    <numFmt numFmtId="171" formatCode="#,##0.00;[Red]#,##0.00;\-"/>
    <numFmt numFmtId="172" formatCode="0.000000"/>
    <numFmt numFmtId="173" formatCode="[$-F800]dddd\,\ mmmm\ dd\,\ yyyy"/>
    <numFmt numFmtId="174" formatCode="0.0;[Red]\(0.0\)"/>
    <numFmt numFmtId="175" formatCode="0.000%"/>
    <numFmt numFmtId="176" formatCode="#,##0.0_);[Red]\(#,##0.0\)"/>
    <numFmt numFmtId="177" formatCode="_(* #,##0.0_);_(* \(#,##0.0\);_(* &quot;-&quot;?_);_(@_)"/>
    <numFmt numFmtId="178" formatCode="mm/yyyy"/>
    <numFmt numFmtId="179" formatCode="0.0\ &quot;&lt;=&quot;"/>
    <numFmt numFmtId="180" formatCode="0.000"/>
    <numFmt numFmtId="181" formatCode="0.0;\-0.0;0.0"/>
    <numFmt numFmtId="182" formatCode="0.0000000000000"/>
    <numFmt numFmtId="183" formatCode="0.0000"/>
    <numFmt numFmtId="184" formatCode="0.00000"/>
  </numFmts>
  <fonts count="89">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1"/>
      <color indexed="8"/>
      <name val="Calibri"/>
      <family val="2"/>
    </font>
    <font>
      <sz val="11"/>
      <name val="CG Omega"/>
    </font>
    <font>
      <sz val="10"/>
      <color indexed="8"/>
      <name val="Verdana"/>
      <family val="2"/>
    </font>
    <font>
      <sz val="10"/>
      <name val="Verdana"/>
      <family val="2"/>
    </font>
    <font>
      <sz val="11"/>
      <name val="CG Omega"/>
      <family val="2"/>
    </font>
    <font>
      <sz val="10"/>
      <name val="Arial"/>
      <family val="2"/>
    </font>
    <font>
      <b/>
      <sz val="10"/>
      <name val="Verdana"/>
      <family val="2"/>
    </font>
    <font>
      <b/>
      <sz val="11"/>
      <name val="CG Omega"/>
    </font>
    <font>
      <b/>
      <sz val="10"/>
      <color indexed="8"/>
      <name val="Verdana"/>
      <family val="2"/>
    </font>
    <font>
      <b/>
      <sz val="12"/>
      <color indexed="8"/>
      <name val="Verdana"/>
      <family val="2"/>
    </font>
    <font>
      <sz val="12"/>
      <color indexed="8"/>
      <name val="Verdana"/>
      <family val="2"/>
    </font>
    <font>
      <b/>
      <sz val="11"/>
      <color indexed="8"/>
      <name val="Verdana"/>
      <family val="2"/>
    </font>
    <font>
      <b/>
      <sz val="20"/>
      <name val="CG Omega"/>
    </font>
    <font>
      <sz val="11"/>
      <color indexed="8"/>
      <name val="Verdana"/>
      <family val="2"/>
    </font>
    <font>
      <sz val="9"/>
      <color indexed="8"/>
      <name val="Verdana"/>
      <family val="2"/>
    </font>
    <font>
      <sz val="8"/>
      <name val="Calibri"/>
      <family val="2"/>
    </font>
    <font>
      <sz val="11"/>
      <color indexed="8"/>
      <name val="Calibri"/>
      <family val="2"/>
    </font>
    <font>
      <sz val="10"/>
      <color indexed="56"/>
      <name val="Verdana"/>
      <family val="2"/>
    </font>
    <font>
      <b/>
      <sz val="10"/>
      <color indexed="8"/>
      <name val="Verdana"/>
      <family val="2"/>
    </font>
    <font>
      <b/>
      <sz val="12"/>
      <color indexed="8"/>
      <name val="Verdana"/>
      <family val="2"/>
    </font>
    <font>
      <sz val="12"/>
      <color indexed="8"/>
      <name val="Verdana"/>
      <family val="2"/>
    </font>
    <font>
      <b/>
      <sz val="11"/>
      <color indexed="8"/>
      <name val="Verdana"/>
      <family val="2"/>
    </font>
    <font>
      <sz val="10"/>
      <color indexed="12"/>
      <name val="Verdana"/>
      <family val="2"/>
    </font>
    <font>
      <sz val="11"/>
      <color indexed="8"/>
      <name val="Verdana"/>
      <family val="2"/>
    </font>
    <font>
      <b/>
      <sz val="10"/>
      <name val="CG Omega"/>
      <family val="2"/>
    </font>
    <font>
      <sz val="12"/>
      <color indexed="8"/>
      <name val="Arial"/>
      <family val="2"/>
    </font>
    <font>
      <sz val="11"/>
      <color indexed="8"/>
      <name val="Calibri"/>
      <family val="2"/>
    </font>
    <font>
      <b/>
      <sz val="16"/>
      <name val="Verdana"/>
      <family val="2"/>
    </font>
    <font>
      <b/>
      <sz val="16"/>
      <color indexed="8"/>
      <name val="Verdana"/>
      <family val="2"/>
    </font>
    <font>
      <b/>
      <sz val="11"/>
      <color indexed="10"/>
      <name val="CG Omega"/>
    </font>
    <font>
      <b/>
      <sz val="14"/>
      <color indexed="8"/>
      <name val="Verdana"/>
      <family val="2"/>
    </font>
    <font>
      <b/>
      <sz val="11"/>
      <name val="Verdana"/>
      <family val="2"/>
    </font>
    <font>
      <sz val="11"/>
      <color indexed="8"/>
      <name val="Calibri"/>
      <family val="2"/>
    </font>
    <font>
      <b/>
      <sz val="16"/>
      <name val="CG Omega"/>
      <family val="2"/>
    </font>
    <font>
      <sz val="16"/>
      <color indexed="8"/>
      <name val="Verdana"/>
      <family val="2"/>
    </font>
    <font>
      <b/>
      <sz val="11"/>
      <color indexed="8"/>
      <name val="Calibri"/>
      <family val="2"/>
    </font>
    <font>
      <sz val="11"/>
      <name val="Verdana"/>
      <family val="2"/>
    </font>
    <font>
      <sz val="10"/>
      <color indexed="21"/>
      <name val="Verdana"/>
      <family val="2"/>
    </font>
    <font>
      <b/>
      <sz val="14"/>
      <name val="Verdana"/>
      <family val="2"/>
    </font>
    <font>
      <sz val="10"/>
      <color indexed="30"/>
      <name val="Verdana"/>
      <family val="2"/>
    </font>
    <font>
      <u/>
      <sz val="11"/>
      <color theme="10"/>
      <name val="Calibri"/>
      <family val="2"/>
    </font>
    <font>
      <sz val="10"/>
      <color theme="1"/>
      <name val="Verdana"/>
      <family val="2"/>
    </font>
    <font>
      <sz val="11"/>
      <color theme="1"/>
      <name val="Calibri"/>
      <family val="2"/>
      <scheme val="minor"/>
    </font>
    <font>
      <sz val="11"/>
      <color theme="1"/>
      <name val="Calibri"/>
      <family val="2"/>
    </font>
    <font>
      <sz val="16"/>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sz val="11"/>
      <color theme="1"/>
      <name val="Verdana"/>
      <family val="2"/>
    </font>
    <font>
      <u val="singleAccounting"/>
      <sz val="11"/>
      <color theme="1"/>
      <name val="Calibri"/>
      <family val="2"/>
      <scheme val="minor"/>
    </font>
    <font>
      <b/>
      <sz val="9"/>
      <color indexed="81"/>
      <name val="Tahoma"/>
      <family val="2"/>
    </font>
    <font>
      <sz val="9"/>
      <color indexed="81"/>
      <name val="Tahoma"/>
      <family val="2"/>
    </font>
    <font>
      <sz val="11"/>
      <color rgb="FF7030A0"/>
      <name val="Calibri"/>
      <family val="2"/>
      <scheme val="minor"/>
    </font>
    <font>
      <sz val="11"/>
      <color theme="0" tint="-0.499984740745262"/>
      <name val="Calibri"/>
      <family val="2"/>
      <scheme val="minor"/>
    </font>
    <font>
      <sz val="9"/>
      <color theme="0" tint="-0.499984740745262"/>
      <name val="Calibri"/>
      <family val="2"/>
      <scheme val="minor"/>
    </font>
    <font>
      <sz val="9"/>
      <color theme="1"/>
      <name val="Calibri"/>
      <family val="2"/>
      <scheme val="minor"/>
    </font>
    <font>
      <u/>
      <sz val="9"/>
      <color theme="1"/>
      <name val="Calibri"/>
      <family val="2"/>
      <scheme val="minor"/>
    </font>
    <font>
      <sz val="11"/>
      <color theme="1"/>
      <name val="Arial"/>
      <family val="2"/>
    </font>
    <font>
      <i/>
      <sz val="11"/>
      <color theme="1"/>
      <name val="Calibri"/>
      <family val="2"/>
      <scheme val="minor"/>
    </font>
    <font>
      <sz val="11"/>
      <name val="Calibri"/>
      <family val="2"/>
      <scheme val="minor"/>
    </font>
    <font>
      <sz val="11"/>
      <color rgb="FFFF0000"/>
      <name val="Calibri"/>
      <family val="2"/>
      <scheme val="minor"/>
    </font>
  </fonts>
  <fills count="24">
    <fill>
      <patternFill patternType="none"/>
    </fill>
    <fill>
      <patternFill patternType="gray125"/>
    </fill>
    <fill>
      <patternFill patternType="solid">
        <fgColor indexed="51"/>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53"/>
        <bgColor indexed="64"/>
      </patternFill>
    </fill>
    <fill>
      <patternFill patternType="solid">
        <fgColor indexed="44"/>
        <bgColor indexed="64"/>
      </patternFill>
    </fill>
    <fill>
      <patternFill patternType="solid">
        <fgColor indexed="47"/>
        <bgColor indexed="64"/>
      </patternFill>
    </fill>
    <fill>
      <patternFill patternType="darkUp">
        <fgColor indexed="22"/>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theme="6"/>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41">
    <xf numFmtId="0" fontId="0" fillId="0" borderId="0"/>
    <xf numFmtId="0" fontId="33" fillId="0" borderId="0" applyFont="0" applyFill="0" applyBorder="0" applyAlignment="0" applyProtection="0"/>
    <xf numFmtId="0" fontId="29" fillId="0" borderId="0"/>
    <xf numFmtId="0" fontId="29" fillId="0" borderId="0"/>
    <xf numFmtId="0" fontId="32" fillId="0" borderId="0"/>
    <xf numFmtId="0" fontId="32" fillId="0" borderId="0"/>
    <xf numFmtId="0" fontId="32" fillId="0" borderId="0"/>
    <xf numFmtId="0" fontId="32" fillId="0" borderId="0"/>
    <xf numFmtId="0" fontId="29" fillId="0" borderId="0"/>
    <xf numFmtId="0" fontId="32" fillId="0" borderId="0"/>
    <xf numFmtId="165" fontId="32" fillId="0" borderId="0" applyFont="0" applyFill="0" applyBorder="0" applyAlignment="0" applyProtection="0"/>
    <xf numFmtId="164" fontId="44" fillId="0" borderId="0" applyFont="0" applyFill="0" applyBorder="0" applyAlignment="0" applyProtection="0"/>
    <xf numFmtId="0" fontId="68" fillId="0" borderId="0" applyNumberFormat="0" applyFill="0" applyBorder="0" applyAlignment="0" applyProtection="0">
      <alignment vertical="top"/>
      <protection locked="0"/>
    </xf>
    <xf numFmtId="0" fontId="69" fillId="0" borderId="0"/>
    <xf numFmtId="0" fontId="69" fillId="0" borderId="0"/>
    <xf numFmtId="0" fontId="32" fillId="0" borderId="0"/>
    <xf numFmtId="0" fontId="69" fillId="0" borderId="0"/>
    <xf numFmtId="0" fontId="69" fillId="0" borderId="0"/>
    <xf numFmtId="0" fontId="69" fillId="0" borderId="0"/>
    <xf numFmtId="0" fontId="33" fillId="0" borderId="0"/>
    <xf numFmtId="0" fontId="69" fillId="0" borderId="0"/>
    <xf numFmtId="0" fontId="29" fillId="0" borderId="0"/>
    <xf numFmtId="0" fontId="29" fillId="0" borderId="0"/>
    <xf numFmtId="0" fontId="69" fillId="0" borderId="0"/>
    <xf numFmtId="0" fontId="69" fillId="0" borderId="0"/>
    <xf numFmtId="0" fontId="29" fillId="0" borderId="0"/>
    <xf numFmtId="0" fontId="33" fillId="0" borderId="0"/>
    <xf numFmtId="0" fontId="32" fillId="0" borderId="0"/>
    <xf numFmtId="0" fontId="32" fillId="0" borderId="0"/>
    <xf numFmtId="9" fontId="28"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170" fontId="69" fillId="14" borderId="1">
      <alignment vertical="center"/>
    </xf>
    <xf numFmtId="172" fontId="69" fillId="14" borderId="1">
      <alignment vertical="center"/>
    </xf>
    <xf numFmtId="0" fontId="69" fillId="14" borderId="1">
      <alignment vertical="center"/>
    </xf>
    <xf numFmtId="171" fontId="69" fillId="0" borderId="0">
      <protection locked="0"/>
    </xf>
    <xf numFmtId="170" fontId="69" fillId="15" borderId="1">
      <alignment vertical="center"/>
      <protection locked="0"/>
    </xf>
    <xf numFmtId="170" fontId="69" fillId="16" borderId="1">
      <alignment vertical="center"/>
    </xf>
    <xf numFmtId="170" fontId="69" fillId="17" borderId="1">
      <alignment horizontal="right" vertical="center"/>
      <protection locked="0"/>
    </xf>
    <xf numFmtId="9" fontId="70" fillId="0" borderId="0" applyFont="0" applyFill="0" applyBorder="0" applyAlignment="0" applyProtection="0"/>
    <xf numFmtId="0" fontId="10" fillId="0" borderId="0"/>
  </cellStyleXfs>
  <cellXfs count="482">
    <xf numFmtId="0" fontId="0" fillId="0" borderId="0" xfId="0"/>
    <xf numFmtId="0" fontId="29" fillId="0" borderId="0" xfId="21" applyBorder="1"/>
    <xf numFmtId="0" fontId="38" fillId="6" borderId="0" xfId="16" applyFont="1" applyFill="1" applyBorder="1" applyAlignment="1" applyProtection="1"/>
    <xf numFmtId="0" fontId="38" fillId="6" borderId="0" xfId="16" applyFont="1" applyFill="1" applyBorder="1" applyAlignment="1" applyProtection="1">
      <alignment horizontal="center"/>
    </xf>
    <xf numFmtId="0" fontId="0" fillId="0" borderId="0" xfId="0" applyBorder="1"/>
    <xf numFmtId="0" fontId="39" fillId="6" borderId="0" xfId="27" applyFont="1" applyFill="1" applyBorder="1" applyProtection="1"/>
    <xf numFmtId="168" fontId="31" fillId="7" borderId="1" xfId="10" applyNumberFormat="1" applyFont="1" applyFill="1" applyBorder="1"/>
    <xf numFmtId="0" fontId="0" fillId="0" borderId="0" xfId="0" applyBorder="1" applyAlignment="1">
      <alignment horizontal="left" vertical="top"/>
    </xf>
    <xf numFmtId="169" fontId="31" fillId="8" borderId="1" xfId="22" applyNumberFormat="1" applyFont="1" applyFill="1" applyBorder="1"/>
    <xf numFmtId="169" fontId="31" fillId="7" borderId="1" xfId="10" applyNumberFormat="1" applyFont="1" applyFill="1" applyBorder="1"/>
    <xf numFmtId="0" fontId="37" fillId="6" borderId="0" xfId="19" applyFont="1" applyFill="1" applyBorder="1" applyAlignment="1" applyProtection="1"/>
    <xf numFmtId="0" fontId="36" fillId="0" borderId="1" xfId="0" applyFont="1" applyBorder="1" applyAlignment="1">
      <alignment vertical="top" wrapText="1"/>
    </xf>
    <xf numFmtId="168" fontId="31" fillId="7" borderId="1" xfId="10" applyNumberFormat="1" applyFont="1" applyFill="1" applyBorder="1" applyAlignment="1">
      <alignment horizontal="center" vertical="center"/>
    </xf>
    <xf numFmtId="168" fontId="31" fillId="8" borderId="1" xfId="22" applyNumberFormat="1" applyFont="1" applyFill="1" applyBorder="1" applyAlignment="1">
      <alignment horizontal="center" vertical="center"/>
    </xf>
    <xf numFmtId="0" fontId="36" fillId="6" borderId="1" xfId="16" applyFont="1" applyFill="1" applyBorder="1" applyAlignment="1">
      <alignment wrapText="1"/>
    </xf>
    <xf numFmtId="169" fontId="31" fillId="8" borderId="1" xfId="22" applyNumberFormat="1" applyFont="1" applyFill="1" applyBorder="1" applyAlignment="1">
      <alignment horizontal="center"/>
    </xf>
    <xf numFmtId="167" fontId="31" fillId="7" borderId="1" xfId="10" applyNumberFormat="1" applyFont="1" applyFill="1" applyBorder="1" applyAlignment="1">
      <alignment horizontal="center" vertical="center"/>
    </xf>
    <xf numFmtId="0" fontId="39" fillId="6" borderId="0" xfId="27" applyFont="1" applyFill="1" applyBorder="1" applyAlignment="1" applyProtection="1">
      <alignment wrapText="1"/>
    </xf>
    <xf numFmtId="169" fontId="31" fillId="7" borderId="2" xfId="10" applyNumberFormat="1" applyFont="1" applyFill="1" applyBorder="1"/>
    <xf numFmtId="0" fontId="27" fillId="6" borderId="1" xfId="16" applyFont="1" applyFill="1" applyBorder="1"/>
    <xf numFmtId="0" fontId="27" fillId="6" borderId="0" xfId="16" applyFont="1" applyFill="1" applyBorder="1"/>
    <xf numFmtId="175" fontId="31" fillId="7" borderId="1" xfId="29" applyNumberFormat="1" applyFont="1" applyFill="1" applyBorder="1" applyAlignment="1">
      <alignment horizontal="center" vertical="center"/>
    </xf>
    <xf numFmtId="0" fontId="41" fillId="0" borderId="0" xfId="0" applyFont="1" applyBorder="1"/>
    <xf numFmtId="0" fontId="27" fillId="6" borderId="0" xfId="6" applyFont="1" applyFill="1" applyBorder="1" applyProtection="1"/>
    <xf numFmtId="0" fontId="41" fillId="0" borderId="0" xfId="0" applyFont="1" applyAlignment="1">
      <alignment wrapText="1"/>
    </xf>
    <xf numFmtId="0" fontId="27" fillId="0" borderId="1" xfId="0" applyFont="1" applyBorder="1"/>
    <xf numFmtId="0" fontId="41" fillId="0" borderId="1" xfId="0" applyFont="1" applyBorder="1" applyAlignment="1">
      <alignment horizontal="left" vertical="top" wrapText="1" indent="1"/>
    </xf>
    <xf numFmtId="0" fontId="27" fillId="6"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168" fontId="27" fillId="6" borderId="3" xfId="0" applyNumberFormat="1" applyFont="1" applyFill="1" applyBorder="1" applyAlignment="1">
      <alignment horizontal="center" vertical="center" wrapText="1"/>
    </xf>
    <xf numFmtId="0" fontId="27" fillId="0" borderId="1" xfId="0" applyFont="1" applyBorder="1" applyAlignment="1">
      <alignment horizontal="left" vertical="top" wrapText="1" indent="1"/>
    </xf>
    <xf numFmtId="0" fontId="27" fillId="0" borderId="0" xfId="0" applyFont="1"/>
    <xf numFmtId="0" fontId="27" fillId="0" borderId="1" xfId="0" applyFont="1" applyBorder="1" applyAlignment="1">
      <alignment horizontal="center"/>
    </xf>
    <xf numFmtId="167" fontId="27" fillId="0" borderId="1" xfId="0" applyNumberFormat="1" applyFont="1" applyBorder="1" applyAlignment="1">
      <alignment horizontal="center"/>
    </xf>
    <xf numFmtId="174" fontId="27" fillId="9" borderId="1" xfId="0" applyNumberFormat="1" applyFont="1" applyFill="1" applyBorder="1" applyAlignment="1">
      <alignment horizontal="center"/>
    </xf>
    <xf numFmtId="0" fontId="27" fillId="0" borderId="1" xfId="0" applyFont="1" applyBorder="1" applyAlignment="1">
      <alignment vertical="top" wrapText="1"/>
    </xf>
    <xf numFmtId="168" fontId="27" fillId="9" borderId="3" xfId="30" applyNumberFormat="1" applyFont="1" applyFill="1" applyBorder="1" applyAlignment="1">
      <alignment horizontal="center" vertical="center"/>
    </xf>
    <xf numFmtId="0" fontId="26" fillId="0" borderId="1" xfId="0" applyFont="1" applyBorder="1" applyAlignment="1">
      <alignment vertical="top" wrapText="1"/>
    </xf>
    <xf numFmtId="0" fontId="39" fillId="6" borderId="0" xfId="27" applyFont="1" applyFill="1" applyBorder="1" applyAlignment="1" applyProtection="1">
      <alignment horizontal="left" vertical="center"/>
    </xf>
    <xf numFmtId="0" fontId="0" fillId="0" borderId="1" xfId="0" applyBorder="1"/>
    <xf numFmtId="167" fontId="26" fillId="9" borderId="1" xfId="0" applyNumberFormat="1" applyFont="1" applyFill="1" applyBorder="1" applyAlignment="1">
      <alignment horizontal="center" vertical="center"/>
    </xf>
    <xf numFmtId="0" fontId="27" fillId="0" borderId="0" xfId="0" applyFont="1" applyBorder="1" applyAlignment="1">
      <alignment horizontal="left" vertical="center"/>
    </xf>
    <xf numFmtId="0" fontId="27" fillId="0" borderId="0" xfId="0" applyFont="1" applyBorder="1"/>
    <xf numFmtId="0" fontId="42" fillId="0" borderId="0" xfId="0" applyFont="1" applyBorder="1" applyAlignment="1">
      <alignment vertical="top"/>
    </xf>
    <xf numFmtId="0" fontId="0" fillId="0" borderId="1" xfId="0" applyBorder="1" applyAlignment="1">
      <alignment vertical="center" wrapText="1"/>
    </xf>
    <xf numFmtId="169" fontId="31" fillId="8" borderId="1" xfId="22" applyNumberFormat="1" applyFont="1" applyFill="1" applyBorder="1" applyAlignment="1">
      <alignment vertical="center"/>
    </xf>
    <xf numFmtId="0" fontId="0" fillId="0" borderId="0" xfId="0" applyAlignment="1">
      <alignment wrapText="1"/>
    </xf>
    <xf numFmtId="0" fontId="25" fillId="0" borderId="1" xfId="0" applyFont="1" applyBorder="1" applyAlignment="1">
      <alignment horizontal="left" vertical="top" wrapText="1"/>
    </xf>
    <xf numFmtId="0" fontId="25" fillId="0" borderId="0" xfId="0" applyFont="1" applyBorder="1"/>
    <xf numFmtId="0" fontId="36" fillId="0" borderId="0" xfId="0" applyFont="1" applyFill="1" applyBorder="1"/>
    <xf numFmtId="0" fontId="36" fillId="0" borderId="0" xfId="0" applyFont="1" applyBorder="1"/>
    <xf numFmtId="1" fontId="31" fillId="7" borderId="1" xfId="11" applyNumberFormat="1" applyFont="1" applyFill="1" applyBorder="1" applyAlignment="1">
      <alignment horizontal="center" vertical="center"/>
    </xf>
    <xf numFmtId="1" fontId="31" fillId="6" borderId="1" xfId="11" applyNumberFormat="1" applyFont="1" applyFill="1" applyBorder="1" applyAlignment="1">
      <alignment horizontal="center" vertical="center"/>
    </xf>
    <xf numFmtId="0" fontId="25" fillId="0" borderId="0" xfId="0" applyFont="1"/>
    <xf numFmtId="0" fontId="24" fillId="0" borderId="0" xfId="0" applyFont="1" applyBorder="1" applyAlignment="1">
      <alignment horizontal="center"/>
    </xf>
    <xf numFmtId="0" fontId="24" fillId="0" borderId="1" xfId="0" applyFont="1" applyBorder="1" applyAlignment="1">
      <alignment horizontal="center"/>
    </xf>
    <xf numFmtId="0" fontId="24" fillId="0" borderId="4" xfId="0" applyFont="1" applyBorder="1" applyAlignment="1">
      <alignment horizontal="center"/>
    </xf>
    <xf numFmtId="0" fontId="24" fillId="0" borderId="0" xfId="0" applyFont="1" applyBorder="1" applyAlignment="1">
      <alignment horizontal="right"/>
    </xf>
    <xf numFmtId="0" fontId="45" fillId="7" borderId="5" xfId="0" applyFont="1" applyFill="1" applyBorder="1" applyAlignment="1">
      <alignment horizontal="right"/>
    </xf>
    <xf numFmtId="168" fontId="24" fillId="0" borderId="4" xfId="29" applyNumberFormat="1" applyFont="1" applyBorder="1" applyAlignment="1">
      <alignment horizontal="right"/>
    </xf>
    <xf numFmtId="168" fontId="31" fillId="6" borderId="4" xfId="29" applyNumberFormat="1" applyFont="1" applyFill="1" applyBorder="1" applyAlignment="1">
      <alignment horizontal="right"/>
    </xf>
    <xf numFmtId="168" fontId="24" fillId="0" borderId="2" xfId="29" applyNumberFormat="1" applyFont="1" applyBorder="1" applyAlignment="1">
      <alignment horizontal="right"/>
    </xf>
    <xf numFmtId="168" fontId="45" fillId="7" borderId="1" xfId="29" applyNumberFormat="1" applyFont="1" applyFill="1" applyBorder="1" applyAlignment="1">
      <alignment horizontal="right"/>
    </xf>
    <xf numFmtId="168" fontId="31" fillId="6" borderId="2" xfId="29" applyNumberFormat="1" applyFont="1" applyFill="1" applyBorder="1" applyAlignment="1">
      <alignment horizontal="right"/>
    </xf>
    <xf numFmtId="167" fontId="24" fillId="0" borderId="1" xfId="0" applyNumberFormat="1" applyFont="1" applyBorder="1" applyAlignment="1">
      <alignment horizontal="right"/>
    </xf>
    <xf numFmtId="168" fontId="24" fillId="0" borderId="1" xfId="0" applyNumberFormat="1" applyFont="1" applyBorder="1" applyAlignment="1">
      <alignment horizontal="right"/>
    </xf>
    <xf numFmtId="176" fontId="25" fillId="8" borderId="1" xfId="0" applyNumberFormat="1" applyFont="1" applyFill="1" applyBorder="1" applyAlignment="1">
      <alignment horizontal="right" vertical="center"/>
    </xf>
    <xf numFmtId="0" fontId="40" fillId="10" borderId="0" xfId="21" applyFont="1" applyFill="1" applyBorder="1"/>
    <xf numFmtId="0" fontId="35" fillId="10" borderId="0" xfId="21" applyFont="1" applyFill="1" applyBorder="1"/>
    <xf numFmtId="0" fontId="47" fillId="6" borderId="0" xfId="19" applyFont="1" applyFill="1" applyBorder="1" applyAlignment="1" applyProtection="1"/>
    <xf numFmtId="0" fontId="48" fillId="6" borderId="0" xfId="17" applyFont="1" applyFill="1" applyBorder="1" applyAlignment="1" applyProtection="1">
      <alignment horizontal="center"/>
    </xf>
    <xf numFmtId="0" fontId="48" fillId="6" borderId="0" xfId="17" applyFont="1" applyFill="1" applyBorder="1" applyAlignment="1" applyProtection="1"/>
    <xf numFmtId="170" fontId="23" fillId="6" borderId="0" xfId="6" applyNumberFormat="1" applyFont="1" applyFill="1" applyBorder="1" applyProtection="1"/>
    <xf numFmtId="0" fontId="49" fillId="6" borderId="0" xfId="27" applyFont="1" applyFill="1" applyBorder="1" applyProtection="1"/>
    <xf numFmtId="0" fontId="23" fillId="6" borderId="0" xfId="6" applyFont="1" applyFill="1" applyBorder="1" applyProtection="1"/>
    <xf numFmtId="0" fontId="23" fillId="6" borderId="1" xfId="17" applyFont="1" applyFill="1" applyBorder="1"/>
    <xf numFmtId="173" fontId="49" fillId="6" borderId="0" xfId="27" applyNumberFormat="1" applyFont="1" applyFill="1" applyBorder="1" applyProtection="1"/>
    <xf numFmtId="0" fontId="47" fillId="6" borderId="0" xfId="17" applyFont="1" applyFill="1" applyBorder="1" applyAlignment="1"/>
    <xf numFmtId="0" fontId="23" fillId="6" borderId="0" xfId="17" applyFont="1" applyFill="1" applyBorder="1" applyAlignment="1">
      <alignment horizontal="center"/>
    </xf>
    <xf numFmtId="0" fontId="46" fillId="6" borderId="0" xfId="17" applyFont="1" applyFill="1" applyBorder="1"/>
    <xf numFmtId="169" fontId="50" fillId="7" borderId="1" xfId="10" applyNumberFormat="1" applyFont="1" applyFill="1" applyBorder="1"/>
    <xf numFmtId="0" fontId="23" fillId="6" borderId="0" xfId="17" applyFont="1" applyFill="1"/>
    <xf numFmtId="170" fontId="69" fillId="14" borderId="1" xfId="32" applyNumberFormat="1" applyAlignment="1" applyProtection="1">
      <alignment horizontal="center" vertical="center"/>
    </xf>
    <xf numFmtId="170" fontId="23" fillId="6" borderId="1" xfId="6" applyNumberFormat="1" applyFont="1" applyFill="1" applyBorder="1" applyAlignment="1" applyProtection="1">
      <alignment horizontal="center"/>
    </xf>
    <xf numFmtId="0" fontId="51" fillId="6" borderId="1" xfId="27" applyFont="1" applyFill="1" applyBorder="1" applyAlignment="1" applyProtection="1">
      <alignment horizontal="center" vertical="center"/>
    </xf>
    <xf numFmtId="0" fontId="25" fillId="0" borderId="1" xfId="0" applyFont="1" applyBorder="1" applyAlignment="1">
      <alignment vertical="center" wrapText="1"/>
    </xf>
    <xf numFmtId="0" fontId="25" fillId="0" borderId="0" xfId="0" applyFont="1" applyBorder="1" applyAlignment="1">
      <alignment vertical="top"/>
    </xf>
    <xf numFmtId="0" fontId="49" fillId="6" borderId="0" xfId="27" applyFont="1" applyFill="1" applyBorder="1" applyAlignment="1" applyProtection="1">
      <alignment wrapText="1"/>
    </xf>
    <xf numFmtId="0" fontId="23" fillId="6" borderId="0" xfId="17" applyFont="1" applyFill="1" applyBorder="1"/>
    <xf numFmtId="0" fontId="23" fillId="6" borderId="1" xfId="17" quotePrefix="1" applyFont="1" applyFill="1" applyBorder="1"/>
    <xf numFmtId="0" fontId="23" fillId="6" borderId="1" xfId="17" applyFont="1" applyFill="1" applyBorder="1" applyAlignment="1">
      <alignment wrapText="1"/>
    </xf>
    <xf numFmtId="170" fontId="23" fillId="6" borderId="1" xfId="6" applyNumberFormat="1" applyFont="1" applyFill="1" applyBorder="1" applyAlignment="1" applyProtection="1">
      <alignment horizontal="center" vertical="center" wrapText="1"/>
    </xf>
    <xf numFmtId="0" fontId="23" fillId="6" borderId="1" xfId="17" applyFont="1" applyFill="1" applyBorder="1" applyAlignment="1">
      <alignment horizontal="center"/>
    </xf>
    <xf numFmtId="0" fontId="49" fillId="6" borderId="0" xfId="27" applyFont="1" applyFill="1" applyBorder="1" applyAlignment="1" applyProtection="1">
      <alignment horizontal="left" vertical="top"/>
    </xf>
    <xf numFmtId="0" fontId="23" fillId="6" borderId="1" xfId="17" quotePrefix="1" applyFont="1" applyFill="1" applyBorder="1" applyAlignment="1">
      <alignment horizontal="left" vertical="top" wrapText="1"/>
    </xf>
    <xf numFmtId="169" fontId="31" fillId="8" borderId="2" xfId="10" applyNumberFormat="1" applyFont="1" applyFill="1" applyBorder="1"/>
    <xf numFmtId="0" fontId="23" fillId="6" borderId="1" xfId="17" quotePrefix="1" applyFont="1" applyFill="1" applyBorder="1" applyAlignment="1">
      <alignment wrapText="1"/>
    </xf>
    <xf numFmtId="0" fontId="23" fillId="6" borderId="1" xfId="17" applyFont="1" applyFill="1" applyBorder="1" applyAlignment="1">
      <alignment horizontal="center" vertical="center"/>
    </xf>
    <xf numFmtId="0" fontId="23" fillId="0" borderId="1" xfId="0" applyFont="1" applyBorder="1"/>
    <xf numFmtId="0" fontId="46" fillId="0" borderId="1" xfId="0" applyFont="1" applyBorder="1" applyAlignment="1">
      <alignment vertical="center" wrapText="1"/>
    </xf>
    <xf numFmtId="168" fontId="27" fillId="6" borderId="1" xfId="0" applyNumberFormat="1" applyFont="1" applyFill="1" applyBorder="1" applyAlignment="1">
      <alignment horizontal="centerContinuous" vertical="center" wrapText="1"/>
    </xf>
    <xf numFmtId="0" fontId="41" fillId="0" borderId="6" xfId="0" applyFont="1" applyBorder="1" applyAlignment="1">
      <alignment horizontal="centerContinuous" wrapText="1"/>
    </xf>
    <xf numFmtId="0" fontId="41" fillId="0" borderId="3" xfId="0" applyFont="1" applyBorder="1" applyAlignment="1">
      <alignment horizontal="centerContinuous" wrapText="1"/>
    </xf>
    <xf numFmtId="175" fontId="31" fillId="6" borderId="1" xfId="29" applyNumberFormat="1" applyFont="1" applyFill="1" applyBorder="1" applyAlignment="1">
      <alignment horizontal="center" vertical="center"/>
    </xf>
    <xf numFmtId="0" fontId="24" fillId="0" borderId="1" xfId="0" applyFont="1" applyBorder="1" applyAlignment="1">
      <alignment wrapText="1"/>
    </xf>
    <xf numFmtId="0" fontId="36" fillId="0" borderId="1" xfId="0" applyFont="1" applyFill="1" applyBorder="1"/>
    <xf numFmtId="0" fontId="36" fillId="0" borderId="1" xfId="0" applyFont="1" applyBorder="1"/>
    <xf numFmtId="167" fontId="45" fillId="7" borderId="1" xfId="0" applyNumberFormat="1" applyFont="1" applyFill="1" applyBorder="1" applyAlignment="1">
      <alignment horizontal="right"/>
    </xf>
    <xf numFmtId="168" fontId="25" fillId="8" borderId="1" xfId="29" applyNumberFormat="1" applyFont="1" applyFill="1" applyBorder="1" applyAlignment="1">
      <alignment horizontal="right" vertical="center"/>
    </xf>
    <xf numFmtId="168" fontId="25" fillId="0" borderId="1" xfId="29" applyNumberFormat="1" applyFont="1" applyBorder="1" applyAlignment="1">
      <alignment horizontal="right"/>
    </xf>
    <xf numFmtId="0" fontId="25" fillId="0" borderId="1" xfId="0" applyFont="1" applyBorder="1" applyAlignment="1">
      <alignment horizontal="centerContinuous"/>
    </xf>
    <xf numFmtId="0" fontId="25" fillId="0" borderId="1" xfId="0" applyFont="1" applyBorder="1" applyAlignment="1">
      <alignment horizontal="center"/>
    </xf>
    <xf numFmtId="173" fontId="46" fillId="0" borderId="7" xfId="0" applyNumberFormat="1" applyFont="1" applyBorder="1" applyAlignment="1">
      <alignment horizontal="centerContinuous"/>
    </xf>
    <xf numFmtId="0" fontId="46" fillId="0" borderId="6" xfId="0" applyFont="1" applyBorder="1" applyAlignment="1">
      <alignment horizontal="centerContinuous"/>
    </xf>
    <xf numFmtId="0" fontId="46" fillId="0" borderId="3" xfId="0" applyFont="1" applyBorder="1" applyAlignment="1">
      <alignment horizontal="centerContinuous"/>
    </xf>
    <xf numFmtId="0" fontId="27" fillId="0" borderId="1" xfId="0" applyFont="1" applyBorder="1" applyAlignment="1">
      <alignment vertical="center"/>
    </xf>
    <xf numFmtId="0" fontId="22" fillId="6" borderId="1" xfId="17" quotePrefix="1" applyFont="1" applyFill="1" applyBorder="1" applyAlignment="1">
      <alignment wrapText="1"/>
    </xf>
    <xf numFmtId="167" fontId="45" fillId="7" borderId="5" xfId="0" applyNumberFormat="1" applyFont="1" applyFill="1" applyBorder="1" applyAlignment="1">
      <alignment horizontal="right"/>
    </xf>
    <xf numFmtId="168" fontId="24" fillId="0" borderId="1" xfId="29" applyNumberFormat="1" applyFont="1" applyBorder="1" applyAlignment="1">
      <alignment horizontal="right"/>
    </xf>
    <xf numFmtId="168" fontId="31" fillId="6" borderId="1" xfId="29" applyNumberFormat="1" applyFont="1" applyFill="1" applyBorder="1" applyAlignment="1">
      <alignment horizontal="right"/>
    </xf>
    <xf numFmtId="0" fontId="22" fillId="0" borderId="1" xfId="0" applyFont="1" applyBorder="1"/>
    <xf numFmtId="0" fontId="36" fillId="6" borderId="0" xfId="27" applyFont="1" applyFill="1" applyBorder="1" applyProtection="1"/>
    <xf numFmtId="10" fontId="24" fillId="0" borderId="1" xfId="0" applyNumberFormat="1" applyFont="1" applyBorder="1" applyAlignment="1">
      <alignment horizontal="right"/>
    </xf>
    <xf numFmtId="0" fontId="0" fillId="0" borderId="1" xfId="0" applyBorder="1" applyAlignment="1">
      <alignment wrapText="1"/>
    </xf>
    <xf numFmtId="168" fontId="25" fillId="9" borderId="1" xfId="29" applyNumberFormat="1" applyFont="1" applyFill="1" applyBorder="1" applyAlignment="1">
      <alignment horizontal="center" vertical="center"/>
    </xf>
    <xf numFmtId="0" fontId="0" fillId="0" borderId="0" xfId="0" applyBorder="1" applyAlignment="1"/>
    <xf numFmtId="170" fontId="23" fillId="6" borderId="1" xfId="6" applyNumberFormat="1" applyFont="1" applyFill="1" applyBorder="1" applyAlignment="1" applyProtection="1"/>
    <xf numFmtId="169" fontId="31" fillId="7" borderId="1" xfId="10" applyNumberFormat="1" applyFont="1" applyFill="1" applyBorder="1" applyAlignment="1">
      <alignment horizontal="center"/>
    </xf>
    <xf numFmtId="170" fontId="22" fillId="6" borderId="1" xfId="6" applyNumberFormat="1" applyFont="1" applyFill="1" applyBorder="1" applyAlignment="1" applyProtection="1">
      <alignment horizontal="center" vertical="center" wrapText="1"/>
    </xf>
    <xf numFmtId="0" fontId="22" fillId="6" borderId="1" xfId="17" quotePrefix="1" applyFont="1" applyFill="1" applyBorder="1" applyAlignment="1">
      <alignment horizontal="left" vertical="top" wrapText="1"/>
    </xf>
    <xf numFmtId="0" fontId="22" fillId="6" borderId="1" xfId="17" applyFont="1" applyFill="1" applyBorder="1" applyAlignment="1">
      <alignment horizontal="center" vertical="center" wrapText="1"/>
    </xf>
    <xf numFmtId="0" fontId="22" fillId="0" borderId="1" xfId="0" applyFont="1" applyBorder="1" applyAlignment="1">
      <alignment vertical="top" wrapText="1"/>
    </xf>
    <xf numFmtId="0" fontId="22" fillId="0" borderId="1" xfId="0" quotePrefix="1" applyFont="1" applyBorder="1" applyAlignment="1">
      <alignment vertical="top" wrapText="1"/>
    </xf>
    <xf numFmtId="0" fontId="53" fillId="6" borderId="0" xfId="16" applyFont="1" applyFill="1" applyBorder="1" applyAlignment="1" applyProtection="1"/>
    <xf numFmtId="0" fontId="54" fillId="6" borderId="0" xfId="16" applyFont="1" applyFill="1" applyBorder="1" applyAlignment="1" applyProtection="1"/>
    <xf numFmtId="0" fontId="36" fillId="6" borderId="0" xfId="16" applyFont="1" applyFill="1" applyBorder="1" applyAlignment="1" applyProtection="1">
      <alignment horizontal="left" vertical="top"/>
    </xf>
    <xf numFmtId="0" fontId="25" fillId="6" borderId="0" xfId="16" applyFont="1" applyFill="1" applyBorder="1" applyAlignment="1" applyProtection="1">
      <alignment horizontal="left" vertical="top"/>
    </xf>
    <xf numFmtId="0" fontId="25" fillId="6" borderId="0" xfId="16" quotePrefix="1" applyFont="1" applyFill="1" applyBorder="1" applyAlignment="1" applyProtection="1">
      <alignment horizontal="left" vertical="top"/>
    </xf>
    <xf numFmtId="0" fontId="36" fillId="6" borderId="0" xfId="16" quotePrefix="1" applyFont="1" applyFill="1" applyBorder="1" applyAlignment="1" applyProtection="1">
      <alignment horizontal="left" vertical="top"/>
    </xf>
    <xf numFmtId="0" fontId="22" fillId="6" borderId="0" xfId="6" applyFont="1" applyFill="1" applyBorder="1" applyProtection="1"/>
    <xf numFmtId="0" fontId="22" fillId="6" borderId="1" xfId="17" applyFont="1" applyFill="1" applyBorder="1"/>
    <xf numFmtId="0" fontId="22" fillId="6" borderId="0" xfId="17" applyFont="1" applyFill="1" applyBorder="1" applyAlignment="1">
      <alignment horizontal="center"/>
    </xf>
    <xf numFmtId="0" fontId="22" fillId="6" borderId="4" xfId="17" applyFont="1" applyFill="1" applyBorder="1"/>
    <xf numFmtId="0" fontId="22" fillId="6" borderId="0" xfId="17" applyFont="1" applyFill="1"/>
    <xf numFmtId="170" fontId="22" fillId="14" borderId="1" xfId="32" applyNumberFormat="1" applyFont="1" applyAlignment="1" applyProtection="1">
      <alignment horizontal="center" vertical="center"/>
    </xf>
    <xf numFmtId="168" fontId="45" fillId="2" borderId="1" xfId="29" applyNumberFormat="1" applyFont="1" applyFill="1" applyBorder="1" applyAlignment="1">
      <alignment horizontal="right"/>
    </xf>
    <xf numFmtId="0" fontId="48" fillId="6" borderId="0" xfId="23" applyFont="1" applyFill="1" applyProtection="1"/>
    <xf numFmtId="0" fontId="48" fillId="6" borderId="0" xfId="23" applyFont="1" applyFill="1" applyBorder="1" applyProtection="1"/>
    <xf numFmtId="0" fontId="21" fillId="0" borderId="0" xfId="6" applyFont="1" applyProtection="1"/>
    <xf numFmtId="0" fontId="47" fillId="0" borderId="0" xfId="23" applyFont="1"/>
    <xf numFmtId="0" fontId="21" fillId="0" borderId="0" xfId="23" applyFont="1"/>
    <xf numFmtId="0" fontId="21" fillId="0" borderId="0" xfId="23" applyFont="1" applyAlignment="1">
      <alignment horizontal="center"/>
    </xf>
    <xf numFmtId="0" fontId="21" fillId="0" borderId="0" xfId="6" applyFont="1" applyAlignment="1" applyProtection="1">
      <alignment horizontal="center"/>
    </xf>
    <xf numFmtId="0" fontId="29" fillId="0" borderId="0" xfId="20" applyFont="1" applyProtection="1"/>
    <xf numFmtId="0" fontId="29" fillId="0" borderId="0" xfId="20" applyFont="1" applyProtection="1">
      <protection locked="0"/>
    </xf>
    <xf numFmtId="0" fontId="21" fillId="0" borderId="9" xfId="8" applyFont="1" applyBorder="1" applyProtection="1"/>
    <xf numFmtId="0" fontId="21" fillId="0" borderId="10" xfId="8" applyFont="1" applyBorder="1" applyProtection="1"/>
    <xf numFmtId="0" fontId="21" fillId="0" borderId="11" xfId="8" applyFont="1" applyBorder="1" applyProtection="1"/>
    <xf numFmtId="0" fontId="21" fillId="0" borderId="12" xfId="8" applyFont="1" applyBorder="1" applyProtection="1"/>
    <xf numFmtId="0" fontId="21" fillId="0" borderId="0" xfId="8" applyFont="1" applyBorder="1" applyProtection="1"/>
    <xf numFmtId="0" fontId="21" fillId="0" borderId="13" xfId="8" applyFont="1" applyBorder="1" applyProtection="1"/>
    <xf numFmtId="0" fontId="52" fillId="0" borderId="0" xfId="8" applyFont="1" applyProtection="1">
      <protection locked="0"/>
    </xf>
    <xf numFmtId="0" fontId="55" fillId="0" borderId="0" xfId="8" applyFont="1" applyAlignment="1" applyProtection="1">
      <alignment horizontal="center"/>
    </xf>
    <xf numFmtId="0" fontId="21" fillId="0" borderId="0" xfId="8" applyFont="1" applyBorder="1" applyAlignment="1" applyProtection="1">
      <alignment horizontal="right"/>
    </xf>
    <xf numFmtId="0" fontId="21" fillId="0" borderId="14" xfId="8" applyFont="1" applyBorder="1" applyProtection="1"/>
    <xf numFmtId="0" fontId="21" fillId="0" borderId="15" xfId="8" applyFont="1" applyBorder="1" applyProtection="1"/>
    <xf numFmtId="0" fontId="21" fillId="0" borderId="16" xfId="8" applyFont="1" applyBorder="1" applyProtection="1"/>
    <xf numFmtId="177" fontId="57" fillId="0" borderId="0" xfId="20" applyNumberFormat="1" applyFont="1" applyAlignment="1" applyProtection="1">
      <alignment horizontal="left"/>
    </xf>
    <xf numFmtId="0" fontId="21" fillId="0" borderId="0" xfId="20" applyFont="1" applyProtection="1"/>
    <xf numFmtId="0" fontId="69" fillId="0" borderId="0" xfId="20" applyProtection="1"/>
    <xf numFmtId="3" fontId="31" fillId="0" borderId="1" xfId="19" applyNumberFormat="1" applyFont="1" applyFill="1" applyBorder="1"/>
    <xf numFmtId="0" fontId="29" fillId="3" borderId="1" xfId="20" applyFont="1" applyFill="1" applyBorder="1" applyProtection="1"/>
    <xf numFmtId="0" fontId="29" fillId="4" borderId="1" xfId="20" applyFont="1" applyFill="1" applyBorder="1" applyProtection="1"/>
    <xf numFmtId="0" fontId="29" fillId="5" borderId="1" xfId="20" applyFont="1" applyFill="1" applyBorder="1" applyProtection="1"/>
    <xf numFmtId="0" fontId="29" fillId="11" borderId="1" xfId="20" applyFont="1" applyFill="1" applyBorder="1" applyProtection="1"/>
    <xf numFmtId="0" fontId="29" fillId="12" borderId="1" xfId="20" applyFont="1" applyFill="1" applyBorder="1" applyProtection="1"/>
    <xf numFmtId="0" fontId="29" fillId="13" borderId="1" xfId="20" applyFont="1" applyFill="1" applyBorder="1" applyProtection="1"/>
    <xf numFmtId="0" fontId="29" fillId="0" borderId="1" xfId="20" applyFont="1" applyBorder="1" applyProtection="1"/>
    <xf numFmtId="0" fontId="29" fillId="0" borderId="0" xfId="20" applyFont="1" applyFill="1" applyBorder="1" applyProtection="1"/>
    <xf numFmtId="0" fontId="29" fillId="0" borderId="0" xfId="20" quotePrefix="1" applyFont="1" applyFill="1" applyBorder="1" applyProtection="1"/>
    <xf numFmtId="0" fontId="34" fillId="0" borderId="4" xfId="20" applyFont="1" applyBorder="1" applyAlignment="1" applyProtection="1">
      <alignment horizontal="center"/>
    </xf>
    <xf numFmtId="0" fontId="34" fillId="0" borderId="17" xfId="20" applyFont="1" applyBorder="1" applyAlignment="1" applyProtection="1">
      <alignment horizontal="center"/>
    </xf>
    <xf numFmtId="0" fontId="31" fillId="0" borderId="1" xfId="20" applyFont="1" applyBorder="1" applyAlignment="1" applyProtection="1">
      <alignment horizontal="center"/>
    </xf>
    <xf numFmtId="0" fontId="21" fillId="0" borderId="0" xfId="20" applyFont="1"/>
    <xf numFmtId="0" fontId="46" fillId="0" borderId="0" xfId="20" applyFont="1"/>
    <xf numFmtId="0" fontId="46" fillId="0" borderId="1" xfId="20" applyFont="1" applyBorder="1"/>
    <xf numFmtId="0" fontId="46" fillId="0" borderId="3" xfId="20" applyFont="1" applyBorder="1"/>
    <xf numFmtId="0" fontId="21" fillId="0" borderId="1" xfId="20" applyFont="1" applyBorder="1" applyAlignment="1">
      <alignment horizontal="center"/>
    </xf>
    <xf numFmtId="0" fontId="21" fillId="7" borderId="1" xfId="20" applyFont="1" applyFill="1" applyBorder="1" applyAlignment="1" applyProtection="1">
      <alignment horizontal="center"/>
      <protection locked="0"/>
    </xf>
    <xf numFmtId="0" fontId="21" fillId="7" borderId="1" xfId="20" applyFont="1" applyFill="1" applyBorder="1" applyAlignment="1" applyProtection="1">
      <alignment horizontal="left" vertical="center"/>
      <protection locked="0"/>
    </xf>
    <xf numFmtId="0" fontId="48" fillId="6" borderId="0" xfId="19" applyFont="1" applyFill="1" applyAlignment="1" applyProtection="1"/>
    <xf numFmtId="0" fontId="47" fillId="6" borderId="0" xfId="19" applyFont="1" applyFill="1" applyAlignment="1" applyProtection="1"/>
    <xf numFmtId="0" fontId="48" fillId="6" borderId="18" xfId="19" applyFont="1" applyFill="1" applyBorder="1" applyAlignment="1" applyProtection="1"/>
    <xf numFmtId="171" fontId="21" fillId="0" borderId="0" xfId="35" applyFont="1">
      <protection locked="0"/>
    </xf>
    <xf numFmtId="170" fontId="69" fillId="15" borderId="1" xfId="36" applyNumberFormat="1">
      <alignment vertical="center"/>
      <protection locked="0"/>
    </xf>
    <xf numFmtId="0" fontId="48" fillId="6" borderId="0" xfId="25" applyFont="1" applyFill="1"/>
    <xf numFmtId="0" fontId="0" fillId="0" borderId="0" xfId="25" applyFont="1" applyAlignment="1">
      <alignment horizontal="left"/>
    </xf>
    <xf numFmtId="0" fontId="21" fillId="0" borderId="0" xfId="25" applyFont="1" applyAlignment="1">
      <alignment horizontal="center"/>
    </xf>
    <xf numFmtId="0" fontId="21" fillId="0" borderId="0" xfId="25" applyFont="1"/>
    <xf numFmtId="0" fontId="46" fillId="8" borderId="1" xfId="25" applyFont="1" applyFill="1" applyBorder="1" applyAlignment="1">
      <alignment horizontal="center" wrapText="1"/>
    </xf>
    <xf numFmtId="0" fontId="21" fillId="3" borderId="1" xfId="25" applyFont="1" applyFill="1" applyBorder="1" applyAlignment="1">
      <alignment horizontal="center"/>
    </xf>
    <xf numFmtId="0" fontId="0" fillId="3" borderId="1" xfId="25" applyFont="1" applyFill="1" applyBorder="1" applyAlignment="1">
      <alignment horizontal="left" wrapText="1"/>
    </xf>
    <xf numFmtId="0" fontId="46" fillId="0" borderId="0" xfId="9" applyFont="1" applyFill="1"/>
    <xf numFmtId="0" fontId="69" fillId="3" borderId="1" xfId="20" applyFill="1" applyBorder="1" applyAlignment="1">
      <alignment vertical="top" wrapText="1"/>
    </xf>
    <xf numFmtId="0" fontId="31" fillId="3" borderId="1" xfId="20" applyFont="1" applyFill="1" applyBorder="1" applyAlignment="1">
      <alignment vertical="top" wrapText="1"/>
    </xf>
    <xf numFmtId="0" fontId="21" fillId="3" borderId="1" xfId="20" applyFont="1" applyFill="1" applyBorder="1" applyAlignment="1">
      <alignment vertical="top" wrapText="1"/>
    </xf>
    <xf numFmtId="0" fontId="0" fillId="3" borderId="1" xfId="25" applyFont="1" applyFill="1" applyBorder="1" applyAlignment="1">
      <alignment horizontal="center"/>
    </xf>
    <xf numFmtId="0" fontId="58" fillId="0" borderId="0" xfId="0" applyFont="1" applyAlignment="1">
      <alignment horizontal="center"/>
    </xf>
    <xf numFmtId="168" fontId="31" fillId="6" borderId="1" xfId="10" applyNumberFormat="1" applyFont="1" applyFill="1" applyBorder="1" applyAlignment="1">
      <alignment horizontal="center" vertical="center"/>
    </xf>
    <xf numFmtId="168" fontId="31" fillId="6" borderId="1" xfId="10" applyNumberFormat="1" applyFont="1" applyFill="1" applyBorder="1" applyAlignment="1">
      <alignment horizontal="left" vertical="center"/>
    </xf>
    <xf numFmtId="3" fontId="31" fillId="0" borderId="0" xfId="19" applyNumberFormat="1" applyFont="1" applyFill="1" applyBorder="1"/>
    <xf numFmtId="167" fontId="31" fillId="0" borderId="5" xfId="0" applyNumberFormat="1" applyFont="1" applyFill="1" applyBorder="1" applyAlignment="1">
      <alignment horizontal="right"/>
    </xf>
    <xf numFmtId="168" fontId="31" fillId="0" borderId="2" xfId="29" applyNumberFormat="1" applyFont="1" applyBorder="1" applyAlignment="1">
      <alignment horizontal="right"/>
    </xf>
    <xf numFmtId="0" fontId="59" fillId="6" borderId="0" xfId="27" applyFont="1" applyFill="1" applyBorder="1" applyProtection="1"/>
    <xf numFmtId="167" fontId="31" fillId="0" borderId="1" xfId="0" applyNumberFormat="1" applyFont="1" applyFill="1" applyBorder="1" applyAlignment="1">
      <alignment horizontal="right"/>
    </xf>
    <xf numFmtId="0" fontId="31" fillId="0" borderId="0" xfId="0" applyFont="1" applyBorder="1"/>
    <xf numFmtId="0" fontId="31" fillId="0" borderId="0" xfId="0" applyFont="1" applyBorder="1" applyAlignment="1">
      <alignment horizontal="right"/>
    </xf>
    <xf numFmtId="0" fontId="59" fillId="6" borderId="19" xfId="27" applyFont="1" applyFill="1" applyBorder="1" applyProtection="1"/>
    <xf numFmtId="0" fontId="32" fillId="0" borderId="0" xfId="20" applyFont="1" applyProtection="1"/>
    <xf numFmtId="0" fontId="60" fillId="0" borderId="0" xfId="0" applyFont="1" applyAlignment="1">
      <alignment horizontal="center"/>
    </xf>
    <xf numFmtId="0" fontId="68" fillId="0" borderId="0" xfId="12" applyAlignment="1" applyProtection="1"/>
    <xf numFmtId="0" fontId="61" fillId="10" borderId="0" xfId="21" applyFont="1" applyFill="1" applyBorder="1" applyAlignment="1">
      <alignment horizontal="left"/>
    </xf>
    <xf numFmtId="0" fontId="56" fillId="6" borderId="0" xfId="20" applyFont="1" applyFill="1" applyBorder="1" applyAlignment="1" applyProtection="1"/>
    <xf numFmtId="0" fontId="62" fillId="6" borderId="0" xfId="20" applyFont="1" applyFill="1" applyBorder="1" applyAlignment="1" applyProtection="1"/>
    <xf numFmtId="0" fontId="62" fillId="6" borderId="18" xfId="20" applyFont="1" applyFill="1" applyBorder="1" applyAlignment="1" applyProtection="1"/>
    <xf numFmtId="0" fontId="61" fillId="10" borderId="0" xfId="21" applyFont="1" applyFill="1" applyBorder="1"/>
    <xf numFmtId="0" fontId="49" fillId="3" borderId="0" xfId="8" applyFont="1" applyFill="1" applyBorder="1" applyAlignment="1" applyProtection="1">
      <alignment horizontal="center"/>
      <protection locked="0"/>
    </xf>
    <xf numFmtId="0" fontId="46" fillId="3" borderId="0" xfId="8" applyFont="1" applyFill="1" applyBorder="1" applyAlignment="1" applyProtection="1">
      <alignment horizontal="center"/>
      <protection locked="0"/>
    </xf>
    <xf numFmtId="0" fontId="51" fillId="0" borderId="0" xfId="8" applyFont="1" applyBorder="1" applyProtection="1"/>
    <xf numFmtId="167" fontId="26" fillId="9" borderId="8" xfId="0" applyNumberFormat="1" applyFont="1" applyFill="1" applyBorder="1" applyAlignment="1">
      <alignment horizontal="center" vertical="center"/>
    </xf>
    <xf numFmtId="167" fontId="31" fillId="7" borderId="8" xfId="10" applyNumberFormat="1" applyFont="1" applyFill="1" applyBorder="1" applyAlignment="1">
      <alignment horizontal="center" vertical="center"/>
    </xf>
    <xf numFmtId="167" fontId="31" fillId="7" borderId="6" xfId="10" applyNumberFormat="1" applyFont="1" applyFill="1" applyBorder="1" applyAlignment="1">
      <alignment horizontal="center" vertical="center"/>
    </xf>
    <xf numFmtId="167" fontId="31" fillId="7" borderId="3" xfId="10" applyNumberFormat="1" applyFont="1" applyFill="1" applyBorder="1" applyAlignment="1">
      <alignment horizontal="center" vertical="center"/>
    </xf>
    <xf numFmtId="0" fontId="25" fillId="6" borderId="8" xfId="16" applyFont="1" applyFill="1" applyBorder="1" applyAlignment="1" applyProtection="1">
      <alignment horizontal="center" vertical="center"/>
    </xf>
    <xf numFmtId="0" fontId="38" fillId="6" borderId="6" xfId="16" applyFont="1" applyFill="1" applyBorder="1" applyAlignment="1" applyProtection="1">
      <alignment horizontal="center"/>
    </xf>
    <xf numFmtId="0" fontId="41" fillId="0" borderId="6" xfId="0" applyFont="1" applyBorder="1" applyAlignment="1">
      <alignment horizontal="center"/>
    </xf>
    <xf numFmtId="0" fontId="41" fillId="0" borderId="3" xfId="0" applyFont="1" applyBorder="1" applyAlignment="1">
      <alignment horizontal="center"/>
    </xf>
    <xf numFmtId="0" fontId="36" fillId="6" borderId="0" xfId="27" applyFont="1" applyFill="1" applyBorder="1" applyProtection="1"/>
    <xf numFmtId="9" fontId="31" fillId="3" borderId="1" xfId="29" applyFont="1" applyFill="1" applyBorder="1"/>
    <xf numFmtId="0" fontId="25" fillId="6" borderId="0" xfId="7" applyFont="1" applyFill="1" applyAlignment="1" applyProtection="1">
      <alignment horizontal="center"/>
    </xf>
    <xf numFmtId="0" fontId="39" fillId="0" borderId="0" xfId="28" applyFont="1" applyFill="1" applyBorder="1" applyProtection="1"/>
    <xf numFmtId="1" fontId="25" fillId="0" borderId="1" xfId="26" applyNumberFormat="1" applyFont="1" applyBorder="1" applyAlignment="1" applyProtection="1">
      <alignment horizontal="center"/>
    </xf>
    <xf numFmtId="0" fontId="36" fillId="6" borderId="0" xfId="14" applyFont="1" applyFill="1"/>
    <xf numFmtId="167" fontId="31" fillId="3" borderId="1" xfId="15" applyNumberFormat="1" applyFont="1" applyFill="1" applyBorder="1"/>
    <xf numFmtId="0" fontId="25" fillId="6" borderId="1" xfId="14" applyFont="1" applyFill="1" applyBorder="1"/>
    <xf numFmtId="0" fontId="25" fillId="6" borderId="0" xfId="14" applyFont="1" applyFill="1" applyAlignment="1">
      <alignment horizontal="center"/>
    </xf>
    <xf numFmtId="0" fontId="25" fillId="6" borderId="17" xfId="14" applyFont="1" applyFill="1" applyBorder="1" applyAlignment="1" applyProtection="1"/>
    <xf numFmtId="0" fontId="25" fillId="6" borderId="2" xfId="14" applyFont="1" applyFill="1" applyBorder="1"/>
    <xf numFmtId="169" fontId="31" fillId="8" borderId="1" xfId="15" applyNumberFormat="1" applyFont="1" applyFill="1" applyBorder="1"/>
    <xf numFmtId="0" fontId="36" fillId="6" borderId="18" xfId="14" applyFont="1" applyFill="1" applyBorder="1"/>
    <xf numFmtId="0" fontId="25" fillId="8" borderId="1" xfId="14" applyFont="1" applyFill="1" applyBorder="1"/>
    <xf numFmtId="0" fontId="36" fillId="6" borderId="0" xfId="28" applyFont="1" applyFill="1" applyBorder="1" applyProtection="1"/>
    <xf numFmtId="166" fontId="25" fillId="6" borderId="1" xfId="18" applyNumberFormat="1" applyFont="1" applyFill="1" applyBorder="1" applyAlignment="1" applyProtection="1">
      <alignment wrapText="1"/>
    </xf>
    <xf numFmtId="166" fontId="25" fillId="0" borderId="1" xfId="18" applyNumberFormat="1" applyFont="1" applyFill="1" applyBorder="1" applyAlignment="1" applyProtection="1">
      <alignment wrapText="1"/>
    </xf>
    <xf numFmtId="0" fontId="25" fillId="0" borderId="1" xfId="18" applyFont="1" applyBorder="1" applyAlignment="1" applyProtection="1"/>
    <xf numFmtId="0" fontId="36" fillId="0" borderId="1" xfId="28" applyFont="1" applyBorder="1" applyProtection="1"/>
    <xf numFmtId="0" fontId="25" fillId="0" borderId="1" xfId="28" applyFont="1" applyBorder="1" applyProtection="1"/>
    <xf numFmtId="178" fontId="31" fillId="3" borderId="1" xfId="15" applyNumberFormat="1" applyFont="1" applyFill="1" applyBorder="1"/>
    <xf numFmtId="0" fontId="39" fillId="6" borderId="0" xfId="28" applyFont="1" applyFill="1" applyBorder="1" applyProtection="1"/>
    <xf numFmtId="0" fontId="25" fillId="6" borderId="1" xfId="18" applyFont="1" applyFill="1" applyBorder="1" applyAlignment="1" applyProtection="1"/>
    <xf numFmtId="0" fontId="48" fillId="6" borderId="0" xfId="19" applyFont="1" applyFill="1" applyBorder="1" applyAlignment="1" applyProtection="1"/>
    <xf numFmtId="0" fontId="61" fillId="6" borderId="0" xfId="21" applyFont="1" applyFill="1" applyBorder="1" applyAlignment="1">
      <alignment horizontal="left"/>
    </xf>
    <xf numFmtId="0" fontId="21" fillId="6" borderId="0" xfId="20" applyFont="1" applyFill="1"/>
    <xf numFmtId="0" fontId="21" fillId="0" borderId="8" xfId="20" applyFont="1" applyBorder="1" applyAlignment="1">
      <alignment horizontal="centerContinuous"/>
    </xf>
    <xf numFmtId="0" fontId="21" fillId="0" borderId="3" xfId="20" applyFont="1" applyBorder="1" applyAlignment="1">
      <alignment horizontal="centerContinuous"/>
    </xf>
    <xf numFmtId="0" fontId="55" fillId="10" borderId="0" xfId="21" applyFont="1" applyFill="1" applyBorder="1"/>
    <xf numFmtId="0" fontId="64" fillId="6" borderId="0" xfId="15" applyFont="1" applyFill="1"/>
    <xf numFmtId="0" fontId="20" fillId="0" borderId="0" xfId="24" applyFont="1"/>
    <xf numFmtId="0" fontId="64" fillId="0" borderId="0" xfId="15" applyFont="1"/>
    <xf numFmtId="0" fontId="20" fillId="6" borderId="0" xfId="14" applyFont="1" applyFill="1"/>
    <xf numFmtId="0" fontId="20" fillId="0" borderId="1" xfId="6" applyFont="1" applyBorder="1" applyProtection="1"/>
    <xf numFmtId="170" fontId="20" fillId="14" borderId="1" xfId="33" applyNumberFormat="1" applyFont="1" applyAlignment="1" applyProtection="1">
      <alignment horizontal="center" vertical="center"/>
    </xf>
    <xf numFmtId="0" fontId="20" fillId="0" borderId="0" xfId="14" applyFont="1"/>
    <xf numFmtId="0" fontId="20" fillId="6" borderId="0" xfId="14" applyFont="1" applyFill="1" applyAlignment="1">
      <alignment horizontal="center"/>
    </xf>
    <xf numFmtId="170" fontId="20" fillId="14" borderId="1" xfId="34" applyNumberFormat="1" applyFont="1" applyAlignment="1" applyProtection="1">
      <alignment horizontal="center" vertical="center"/>
    </xf>
    <xf numFmtId="170" fontId="20" fillId="14" borderId="1" xfId="33" applyNumberFormat="1" applyFont="1" applyBorder="1" applyAlignment="1" applyProtection="1">
      <alignment horizontal="center" vertical="center"/>
    </xf>
    <xf numFmtId="0" fontId="20" fillId="0" borderId="0" xfId="14" applyFont="1" applyFill="1"/>
    <xf numFmtId="0" fontId="46" fillId="0" borderId="3" xfId="6" applyFont="1" applyBorder="1" applyAlignment="1" applyProtection="1">
      <alignment horizontal="centerContinuous"/>
    </xf>
    <xf numFmtId="0" fontId="25" fillId="0" borderId="1" xfId="0" applyFont="1" applyBorder="1" applyAlignment="1">
      <alignment wrapText="1"/>
    </xf>
    <xf numFmtId="169" fontId="31" fillId="7" borderId="1" xfId="10" applyNumberFormat="1" applyFont="1" applyFill="1" applyBorder="1" applyAlignment="1">
      <alignment vertical="center"/>
    </xf>
    <xf numFmtId="0" fontId="46" fillId="6" borderId="0" xfId="14" applyFont="1" applyFill="1"/>
    <xf numFmtId="0" fontId="21" fillId="0" borderId="0" xfId="8" applyFont="1" applyBorder="1" applyAlignment="1" applyProtection="1">
      <alignment horizontal="left"/>
    </xf>
    <xf numFmtId="0" fontId="46" fillId="0" borderId="8" xfId="6" applyFont="1" applyBorder="1" applyAlignment="1" applyProtection="1">
      <alignment horizontal="centerContinuous"/>
    </xf>
    <xf numFmtId="0" fontId="46" fillId="0" borderId="6" xfId="6" applyFont="1" applyBorder="1" applyAlignment="1" applyProtection="1">
      <alignment horizontal="centerContinuous"/>
    </xf>
    <xf numFmtId="173" fontId="31" fillId="6" borderId="0" xfId="10" quotePrefix="1" applyNumberFormat="1" applyFont="1" applyFill="1" applyBorder="1" applyAlignment="1">
      <alignment horizontal="centerContinuous" vertical="center"/>
    </xf>
    <xf numFmtId="0" fontId="19" fillId="6" borderId="0" xfId="14" quotePrefix="1" applyFont="1" applyFill="1" applyAlignment="1">
      <alignment horizontal="center"/>
    </xf>
    <xf numFmtId="0" fontId="25" fillId="6" borderId="1" xfId="16" applyFont="1" applyFill="1" applyBorder="1"/>
    <xf numFmtId="0" fontId="19" fillId="6" borderId="1" xfId="17" applyFont="1" applyFill="1" applyBorder="1"/>
    <xf numFmtId="0" fontId="18" fillId="0" borderId="1" xfId="0" applyFont="1" applyBorder="1" applyAlignment="1">
      <alignment vertical="top" wrapText="1"/>
    </xf>
    <xf numFmtId="0" fontId="17" fillId="0" borderId="1" xfId="0" applyFont="1" applyBorder="1"/>
    <xf numFmtId="0" fontId="17" fillId="0" borderId="0" xfId="0" applyFont="1" applyBorder="1"/>
    <xf numFmtId="0" fontId="17" fillId="0" borderId="0" xfId="20" applyFont="1" applyProtection="1"/>
    <xf numFmtId="0" fontId="36" fillId="0" borderId="0" xfId="13" applyFont="1" applyBorder="1" applyAlignment="1">
      <alignment vertical="top"/>
    </xf>
    <xf numFmtId="0" fontId="68" fillId="0" borderId="0" xfId="12" quotePrefix="1" applyAlignment="1" applyProtection="1"/>
    <xf numFmtId="0" fontId="65" fillId="0" borderId="0" xfId="0" applyFont="1" applyAlignment="1">
      <alignment horizontal="left" indent="4"/>
    </xf>
    <xf numFmtId="0" fontId="66" fillId="6" borderId="0" xfId="21" applyFont="1" applyFill="1" applyBorder="1"/>
    <xf numFmtId="0" fontId="51" fillId="0" borderId="0" xfId="0" applyFont="1"/>
    <xf numFmtId="0" fontId="49" fillId="0" borderId="0" xfId="0" applyFont="1"/>
    <xf numFmtId="0" fontId="16" fillId="0" borderId="1" xfId="0" applyFont="1" applyBorder="1" applyAlignment="1">
      <alignment wrapText="1"/>
    </xf>
    <xf numFmtId="0" fontId="16" fillId="0" borderId="0" xfId="0" applyFont="1"/>
    <xf numFmtId="0" fontId="16" fillId="0" borderId="1" xfId="0" applyFont="1" applyBorder="1"/>
    <xf numFmtId="0" fontId="16" fillId="0" borderId="1" xfId="0" applyFont="1" applyBorder="1" applyAlignment="1">
      <alignment horizontal="center"/>
    </xf>
    <xf numFmtId="168" fontId="67" fillId="3" borderId="1" xfId="29" applyNumberFormat="1" applyFont="1" applyFill="1" applyBorder="1" applyAlignment="1" applyProtection="1">
      <alignment vertical="center"/>
      <protection locked="0"/>
    </xf>
    <xf numFmtId="0" fontId="15" fillId="0" borderId="1" xfId="0" applyFont="1" applyBorder="1" applyAlignment="1">
      <alignment wrapText="1"/>
    </xf>
    <xf numFmtId="1" fontId="16" fillId="0" borderId="1" xfId="0" applyNumberFormat="1" applyFont="1" applyBorder="1" applyAlignment="1">
      <alignment horizontal="center"/>
    </xf>
    <xf numFmtId="1" fontId="16" fillId="0" borderId="3" xfId="0" applyNumberFormat="1" applyFont="1" applyBorder="1" applyAlignment="1">
      <alignment horizontal="center"/>
    </xf>
    <xf numFmtId="0" fontId="16" fillId="0" borderId="4" xfId="0" applyFont="1" applyBorder="1" applyAlignment="1">
      <alignment wrapText="1"/>
    </xf>
    <xf numFmtId="0" fontId="16" fillId="0" borderId="4" xfId="0" applyFont="1" applyBorder="1" applyAlignment="1">
      <alignment horizontal="center"/>
    </xf>
    <xf numFmtId="0" fontId="15" fillId="0" borderId="2" xfId="0" applyFont="1" applyBorder="1" applyAlignment="1">
      <alignment wrapText="1"/>
    </xf>
    <xf numFmtId="0" fontId="16" fillId="0" borderId="2" xfId="0" applyFont="1" applyBorder="1" applyAlignment="1">
      <alignment horizontal="center"/>
    </xf>
    <xf numFmtId="175" fontId="16" fillId="0" borderId="1" xfId="0" applyNumberFormat="1" applyFont="1" applyBorder="1"/>
    <xf numFmtId="0" fontId="15" fillId="0" borderId="0" xfId="8" applyFont="1" applyAlignment="1" applyProtection="1">
      <alignment horizontal="center"/>
    </xf>
    <xf numFmtId="0" fontId="15" fillId="3" borderId="1" xfId="25" applyFont="1" applyFill="1" applyBorder="1" applyAlignment="1">
      <alignment horizontal="center"/>
    </xf>
    <xf numFmtId="0" fontId="15" fillId="3" borderId="1" xfId="25" applyFont="1" applyFill="1" applyBorder="1"/>
    <xf numFmtId="0" fontId="14" fillId="3" borderId="1" xfId="20" applyFont="1" applyFill="1" applyBorder="1" applyAlignment="1">
      <alignment vertical="top" wrapText="1"/>
    </xf>
    <xf numFmtId="0" fontId="13" fillId="3" borderId="1" xfId="20" applyFont="1" applyFill="1" applyBorder="1" applyAlignment="1">
      <alignment vertical="top" wrapText="1"/>
    </xf>
    <xf numFmtId="0" fontId="49" fillId="6" borderId="0" xfId="27" applyFont="1" applyFill="1" applyBorder="1" applyAlignment="1" applyProtection="1">
      <alignment wrapText="1"/>
    </xf>
    <xf numFmtId="0" fontId="0" fillId="0" borderId="0" xfId="0" applyAlignment="1">
      <alignment wrapText="1"/>
    </xf>
    <xf numFmtId="0" fontId="39" fillId="6" borderId="0" xfId="27" applyFont="1" applyFill="1" applyBorder="1" applyAlignment="1" applyProtection="1">
      <alignment wrapText="1"/>
    </xf>
    <xf numFmtId="0" fontId="41" fillId="0" borderId="0" xfId="0" applyFont="1" applyAlignment="1">
      <alignment wrapText="1"/>
    </xf>
    <xf numFmtId="0" fontId="15" fillId="6" borderId="4" xfId="17" applyFont="1" applyFill="1" applyBorder="1"/>
    <xf numFmtId="0" fontId="20" fillId="0" borderId="0" xfId="24" applyFont="1" applyFill="1" applyBorder="1"/>
    <xf numFmtId="169" fontId="31" fillId="0" borderId="0" xfId="15" applyNumberFormat="1" applyFont="1" applyFill="1" applyBorder="1"/>
    <xf numFmtId="0" fontId="12" fillId="3" borderId="1" xfId="20" applyFont="1" applyFill="1" applyBorder="1" applyAlignment="1">
      <alignment vertical="top" wrapText="1"/>
    </xf>
    <xf numFmtId="0" fontId="0" fillId="0" borderId="0" xfId="0" applyAlignment="1">
      <alignment wrapText="1"/>
    </xf>
    <xf numFmtId="0" fontId="11" fillId="3" borderId="1" xfId="20" applyFont="1" applyFill="1" applyBorder="1" applyAlignment="1">
      <alignment vertical="top" wrapText="1"/>
    </xf>
    <xf numFmtId="0" fontId="0" fillId="0" borderId="20" xfId="0" applyBorder="1"/>
    <xf numFmtId="167" fontId="0" fillId="0" borderId="0" xfId="0" applyNumberFormat="1"/>
    <xf numFmtId="0" fontId="0" fillId="18" borderId="0" xfId="0" applyFill="1"/>
    <xf numFmtId="0" fontId="72" fillId="18" borderId="0" xfId="0" applyFont="1" applyFill="1"/>
    <xf numFmtId="167" fontId="73" fillId="0" borderId="20" xfId="0" applyNumberFormat="1" applyFont="1" applyBorder="1" applyAlignment="1">
      <alignment horizontal="left"/>
    </xf>
    <xf numFmtId="179" fontId="74" fillId="0" borderId="20" xfId="0" quotePrefix="1" applyNumberFormat="1" applyFont="1" applyBorder="1" applyAlignment="1">
      <alignment horizontal="right"/>
    </xf>
    <xf numFmtId="167" fontId="0" fillId="0" borderId="0" xfId="0" applyNumberFormat="1" applyBorder="1"/>
    <xf numFmtId="0" fontId="75" fillId="0" borderId="0" xfId="0" applyFont="1" applyFill="1" applyBorder="1"/>
    <xf numFmtId="0" fontId="75" fillId="0" borderId="21" xfId="0" applyFont="1" applyBorder="1"/>
    <xf numFmtId="167" fontId="0" fillId="0" borderId="0" xfId="0" applyNumberFormat="1" applyAlignment="1">
      <alignment horizontal="center"/>
    </xf>
    <xf numFmtId="0" fontId="0" fillId="0" borderId="0" xfId="0" applyAlignment="1">
      <alignment vertical="center" wrapText="1"/>
    </xf>
    <xf numFmtId="0" fontId="0" fillId="0" borderId="0" xfId="0" applyAlignment="1">
      <alignment horizontal="center"/>
    </xf>
    <xf numFmtId="0" fontId="75" fillId="0" borderId="0" xfId="0" applyFont="1"/>
    <xf numFmtId="0" fontId="75" fillId="0" borderId="0" xfId="0" applyFont="1" applyAlignment="1">
      <alignment horizontal="center"/>
    </xf>
    <xf numFmtId="167" fontId="75" fillId="19" borderId="0" xfId="0" applyNumberFormat="1" applyFont="1" applyFill="1" applyBorder="1" applyAlignment="1" applyProtection="1">
      <alignment vertical="center"/>
      <protection locked="0"/>
    </xf>
    <xf numFmtId="0" fontId="75" fillId="0" borderId="0" xfId="0" applyFont="1" applyBorder="1"/>
    <xf numFmtId="0" fontId="75" fillId="0" borderId="0" xfId="0" applyFont="1" applyBorder="1" applyAlignment="1">
      <alignment horizontal="center"/>
    </xf>
    <xf numFmtId="167" fontId="0" fillId="0" borderId="0" xfId="0" applyNumberFormat="1" applyBorder="1" applyAlignment="1">
      <alignment horizontal="center"/>
    </xf>
    <xf numFmtId="0" fontId="0" fillId="0" borderId="21" xfId="0" applyBorder="1"/>
    <xf numFmtId="167" fontId="0" fillId="0" borderId="21" xfId="0" applyNumberFormat="1" applyBorder="1"/>
    <xf numFmtId="0" fontId="0" fillId="0" borderId="0" xfId="0" applyAlignment="1">
      <alignment vertical="center"/>
    </xf>
    <xf numFmtId="167" fontId="0" fillId="19" borderId="0" xfId="0" applyNumberFormat="1" applyFill="1" applyAlignment="1" applyProtection="1">
      <alignment vertical="center"/>
      <protection locked="0"/>
    </xf>
    <xf numFmtId="180" fontId="0" fillId="0" borderId="0" xfId="0" applyNumberFormat="1"/>
    <xf numFmtId="10" fontId="0" fillId="19" borderId="0" xfId="0" applyNumberFormat="1" applyFill="1" applyProtection="1">
      <protection locked="0"/>
    </xf>
    <xf numFmtId="0" fontId="74" fillId="0" borderId="20" xfId="0" quotePrefix="1" applyFont="1" applyBorder="1" applyAlignment="1">
      <alignment horizontal="right"/>
    </xf>
    <xf numFmtId="181" fontId="73" fillId="0" borderId="0" xfId="0" applyNumberFormat="1" applyFont="1" applyBorder="1" applyAlignment="1">
      <alignment horizontal="left"/>
    </xf>
    <xf numFmtId="0" fontId="74" fillId="0" borderId="0" xfId="0" quotePrefix="1" applyFont="1" applyBorder="1" applyAlignment="1">
      <alignment horizontal="right"/>
    </xf>
    <xf numFmtId="167" fontId="0" fillId="0" borderId="0" xfId="0" applyNumberFormat="1" applyAlignment="1">
      <alignment vertical="center"/>
    </xf>
    <xf numFmtId="0" fontId="0" fillId="0" borderId="0" xfId="0" applyAlignment="1">
      <alignment horizontal="right" vertical="center"/>
    </xf>
    <xf numFmtId="180" fontId="0" fillId="0" borderId="0" xfId="0" applyNumberFormat="1" applyAlignment="1">
      <alignment horizontal="right" vertical="center"/>
    </xf>
    <xf numFmtId="168" fontId="0" fillId="19" borderId="0" xfId="0" applyNumberFormat="1" applyFill="1" applyProtection="1">
      <protection locked="0"/>
    </xf>
    <xf numFmtId="9" fontId="0" fillId="19" borderId="0" xfId="0" applyNumberFormat="1" applyFill="1" applyProtection="1">
      <protection locked="0"/>
    </xf>
    <xf numFmtId="0" fontId="0" fillId="0" borderId="21" xfId="0" applyBorder="1" applyProtection="1"/>
    <xf numFmtId="0" fontId="0" fillId="0" borderId="0" xfId="0" applyFill="1"/>
    <xf numFmtId="167" fontId="0" fillId="0" borderId="0" xfId="0" applyNumberFormat="1" applyFill="1" applyProtection="1"/>
    <xf numFmtId="0" fontId="0" fillId="0" borderId="0" xfId="0" applyFill="1" applyProtection="1"/>
    <xf numFmtId="167" fontId="0" fillId="19" borderId="0" xfId="0" applyNumberFormat="1" applyFill="1" applyProtection="1">
      <protection locked="0"/>
    </xf>
    <xf numFmtId="0" fontId="0" fillId="0" borderId="22" xfId="0" applyFill="1" applyBorder="1" applyProtection="1"/>
    <xf numFmtId="0" fontId="0" fillId="0" borderId="22" xfId="0" applyFill="1" applyBorder="1"/>
    <xf numFmtId="0" fontId="77" fillId="0" borderId="0" xfId="0" applyFont="1" applyAlignment="1">
      <alignment horizontal="right"/>
    </xf>
    <xf numFmtId="0" fontId="38" fillId="6" borderId="0" xfId="40" applyFont="1" applyFill="1" applyBorder="1" applyProtection="1"/>
    <xf numFmtId="0" fontId="38" fillId="6" borderId="0" xfId="40" applyFont="1" applyFill="1" applyProtection="1"/>
    <xf numFmtId="182" fontId="0" fillId="0" borderId="0" xfId="0" applyNumberFormat="1"/>
    <xf numFmtId="0" fontId="80" fillId="0" borderId="0" xfId="0" applyFont="1"/>
    <xf numFmtId="0" fontId="75" fillId="0" borderId="24" xfId="0" applyFont="1" applyBorder="1"/>
    <xf numFmtId="0" fontId="0" fillId="0" borderId="26" xfId="0" applyBorder="1"/>
    <xf numFmtId="183" fontId="0" fillId="0" borderId="0" xfId="0" applyNumberFormat="1"/>
    <xf numFmtId="9" fontId="0" fillId="0" borderId="0" xfId="0" applyNumberFormat="1"/>
    <xf numFmtId="0" fontId="81" fillId="0" borderId="0" xfId="0" applyFont="1" applyAlignment="1">
      <alignment horizontal="centerContinuous" vertical="top"/>
    </xf>
    <xf numFmtId="0" fontId="82" fillId="0" borderId="0" xfId="0" applyFont="1" applyAlignment="1">
      <alignment horizontal="centerContinuous" vertical="top"/>
    </xf>
    <xf numFmtId="0" fontId="82" fillId="0" borderId="0" xfId="0" applyFont="1" applyAlignment="1">
      <alignment horizontal="left" vertical="top"/>
    </xf>
    <xf numFmtId="0" fontId="77" fillId="0" borderId="0" xfId="0" applyFont="1" applyAlignment="1">
      <alignment horizontal="left"/>
    </xf>
    <xf numFmtId="0" fontId="77" fillId="0" borderId="0" xfId="0" applyFont="1"/>
    <xf numFmtId="0" fontId="0" fillId="0" borderId="0" xfId="0" applyFont="1"/>
    <xf numFmtId="9" fontId="0" fillId="0" borderId="0" xfId="39" applyNumberFormat="1" applyFont="1"/>
    <xf numFmtId="9" fontId="85" fillId="0" borderId="0" xfId="0" applyNumberFormat="1" applyFont="1" applyAlignment="1">
      <alignment horizontal="center" vertical="center" wrapText="1"/>
    </xf>
    <xf numFmtId="0" fontId="85" fillId="0" borderId="0" xfId="0" applyFont="1" applyAlignment="1">
      <alignment horizontal="center" vertical="center" wrapText="1"/>
    </xf>
    <xf numFmtId="3" fontId="85" fillId="0" borderId="0" xfId="0" applyNumberFormat="1" applyFont="1" applyAlignment="1">
      <alignment horizontal="center" vertical="center" wrapText="1"/>
    </xf>
    <xf numFmtId="0" fontId="10" fillId="3" borderId="1" xfId="20" applyFont="1" applyFill="1" applyBorder="1" applyAlignment="1">
      <alignment vertical="top" wrapText="1"/>
    </xf>
    <xf numFmtId="0" fontId="55" fillId="10" borderId="0" xfId="21" applyFont="1" applyFill="1" applyBorder="1" applyAlignment="1">
      <alignment horizontal="left"/>
    </xf>
    <xf numFmtId="0" fontId="0" fillId="0" borderId="0" xfId="0" applyAlignment="1">
      <alignment wrapText="1"/>
    </xf>
    <xf numFmtId="0" fontId="0" fillId="0" borderId="0" xfId="0" applyAlignment="1">
      <alignment vertical="center" wrapText="1"/>
    </xf>
    <xf numFmtId="0" fontId="15" fillId="0" borderId="1" xfId="0" applyFont="1" applyBorder="1" applyAlignment="1">
      <alignment vertical="top" wrapText="1"/>
    </xf>
    <xf numFmtId="0" fontId="52" fillId="10" borderId="0" xfId="21" applyFont="1" applyFill="1" applyBorder="1"/>
    <xf numFmtId="0" fontId="15" fillId="0" borderId="1" xfId="0" quotePrefix="1" applyFont="1" applyBorder="1" applyAlignment="1">
      <alignment horizontal="left" vertical="top" wrapText="1"/>
    </xf>
    <xf numFmtId="0" fontId="9" fillId="3" borderId="1" xfId="20" applyFont="1" applyFill="1" applyBorder="1" applyAlignment="1">
      <alignment vertical="top" wrapText="1"/>
    </xf>
    <xf numFmtId="0" fontId="9" fillId="3" borderId="1" xfId="20" quotePrefix="1" applyFont="1" applyFill="1" applyBorder="1" applyAlignment="1">
      <alignment vertical="top" wrapText="1"/>
    </xf>
    <xf numFmtId="0" fontId="55" fillId="10" borderId="0" xfId="21" applyNumberFormat="1" applyFont="1" applyFill="1" applyBorder="1" applyAlignment="1">
      <alignment horizontal="left"/>
    </xf>
    <xf numFmtId="0" fontId="55" fillId="10" borderId="0" xfId="21" applyFont="1" applyFill="1" applyBorder="1" applyAlignment="1"/>
    <xf numFmtId="0" fontId="8" fillId="0" borderId="1" xfId="0" applyFont="1" applyBorder="1" applyAlignment="1">
      <alignment wrapText="1"/>
    </xf>
    <xf numFmtId="0" fontId="41" fillId="19" borderId="1" xfId="27" applyFont="1" applyFill="1" applyBorder="1" applyAlignment="1" applyProtection="1">
      <alignment horizontal="center" vertical="center"/>
    </xf>
    <xf numFmtId="0" fontId="7" fillId="0" borderId="1" xfId="0" applyFont="1" applyBorder="1" applyAlignment="1">
      <alignment wrapText="1"/>
    </xf>
    <xf numFmtId="0" fontId="0" fillId="15" borderId="0" xfId="0" applyFill="1"/>
    <xf numFmtId="9" fontId="0" fillId="15" borderId="0" xfId="0" applyNumberFormat="1" applyFill="1" applyProtection="1">
      <protection locked="0"/>
    </xf>
    <xf numFmtId="168" fontId="0" fillId="15" borderId="0" xfId="0" applyNumberFormat="1" applyFill="1" applyProtection="1">
      <protection locked="0"/>
    </xf>
    <xf numFmtId="167" fontId="0" fillId="15" borderId="0" xfId="0" applyNumberFormat="1" applyFill="1" applyAlignment="1" applyProtection="1">
      <alignment horizontal="center" vertical="center"/>
      <protection locked="0"/>
    </xf>
    <xf numFmtId="167" fontId="0" fillId="15" borderId="0" xfId="0" applyNumberFormat="1" applyFill="1" applyProtection="1">
      <protection locked="0"/>
    </xf>
    <xf numFmtId="180" fontId="0" fillId="15" borderId="0" xfId="0" applyNumberFormat="1" applyFill="1" applyProtection="1">
      <protection locked="0"/>
    </xf>
    <xf numFmtId="175" fontId="0" fillId="15" borderId="0" xfId="0" applyNumberFormat="1" applyFill="1" applyProtection="1">
      <protection locked="0"/>
    </xf>
    <xf numFmtId="0" fontId="0" fillId="21" borderId="0" xfId="0" applyFill="1"/>
    <xf numFmtId="167" fontId="0" fillId="21" borderId="22" xfId="0" applyNumberFormat="1" applyFill="1" applyBorder="1" applyProtection="1"/>
    <xf numFmtId="167" fontId="0" fillId="21" borderId="21" xfId="0" applyNumberFormat="1" applyFill="1" applyBorder="1" applyProtection="1"/>
    <xf numFmtId="9" fontId="0" fillId="21" borderId="21" xfId="39" applyFont="1" applyFill="1" applyBorder="1"/>
    <xf numFmtId="180" fontId="0" fillId="21" borderId="0" xfId="0" applyNumberFormat="1" applyFill="1"/>
    <xf numFmtId="180" fontId="0" fillId="21" borderId="21" xfId="0" applyNumberFormat="1" applyFill="1" applyBorder="1" applyAlignment="1">
      <alignment horizontal="right" vertical="center"/>
    </xf>
    <xf numFmtId="167" fontId="0" fillId="21" borderId="0" xfId="0" applyNumberFormat="1" applyFill="1" applyAlignment="1">
      <alignment vertical="center"/>
    </xf>
    <xf numFmtId="181" fontId="73" fillId="21" borderId="0" xfId="0" applyNumberFormat="1" applyFont="1" applyFill="1" applyBorder="1" applyAlignment="1">
      <alignment horizontal="left"/>
    </xf>
    <xf numFmtId="167" fontId="73" fillId="21" borderId="20" xfId="0" applyNumberFormat="1" applyFont="1" applyFill="1" applyBorder="1" applyAlignment="1">
      <alignment horizontal="left"/>
    </xf>
    <xf numFmtId="180" fontId="0" fillId="21" borderId="0" xfId="0" applyNumberFormat="1" applyFill="1" applyAlignment="1">
      <alignment vertical="center"/>
    </xf>
    <xf numFmtId="167" fontId="0" fillId="21" borderId="22" xfId="0" applyNumberFormat="1" applyFill="1" applyBorder="1" applyAlignment="1">
      <alignment horizontal="center"/>
    </xf>
    <xf numFmtId="167" fontId="0" fillId="21" borderId="0" xfId="0" applyNumberFormat="1" applyFill="1" applyAlignment="1">
      <alignment horizontal="center"/>
    </xf>
    <xf numFmtId="167" fontId="0" fillId="21" borderId="21" xfId="0" applyNumberFormat="1" applyFill="1" applyBorder="1" applyAlignment="1">
      <alignment horizontal="center"/>
    </xf>
    <xf numFmtId="167" fontId="0" fillId="21" borderId="0" xfId="0" applyNumberFormat="1" applyFill="1"/>
    <xf numFmtId="167" fontId="0" fillId="21" borderId="20" xfId="0" applyNumberFormat="1" applyFill="1" applyBorder="1"/>
    <xf numFmtId="10" fontId="0" fillId="15" borderId="0" xfId="0" applyNumberFormat="1" applyFill="1" applyProtection="1">
      <protection locked="0"/>
    </xf>
    <xf numFmtId="167" fontId="0" fillId="15" borderId="0" xfId="0" applyNumberFormat="1" applyFill="1" applyAlignment="1" applyProtection="1">
      <alignment vertical="center"/>
      <protection locked="0"/>
    </xf>
    <xf numFmtId="180" fontId="0" fillId="21" borderId="25" xfId="0" applyNumberFormat="1" applyFill="1" applyBorder="1"/>
    <xf numFmtId="184" fontId="75" fillId="21" borderId="23" xfId="0" applyNumberFormat="1" applyFont="1" applyFill="1" applyBorder="1"/>
    <xf numFmtId="180" fontId="0" fillId="21" borderId="0" xfId="0" applyNumberFormat="1" applyFill="1" applyProtection="1"/>
    <xf numFmtId="0" fontId="0" fillId="22" borderId="0" xfId="0" applyFill="1"/>
    <xf numFmtId="167" fontId="0" fillId="21" borderId="21" xfId="0" applyNumberFormat="1" applyFill="1" applyBorder="1" applyAlignment="1" applyProtection="1">
      <alignment horizontal="center" vertical="center"/>
    </xf>
    <xf numFmtId="167" fontId="75" fillId="21" borderId="21" xfId="0" applyNumberFormat="1" applyFont="1" applyFill="1" applyBorder="1" applyAlignment="1" applyProtection="1">
      <alignment vertical="center"/>
    </xf>
    <xf numFmtId="9" fontId="0" fillId="22" borderId="0" xfId="0" applyNumberFormat="1" applyFill="1"/>
    <xf numFmtId="180" fontId="0" fillId="22" borderId="0" xfId="0" applyNumberFormat="1" applyFill="1" applyAlignment="1">
      <alignment horizontal="right" vertical="center"/>
    </xf>
    <xf numFmtId="180" fontId="0" fillId="22" borderId="0" xfId="0" applyNumberFormat="1" applyFill="1" applyAlignment="1">
      <alignment horizontal="center"/>
    </xf>
    <xf numFmtId="167" fontId="75" fillId="22" borderId="0" xfId="0" applyNumberFormat="1" applyFont="1" applyFill="1" applyBorder="1" applyAlignment="1" applyProtection="1">
      <alignment vertical="center"/>
    </xf>
    <xf numFmtId="180" fontId="0" fillId="22" borderId="0" xfId="0" applyNumberFormat="1" applyFill="1" applyAlignment="1">
      <alignment vertical="center"/>
    </xf>
    <xf numFmtId="9" fontId="0" fillId="21" borderId="0" xfId="39" applyFont="1" applyFill="1"/>
    <xf numFmtId="9" fontId="75" fillId="21" borderId="0" xfId="39" applyFont="1" applyFill="1" applyAlignment="1">
      <alignment horizontal="center"/>
    </xf>
    <xf numFmtId="180" fontId="0" fillId="22" borderId="0" xfId="0" applyNumberFormat="1" applyFill="1"/>
    <xf numFmtId="183" fontId="0" fillId="22" borderId="21" xfId="0" applyNumberFormat="1" applyFill="1" applyBorder="1"/>
    <xf numFmtId="180" fontId="0" fillId="22" borderId="0" xfId="0" applyNumberFormat="1" applyFill="1" applyProtection="1"/>
    <xf numFmtId="180" fontId="0" fillId="21" borderId="21" xfId="0" applyNumberFormat="1" applyFill="1" applyBorder="1" applyProtection="1"/>
    <xf numFmtId="0" fontId="29" fillId="23" borderId="0" xfId="20" applyFont="1" applyFill="1" applyBorder="1" applyProtection="1"/>
    <xf numFmtId="0" fontId="29" fillId="23" borderId="0" xfId="20" applyFont="1" applyFill="1" applyBorder="1" applyProtection="1">
      <protection locked="0"/>
    </xf>
    <xf numFmtId="0" fontId="0" fillId="23" borderId="0" xfId="0" applyFill="1"/>
    <xf numFmtId="0" fontId="6" fillId="3" borderId="1" xfId="20" applyFont="1" applyFill="1" applyBorder="1" applyAlignment="1">
      <alignment vertical="top" wrapText="1"/>
    </xf>
    <xf numFmtId="0" fontId="6" fillId="3" borderId="1" xfId="20" quotePrefix="1" applyFont="1" applyFill="1" applyBorder="1" applyAlignment="1">
      <alignment vertical="top" wrapText="1"/>
    </xf>
    <xf numFmtId="0" fontId="46" fillId="0" borderId="0" xfId="14" applyFont="1" applyFill="1" applyBorder="1" applyAlignment="1">
      <alignment horizontal="center" wrapText="1"/>
    </xf>
    <xf numFmtId="0" fontId="5" fillId="3" borderId="1" xfId="20" applyFont="1" applyFill="1" applyBorder="1" applyAlignment="1">
      <alignment vertical="top" wrapText="1"/>
    </xf>
    <xf numFmtId="0" fontId="4" fillId="3" borderId="1" xfId="20" applyFont="1" applyFill="1" applyBorder="1" applyAlignment="1">
      <alignment vertical="top" wrapText="1"/>
    </xf>
    <xf numFmtId="0" fontId="3" fillId="3" borderId="1" xfId="20" applyFont="1" applyFill="1" applyBorder="1" applyAlignment="1">
      <alignment vertical="top" wrapText="1"/>
    </xf>
    <xf numFmtId="0" fontId="15" fillId="0" borderId="0" xfId="13" applyFont="1" applyBorder="1" applyAlignment="1">
      <alignment vertical="top"/>
    </xf>
    <xf numFmtId="0" fontId="15" fillId="3" borderId="1" xfId="20" applyFont="1" applyFill="1" applyBorder="1" applyAlignment="1">
      <alignment vertical="top" wrapText="1"/>
    </xf>
    <xf numFmtId="0" fontId="3" fillId="23" borderId="4" xfId="17" applyFont="1" applyFill="1" applyBorder="1"/>
    <xf numFmtId="0" fontId="2" fillId="3" borderId="1" xfId="20" applyFont="1" applyFill="1" applyBorder="1" applyAlignment="1">
      <alignment vertical="top" wrapText="1"/>
    </xf>
    <xf numFmtId="0" fontId="1" fillId="3" borderId="1" xfId="20" applyFont="1" applyFill="1" applyBorder="1" applyAlignment="1">
      <alignment vertical="top" wrapText="1"/>
    </xf>
    <xf numFmtId="169" fontId="34" fillId="6" borderId="8" xfId="10" applyNumberFormat="1" applyFont="1" applyFill="1" applyBorder="1" applyAlignment="1">
      <alignment horizontal="center"/>
    </xf>
    <xf numFmtId="169" fontId="34" fillId="6" borderId="6" xfId="10" applyNumberFormat="1" applyFont="1" applyFill="1" applyBorder="1" applyAlignment="1">
      <alignment horizontal="center"/>
    </xf>
    <xf numFmtId="169" fontId="34" fillId="6" borderId="3" xfId="10" applyNumberFormat="1" applyFont="1" applyFill="1" applyBorder="1" applyAlignment="1">
      <alignment horizontal="center"/>
    </xf>
    <xf numFmtId="0" fontId="39" fillId="6" borderId="0" xfId="27" applyFont="1" applyFill="1" applyBorder="1" applyAlignment="1" applyProtection="1">
      <alignment wrapText="1"/>
    </xf>
    <xf numFmtId="0" fontId="41" fillId="0" borderId="0" xfId="0" applyFont="1" applyAlignment="1">
      <alignment wrapText="1"/>
    </xf>
    <xf numFmtId="0" fontId="46" fillId="0" borderId="1" xfId="0" applyFont="1" applyBorder="1" applyAlignment="1">
      <alignment horizontal="center" wrapText="1"/>
    </xf>
    <xf numFmtId="173" fontId="46" fillId="0" borderId="1" xfId="0" quotePrefix="1" applyNumberFormat="1" applyFont="1" applyBorder="1" applyAlignment="1">
      <alignment horizontal="center" wrapText="1"/>
    </xf>
    <xf numFmtId="173" fontId="31" fillId="7" borderId="8" xfId="10" quotePrefix="1" applyNumberFormat="1" applyFont="1" applyFill="1" applyBorder="1" applyAlignment="1">
      <alignment horizontal="center" vertical="center"/>
    </xf>
    <xf numFmtId="173" fontId="31" fillId="7" borderId="3" xfId="10" quotePrefix="1" applyNumberFormat="1" applyFont="1" applyFill="1" applyBorder="1" applyAlignment="1">
      <alignment horizontal="center" vertical="center"/>
    </xf>
    <xf numFmtId="0" fontId="25" fillId="6" borderId="0" xfId="16" applyFont="1" applyFill="1" applyBorder="1" applyAlignment="1" applyProtection="1">
      <alignment horizontal="left" vertical="top" wrapText="1"/>
    </xf>
    <xf numFmtId="0" fontId="25" fillId="6" borderId="0" xfId="16" quotePrefix="1" applyFont="1" applyFill="1" applyBorder="1" applyAlignment="1" applyProtection="1">
      <alignment horizontal="left" vertical="top" wrapText="1"/>
    </xf>
    <xf numFmtId="0" fontId="49" fillId="6" borderId="0" xfId="27" applyFont="1" applyFill="1" applyBorder="1" applyAlignment="1" applyProtection="1">
      <alignment wrapText="1"/>
    </xf>
    <xf numFmtId="0" fontId="46" fillId="0" borderId="8" xfId="0" applyFont="1" applyBorder="1" applyAlignment="1">
      <alignment horizontal="center"/>
    </xf>
    <xf numFmtId="0" fontId="46" fillId="0" borderId="6" xfId="0" applyFont="1" applyBorder="1" applyAlignment="1">
      <alignment horizontal="center"/>
    </xf>
    <xf numFmtId="0" fontId="46" fillId="0" borderId="3" xfId="0" applyFont="1" applyBorder="1" applyAlignment="1">
      <alignment horizontal="center"/>
    </xf>
    <xf numFmtId="169" fontId="59" fillId="6" borderId="1" xfId="10" applyNumberFormat="1" applyFont="1" applyFill="1" applyBorder="1" applyAlignment="1">
      <alignment horizontal="center" wrapText="1"/>
    </xf>
    <xf numFmtId="0" fontId="63" fillId="0" borderId="1" xfId="0" applyFont="1" applyBorder="1" applyAlignment="1">
      <alignment horizontal="center" wrapText="1"/>
    </xf>
    <xf numFmtId="0" fontId="0" fillId="0" borderId="0" xfId="0" applyAlignment="1">
      <alignment wrapText="1"/>
    </xf>
    <xf numFmtId="0" fontId="46" fillId="0" borderId="0" xfId="14" applyFont="1" applyFill="1" applyBorder="1" applyAlignment="1">
      <alignment horizontal="center" wrapText="1"/>
    </xf>
    <xf numFmtId="0" fontId="0" fillId="0" borderId="0" xfId="0" applyAlignment="1">
      <alignment vertical="center" wrapText="1"/>
    </xf>
    <xf numFmtId="0" fontId="83" fillId="20" borderId="7" xfId="0" applyFont="1" applyFill="1" applyBorder="1" applyAlignment="1">
      <alignment horizontal="left" vertical="top" wrapText="1"/>
    </xf>
    <xf numFmtId="0" fontId="83" fillId="20" borderId="29" xfId="0" applyFont="1" applyFill="1" applyBorder="1" applyAlignment="1">
      <alignment horizontal="left" vertical="top" wrapText="1"/>
    </xf>
    <xf numFmtId="0" fontId="83" fillId="20" borderId="5" xfId="0" applyFont="1" applyFill="1" applyBorder="1" applyAlignment="1">
      <alignment horizontal="left" vertical="top" wrapText="1"/>
    </xf>
    <xf numFmtId="0" fontId="83" fillId="20" borderId="19" xfId="0" applyFont="1" applyFill="1" applyBorder="1" applyAlignment="1">
      <alignment horizontal="left" vertical="top" wrapText="1"/>
    </xf>
    <xf numFmtId="0" fontId="83" fillId="20" borderId="28" xfId="0" applyFont="1" applyFill="1" applyBorder="1" applyAlignment="1">
      <alignment horizontal="left" vertical="top" wrapText="1"/>
    </xf>
    <xf numFmtId="0" fontId="83" fillId="20" borderId="27" xfId="0" applyFont="1" applyFill="1" applyBorder="1" applyAlignment="1">
      <alignment horizontal="left" vertical="top" wrapText="1"/>
    </xf>
    <xf numFmtId="0" fontId="0" fillId="0" borderId="0" xfId="0" applyAlignment="1">
      <alignment horizontal="left" vertical="top" wrapText="1"/>
    </xf>
    <xf numFmtId="0" fontId="15" fillId="0" borderId="8" xfId="0" applyFont="1" applyBorder="1" applyAlignment="1">
      <alignment horizontal="right"/>
    </xf>
    <xf numFmtId="0" fontId="0" fillId="0" borderId="3" xfId="0" applyBorder="1" applyAlignment="1">
      <alignment horizontal="right"/>
    </xf>
  </cellXfs>
  <cellStyles count="41">
    <cellStyle name=" 1" xfId="1"/>
    <cellStyle name="%_2.4 Exc &amp; Demin " xfId="2"/>
    <cellStyle name="%_3.3 Tax_2.4 Exc &amp; Demin " xfId="3"/>
    <cellStyle name="%_5.6 Environmental " xfId="4"/>
    <cellStyle name="%_5.9 Asset data " xfId="5"/>
    <cellStyle name="=C:\WINNT\SYSTEM32\COMMAND.COM 2 2" xfId="6"/>
    <cellStyle name="=C:\WINNT\SYSTEM32\COMMAND.COM 2 2 10" xfId="7"/>
    <cellStyle name="=C:\WINNT\SYSTEM32\COMMAND.COM 2 2 2" xfId="8"/>
    <cellStyle name="=C:\WINNT\SYSTEM32\COMMAND.COM 4" xfId="9"/>
    <cellStyle name="Comma_070323 - 5yr opex BPQ (Final)" xfId="10"/>
    <cellStyle name="Currency" xfId="11" builtinId="4"/>
    <cellStyle name="Hyperlink" xfId="12" builtinId="8"/>
    <cellStyle name="Normal" xfId="0" builtinId="0"/>
    <cellStyle name="Normal 11" xfId="13"/>
    <cellStyle name="Normal 11 7" xfId="14"/>
    <cellStyle name="Normal 2 10" xfId="15"/>
    <cellStyle name="Normal 2 5" xfId="16"/>
    <cellStyle name="Normal 2 5 8" xfId="17"/>
    <cellStyle name="Normal 2 5 8 3" xfId="18"/>
    <cellStyle name="Normal 3 2" xfId="19"/>
    <cellStyle name="Normal 4 2 2" xfId="20"/>
    <cellStyle name="Normal 61" xfId="21"/>
    <cellStyle name="Normal 63" xfId="22"/>
    <cellStyle name="Normal 65" xfId="23"/>
    <cellStyle name="Normal 65 2" xfId="40"/>
    <cellStyle name="Normal 66" xfId="24"/>
    <cellStyle name="Normal 7" xfId="25"/>
    <cellStyle name="Normal_amended tax tables 2" xfId="26"/>
    <cellStyle name="Normal_NGT HBPQ Final Version 5 " xfId="27"/>
    <cellStyle name="Normal_Opex Tables 2 2" xfId="28"/>
    <cellStyle name="Percent" xfId="29" builtinId="5"/>
    <cellStyle name="Percent 10" xfId="30"/>
    <cellStyle name="Percent 12" xfId="31"/>
    <cellStyle name="Percent 2" xfId="39"/>
    <cellStyle name="Pre-inputted cells 14" xfId="32"/>
    <cellStyle name="Pre-inputted cells 14 2" xfId="33"/>
    <cellStyle name="Pre-inputted cells 3 7" xfId="34"/>
    <cellStyle name="RIGs 6" xfId="35"/>
    <cellStyle name="RIGs input cells 14" xfId="36"/>
    <cellStyle name="RIGs input totals 14" xfId="37"/>
    <cellStyle name="RIGs linked cells 13" xfId="38"/>
  </cellStyles>
  <dxfs count="4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7030A0"/>
        </patternFill>
      </fill>
    </dxf>
    <dxf>
      <border>
        <top style="thin">
          <color auto="1"/>
        </top>
        <bottom style="thin">
          <color auto="1"/>
        </bottom>
        <vertical/>
        <horizontal/>
      </border>
    </dxf>
    <dxf>
      <border>
        <top style="thin">
          <color auto="1"/>
        </top>
        <bottom style="thin">
          <color auto="1"/>
        </bottom>
        <vertical/>
        <horizontal/>
      </border>
    </dxf>
    <dxf>
      <fill>
        <patternFill>
          <bgColor theme="9" tint="-0.499984740745262"/>
        </patternFill>
      </fill>
    </dxf>
    <dxf>
      <border>
        <top style="thin">
          <color auto="1"/>
        </top>
        <bottom style="thin">
          <color auto="1"/>
        </bottom>
        <vertical/>
        <horizontal/>
      </border>
    </dxf>
    <dxf>
      <fill>
        <patternFill>
          <bgColor theme="1"/>
        </patternFill>
      </fill>
    </dxf>
    <dxf>
      <fill>
        <patternFill>
          <bgColor theme="1"/>
        </patternFill>
      </fill>
    </dxf>
    <dxf>
      <fill>
        <patternFill>
          <bgColor theme="4" tint="-0.499984740745262"/>
        </patternFill>
      </fill>
    </dxf>
    <dxf>
      <fill>
        <patternFill>
          <bgColor theme="6" tint="-0.49998474074526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7030A0"/>
        </patternFill>
      </fill>
    </dxf>
    <dxf>
      <border>
        <top style="thin">
          <color auto="1"/>
        </top>
        <bottom style="thin">
          <color auto="1"/>
        </bottom>
        <vertical/>
        <horizontal/>
      </border>
    </dxf>
    <dxf>
      <border>
        <top style="thin">
          <color auto="1"/>
        </top>
        <bottom style="thin">
          <color auto="1"/>
        </bottom>
        <vertical/>
        <horizontal/>
      </border>
    </dxf>
    <dxf>
      <fill>
        <patternFill>
          <bgColor theme="9" tint="-0.499984740745262"/>
        </patternFill>
      </fill>
    </dxf>
    <dxf>
      <border>
        <top style="thin">
          <color auto="1"/>
        </top>
        <bottom style="thin">
          <color auto="1"/>
        </bottom>
        <vertical/>
        <horizontal/>
      </border>
    </dxf>
    <dxf>
      <fill>
        <patternFill>
          <bgColor theme="1"/>
        </patternFill>
      </fill>
    </dxf>
    <dxf>
      <fill>
        <patternFill>
          <bgColor theme="1"/>
        </patternFill>
      </fill>
    </dxf>
    <dxf>
      <fill>
        <patternFill>
          <bgColor theme="4" tint="-0.499984740745262"/>
        </patternFill>
      </fill>
    </dxf>
    <dxf>
      <fill>
        <patternFill>
          <bgColor theme="6" tint="-0.499984740745262"/>
        </patternFill>
      </fill>
    </dxf>
  </dxfs>
  <tableStyles count="0" defaultTableStyle="TableStyleMedium9" defaultPivotStyle="PivotStyleLight16"/>
  <colors>
    <mruColors>
      <color rgb="FFFFFFCC"/>
      <color rgb="FFCC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 Id="rId35" Type="http://schemas.openxmlformats.org/officeDocument/2006/relationships/customXml" Target="../customXml/item3.xml"/></Relationships>
</file>

<file path=xl/ctrlProps/ctrlProp1.xml><?xml version="1.0" encoding="utf-8"?>
<formControlPr xmlns="http://schemas.microsoft.com/office/spreadsheetml/2009/9/main" objectType="Drop" dropStyle="combo" dx="32" fmlaLink="pco1A" fmlaRange="pco1Q" noThreeD="1" sel="1" val="0"/>
</file>

<file path=xl/ctrlProps/ctrlProp2.xml><?xml version="1.0" encoding="utf-8"?>
<formControlPr xmlns="http://schemas.microsoft.com/office/spreadsheetml/2009/9/main" objectType="Drop" dropStyle="combo" dx="32" fmlaLink="rrA" fmlaRange="rrQ" noThreeD="1" sel="4" val="0"/>
</file>

<file path=xl/ctrlProps/ctrlProp3.xml><?xml version="1.0" encoding="utf-8"?>
<formControlPr xmlns="http://schemas.microsoft.com/office/spreadsheetml/2009/9/main" objectType="Drop" dropStyle="combo" dx="32" fmlaLink="rrA" fmlaRange="rrQ" noThreeD="1" sel="4" val="0"/>
</file>

<file path=xl/ctrlProps/ctrlProp4.xml><?xml version="1.0" encoding="utf-8"?>
<formControlPr xmlns="http://schemas.microsoft.com/office/spreadsheetml/2009/9/main" objectType="Drop" dropStyle="combo" dx="32" fmlaLink="pco1A" fmlaRange="pco1Q" noThreeD="1" sel="1" val="0"/>
</file>

<file path=xl/ctrlProps/ctrlProp5.xml><?xml version="1.0" encoding="utf-8"?>
<formControlPr xmlns="http://schemas.microsoft.com/office/spreadsheetml/2009/9/main" objectType="Drop" dropStyle="combo" dx="32" fmlaLink="rrA" fmlaRange="rrQ" noThreeD="1" sel="4" val="0"/>
</file>

<file path=xl/ctrlProps/ctrlProp6.xml><?xml version="1.0" encoding="utf-8"?>
<formControlPr xmlns="http://schemas.microsoft.com/office/spreadsheetml/2009/9/main" objectType="Drop" dropStyle="combo" dx="32" fmlaLink="rrA" fmlaRange="rrQ" noThreeD="1" sel="4" val="0"/>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8" Type="http://schemas.openxmlformats.org/officeDocument/2006/relationships/hyperlink" Target="#Contents!A1"/><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8" Type="http://schemas.openxmlformats.org/officeDocument/2006/relationships/hyperlink" Target="#Contents!Print_Area"/><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6.xml.rels><?xml version="1.0" encoding="UTF-8" standalone="yes"?>
<Relationships xmlns="http://schemas.openxmlformats.org/package/2006/relationships"><Relationship Id="rId2" Type="http://schemas.openxmlformats.org/officeDocument/2006/relationships/hyperlink" Target="#Contents!Print_Area"/><Relationship Id="rId1" Type="http://schemas.openxmlformats.org/officeDocument/2006/relationships/image" Target="../media/image9.png"/></Relationships>
</file>

<file path=xl/drawings/_rels/drawing17.xml.rels><?xml version="1.0" encoding="UTF-8" standalone="yes"?>
<Relationships xmlns="http://schemas.openxmlformats.org/package/2006/relationships"><Relationship Id="rId1" Type="http://schemas.openxmlformats.org/officeDocument/2006/relationships/hyperlink" Target="#Contents!Print_Area"/></Relationships>
</file>

<file path=xl/drawings/drawing1.xml><?xml version="1.0" encoding="utf-8"?>
<xdr:wsDr xmlns:xdr="http://schemas.openxmlformats.org/drawingml/2006/spreadsheetDrawing" xmlns:a="http://schemas.openxmlformats.org/drawingml/2006/main">
  <xdr:twoCellAnchor>
    <xdr:from>
      <xdr:col>3</xdr:col>
      <xdr:colOff>0</xdr:colOff>
      <xdr:row>29</xdr:row>
      <xdr:rowOff>0</xdr:rowOff>
    </xdr:from>
    <xdr:to>
      <xdr:col>4</xdr:col>
      <xdr:colOff>9525</xdr:colOff>
      <xdr:row>30</xdr:row>
      <xdr:rowOff>78160</xdr:rowOff>
    </xdr:to>
    <xdr:sp macro="" textlink="">
      <xdr:nvSpPr>
        <xdr:cNvPr id="2" name="Rounded Rectangle 1">
          <a:hlinkClick xmlns:r="http://schemas.openxmlformats.org/officeDocument/2006/relationships" r:id="rId1"/>
        </xdr:cNvPr>
        <xdr:cNvSpPr/>
      </xdr:nvSpPr>
      <xdr:spPr>
        <a:xfrm>
          <a:off x="2886075" y="4010025"/>
          <a:ext cx="1466850" cy="25913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twoCellAnchor editAs="oneCell">
    <xdr:from>
      <xdr:col>0</xdr:col>
      <xdr:colOff>0</xdr:colOff>
      <xdr:row>0</xdr:row>
      <xdr:rowOff>0</xdr:rowOff>
    </xdr:from>
    <xdr:to>
      <xdr:col>2</xdr:col>
      <xdr:colOff>952500</xdr:colOff>
      <xdr:row>3</xdr:row>
      <xdr:rowOff>14288</xdr:rowOff>
    </xdr:to>
    <xdr:pic>
      <xdr:nvPicPr>
        <xdr:cNvPr id="4" name="Picture 3" descr="image of the Ofgem logo" title="Ofgem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95588" cy="528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-1</xdr:rowOff>
    </xdr:from>
    <xdr:to>
      <xdr:col>3</xdr:col>
      <xdr:colOff>1224643</xdr:colOff>
      <xdr:row>2</xdr:row>
      <xdr:rowOff>136071</xdr:rowOff>
    </xdr:to>
    <xdr:sp macro="" textlink="">
      <xdr:nvSpPr>
        <xdr:cNvPr id="2" name="Rounded Rectangle 1">
          <a:hlinkClick xmlns:r="http://schemas.openxmlformats.org/officeDocument/2006/relationships" r:id="rId1"/>
        </xdr:cNvPr>
        <xdr:cNvSpPr/>
      </xdr:nvSpPr>
      <xdr:spPr>
        <a:xfrm>
          <a:off x="5114925" y="190499"/>
          <a:ext cx="1224643"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510268</xdr:colOff>
      <xdr:row>2</xdr:row>
      <xdr:rowOff>164647</xdr:rowOff>
    </xdr:to>
    <xdr:sp macro="" textlink="">
      <xdr:nvSpPr>
        <xdr:cNvPr id="2" name="Rounded Rectangle 1">
          <a:hlinkClick xmlns:r="http://schemas.openxmlformats.org/officeDocument/2006/relationships" r:id="rId1"/>
        </xdr:cNvPr>
        <xdr:cNvSpPr/>
      </xdr:nvSpPr>
      <xdr:spPr>
        <a:xfrm>
          <a:off x="4191000" y="228600"/>
          <a:ext cx="1224643" cy="39324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1224643</xdr:colOff>
      <xdr:row>2</xdr:row>
      <xdr:rowOff>136072</xdr:rowOff>
    </xdr:to>
    <xdr:sp macro="" textlink="">
      <xdr:nvSpPr>
        <xdr:cNvPr id="2" name="Rounded Rectangle 1">
          <a:hlinkClick xmlns:r="http://schemas.openxmlformats.org/officeDocument/2006/relationships" r:id="rId1"/>
        </xdr:cNvPr>
        <xdr:cNvSpPr/>
      </xdr:nvSpPr>
      <xdr:spPr>
        <a:xfrm>
          <a:off x="3019425" y="257175"/>
          <a:ext cx="1224643" cy="39324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7</xdr:col>
      <xdr:colOff>476250</xdr:colOff>
      <xdr:row>1</xdr:row>
      <xdr:rowOff>326572</xdr:rowOff>
    </xdr:to>
    <xdr:sp macro="" textlink="">
      <xdr:nvSpPr>
        <xdr:cNvPr id="2" name="Rounded Rectangle 1">
          <a:hlinkClick xmlns:r="http://schemas.openxmlformats.org/officeDocument/2006/relationships" r:id="rId1"/>
        </xdr:cNvPr>
        <xdr:cNvSpPr/>
      </xdr:nvSpPr>
      <xdr:spPr>
        <a:xfrm>
          <a:off x="7946571" y="340179"/>
          <a:ext cx="1224643"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473849</xdr:colOff>
      <xdr:row>1</xdr:row>
      <xdr:rowOff>326572</xdr:rowOff>
    </xdr:to>
    <xdr:sp macro="" textlink="">
      <xdr:nvSpPr>
        <xdr:cNvPr id="2" name="Rounded Rectangle 1">
          <a:hlinkClick xmlns:r="http://schemas.openxmlformats.org/officeDocument/2006/relationships" r:id="rId1"/>
        </xdr:cNvPr>
        <xdr:cNvSpPr/>
      </xdr:nvSpPr>
      <xdr:spPr>
        <a:xfrm>
          <a:off x="6566647" y="336176"/>
          <a:ext cx="1224643"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1182</xdr:colOff>
      <xdr:row>0</xdr:row>
      <xdr:rowOff>31750</xdr:rowOff>
    </xdr:from>
    <xdr:to>
      <xdr:col>4</xdr:col>
      <xdr:colOff>44302</xdr:colOff>
      <xdr:row>1</xdr:row>
      <xdr:rowOff>22151</xdr:rowOff>
    </xdr:to>
    <xdr:sp macro="" textlink="">
      <xdr:nvSpPr>
        <xdr:cNvPr id="2" name="Rounded Rectangle 1">
          <a:hlinkClick xmlns:r="http://schemas.openxmlformats.org/officeDocument/2006/relationships" r:id="rId1"/>
        </xdr:cNvPr>
        <xdr:cNvSpPr/>
      </xdr:nvSpPr>
      <xdr:spPr>
        <a:xfrm>
          <a:off x="6468657" y="31750"/>
          <a:ext cx="1424245" cy="18090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263120</xdr:colOff>
      <xdr:row>0</xdr:row>
      <xdr:rowOff>246062</xdr:rowOff>
    </xdr:from>
    <xdr:to>
      <xdr:col>5</xdr:col>
      <xdr:colOff>199084</xdr:colOff>
      <xdr:row>1</xdr:row>
      <xdr:rowOff>236463</xdr:rowOff>
    </xdr:to>
    <xdr:sp macro="" textlink="">
      <xdr:nvSpPr>
        <xdr:cNvPr id="2" name="Rounded Rectangle 1">
          <a:hlinkClick xmlns:r="http://schemas.openxmlformats.org/officeDocument/2006/relationships" r:id="rId1"/>
        </xdr:cNvPr>
        <xdr:cNvSpPr/>
      </xdr:nvSpPr>
      <xdr:spPr>
        <a:xfrm>
          <a:off x="7156839" y="246062"/>
          <a:ext cx="1364714"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33337</xdr:colOff>
      <xdr:row>43</xdr:row>
      <xdr:rowOff>19050</xdr:rowOff>
    </xdr:from>
    <xdr:ext cx="962025" cy="519113"/>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1037" y="7800975"/>
          <a:ext cx="962025"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3</xdr:row>
          <xdr:rowOff>176213</xdr:rowOff>
        </xdr:from>
        <xdr:to>
          <xdr:col>3</xdr:col>
          <xdr:colOff>0</xdr:colOff>
          <xdr:row>4</xdr:row>
          <xdr:rowOff>200025</xdr:rowOff>
        </xdr:to>
        <xdr:sp macro="" textlink="">
          <xdr:nvSpPr>
            <xdr:cNvPr id="14338" name="Drop Dow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200025</xdr:rowOff>
        </xdr:from>
        <xdr:to>
          <xdr:col>3</xdr:col>
          <xdr:colOff>0</xdr:colOff>
          <xdr:row>5</xdr:row>
          <xdr:rowOff>190500</xdr:rowOff>
        </xdr:to>
        <xdr:sp macro="" textlink="">
          <xdr:nvSpPr>
            <xdr:cNvPr id="14339" name="Drop Dow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0</xdr:colOff>
      <xdr:row>70</xdr:row>
      <xdr:rowOff>0</xdr:rowOff>
    </xdr:from>
    <xdr:ext cx="1266825" cy="514350"/>
    <xdr:pic>
      <xdr:nvPicPr>
        <xdr:cNvPr id="5" name="Pictur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2668250"/>
          <a:ext cx="1266825" cy="514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52</xdr:row>
      <xdr:rowOff>0</xdr:rowOff>
    </xdr:from>
    <xdr:ext cx="1857375" cy="447675"/>
    <xdr:pic>
      <xdr:nvPicPr>
        <xdr:cNvPr id="6" name="Picture 5"/>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9410700"/>
          <a:ext cx="1857375"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3476625" cy="590550"/>
    <xdr:pic>
      <xdr:nvPicPr>
        <xdr:cNvPr id="7" name="Picture 6"/>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9591675"/>
          <a:ext cx="34766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1857375" cy="447676"/>
    <xdr:pic>
      <xdr:nvPicPr>
        <xdr:cNvPr id="8" name="Picture 7"/>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0315575"/>
          <a:ext cx="1857375" cy="4476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58</xdr:row>
      <xdr:rowOff>0</xdr:rowOff>
    </xdr:from>
    <xdr:ext cx="3629025" cy="590550"/>
    <xdr:pic>
      <xdr:nvPicPr>
        <xdr:cNvPr id="9" name="Picture 8"/>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0496550"/>
          <a:ext cx="36290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71</xdr:row>
      <xdr:rowOff>0</xdr:rowOff>
    </xdr:from>
    <xdr:ext cx="2419350" cy="519113"/>
    <xdr:pic>
      <xdr:nvPicPr>
        <xdr:cNvPr id="10" name="Picture 9"/>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2849225"/>
          <a:ext cx="2419350"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496482</xdr:colOff>
      <xdr:row>0</xdr:row>
      <xdr:rowOff>246062</xdr:rowOff>
    </xdr:from>
    <xdr:to>
      <xdr:col>12</xdr:col>
      <xdr:colOff>158601</xdr:colOff>
      <xdr:row>1</xdr:row>
      <xdr:rowOff>236463</xdr:rowOff>
    </xdr:to>
    <xdr:sp macro="" textlink="">
      <xdr:nvSpPr>
        <xdr:cNvPr id="11" name="Rounded Rectangle 10">
          <a:hlinkClick xmlns:r="http://schemas.openxmlformats.org/officeDocument/2006/relationships" r:id="rId8"/>
        </xdr:cNvPr>
        <xdr:cNvSpPr/>
      </xdr:nvSpPr>
      <xdr:spPr>
        <a:xfrm>
          <a:off x="5678082" y="179387"/>
          <a:ext cx="2252919" cy="18090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257175</xdr:colOff>
      <xdr:row>15</xdr:row>
      <xdr:rowOff>85725</xdr:rowOff>
    </xdr:from>
    <xdr:to>
      <xdr:col>6</xdr:col>
      <xdr:colOff>542925</xdr:colOff>
      <xdr:row>31</xdr:row>
      <xdr:rowOff>123825</xdr:rowOff>
    </xdr:to>
    <xdr:sp macro="" textlink="">
      <xdr:nvSpPr>
        <xdr:cNvPr id="2" name="Freeform 1"/>
        <xdr:cNvSpPr/>
      </xdr:nvSpPr>
      <xdr:spPr>
        <a:xfrm>
          <a:off x="3495675" y="2800350"/>
          <a:ext cx="933450" cy="2933700"/>
        </a:xfrm>
        <a:custGeom>
          <a:avLst/>
          <a:gdLst>
            <a:gd name="connsiteX0" fmla="*/ 0 w 895350"/>
            <a:gd name="connsiteY0" fmla="*/ 1371600 h 1371600"/>
            <a:gd name="connsiteX1" fmla="*/ 533400 w 895350"/>
            <a:gd name="connsiteY1" fmla="*/ 1371600 h 1371600"/>
            <a:gd name="connsiteX2" fmla="*/ 542925 w 895350"/>
            <a:gd name="connsiteY2" fmla="*/ 0 h 1371600"/>
            <a:gd name="connsiteX3" fmla="*/ 895350 w 895350"/>
            <a:gd name="connsiteY3" fmla="*/ 0 h 1371600"/>
            <a:gd name="connsiteX4" fmla="*/ 895350 w 895350"/>
            <a:gd name="connsiteY4" fmla="*/ 0 h 1371600"/>
            <a:gd name="connsiteX5" fmla="*/ 895350 w 895350"/>
            <a:gd name="connsiteY5" fmla="*/ 0 h 137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95350" h="1371600">
              <a:moveTo>
                <a:pt x="0" y="1371600"/>
              </a:moveTo>
              <a:lnTo>
                <a:pt x="533400" y="1371600"/>
              </a:lnTo>
              <a:lnTo>
                <a:pt x="542925" y="0"/>
              </a:lnTo>
              <a:lnTo>
                <a:pt x="895350" y="0"/>
              </a:lnTo>
              <a:lnTo>
                <a:pt x="895350" y="0"/>
              </a:lnTo>
              <a:lnTo>
                <a:pt x="895350" y="0"/>
              </a:lnTo>
            </a:path>
          </a:pathLst>
        </a:custGeom>
        <a:noFill/>
        <a:ln w="9525">
          <a:solidFill>
            <a:schemeClr val="accent4"/>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4</xdr:col>
      <xdr:colOff>38102</xdr:colOff>
      <xdr:row>19</xdr:row>
      <xdr:rowOff>76200</xdr:rowOff>
    </xdr:from>
    <xdr:ext cx="2847641" cy="461900"/>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28902" y="3514725"/>
          <a:ext cx="2847641" cy="461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6</xdr:row>
          <xdr:rowOff>9525</xdr:rowOff>
        </xdr:from>
        <xdr:to>
          <xdr:col>4</xdr:col>
          <xdr:colOff>0</xdr:colOff>
          <xdr:row>7</xdr:row>
          <xdr:rowOff>0</xdr:rowOff>
        </xdr:to>
        <xdr:sp macro="" textlink="">
          <xdr:nvSpPr>
            <xdr:cNvPr id="15362" name="Drop Down 2" hidden="1">
              <a:extLst>
                <a:ext uri="{63B3BB69-23CF-44E3-9099-C40C66FF867C}">
                  <a14:compatExt spid="_x0000_s15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1972857</xdr:colOff>
      <xdr:row>1</xdr:row>
      <xdr:rowOff>55562</xdr:rowOff>
    </xdr:from>
    <xdr:to>
      <xdr:col>6</xdr:col>
      <xdr:colOff>172890</xdr:colOff>
      <xdr:row>2</xdr:row>
      <xdr:rowOff>45964</xdr:rowOff>
    </xdr:to>
    <xdr:sp macro="" textlink="">
      <xdr:nvSpPr>
        <xdr:cNvPr id="5" name="Rounded Rectangle 4">
          <a:hlinkClick xmlns:r="http://schemas.openxmlformats.org/officeDocument/2006/relationships" r:id="rId2"/>
        </xdr:cNvPr>
        <xdr:cNvSpPr/>
      </xdr:nvSpPr>
      <xdr:spPr>
        <a:xfrm>
          <a:off x="5578070" y="317500"/>
          <a:ext cx="1390908"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1</xdr:row>
      <xdr:rowOff>0</xdr:rowOff>
    </xdr:from>
    <xdr:to>
      <xdr:col>7</xdr:col>
      <xdr:colOff>476250</xdr:colOff>
      <xdr:row>1</xdr:row>
      <xdr:rowOff>326572</xdr:rowOff>
    </xdr:to>
    <xdr:sp macro="" textlink="">
      <xdr:nvSpPr>
        <xdr:cNvPr id="2" name="Rounded Rectangle 1">
          <a:hlinkClick xmlns:r="http://schemas.openxmlformats.org/officeDocument/2006/relationships" r:id="rId1"/>
        </xdr:cNvPr>
        <xdr:cNvSpPr/>
      </xdr:nvSpPr>
      <xdr:spPr>
        <a:xfrm>
          <a:off x="7962900" y="333375"/>
          <a:ext cx="1228725"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473849</xdr:colOff>
      <xdr:row>1</xdr:row>
      <xdr:rowOff>326572</xdr:rowOff>
    </xdr:to>
    <xdr:sp macro="" textlink="">
      <xdr:nvSpPr>
        <xdr:cNvPr id="2" name="Rounded Rectangle 1">
          <a:hlinkClick xmlns:r="http://schemas.openxmlformats.org/officeDocument/2006/relationships" r:id="rId1"/>
        </xdr:cNvPr>
        <xdr:cNvSpPr/>
      </xdr:nvSpPr>
      <xdr:spPr>
        <a:xfrm>
          <a:off x="7200900" y="333375"/>
          <a:ext cx="1226324"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1182</xdr:colOff>
      <xdr:row>0</xdr:row>
      <xdr:rowOff>31750</xdr:rowOff>
    </xdr:from>
    <xdr:to>
      <xdr:col>4</xdr:col>
      <xdr:colOff>44302</xdr:colOff>
      <xdr:row>1</xdr:row>
      <xdr:rowOff>22151</xdr:rowOff>
    </xdr:to>
    <xdr:sp macro="" textlink="">
      <xdr:nvSpPr>
        <xdr:cNvPr id="2" name="Rounded Rectangle 1">
          <a:hlinkClick xmlns:r="http://schemas.openxmlformats.org/officeDocument/2006/relationships" r:id="rId1"/>
        </xdr:cNvPr>
        <xdr:cNvSpPr/>
      </xdr:nvSpPr>
      <xdr:spPr>
        <a:xfrm>
          <a:off x="6230532" y="31750"/>
          <a:ext cx="1424245" cy="24757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263120</xdr:colOff>
      <xdr:row>0</xdr:row>
      <xdr:rowOff>246062</xdr:rowOff>
    </xdr:from>
    <xdr:to>
      <xdr:col>5</xdr:col>
      <xdr:colOff>199084</xdr:colOff>
      <xdr:row>1</xdr:row>
      <xdr:rowOff>236463</xdr:rowOff>
    </xdr:to>
    <xdr:sp macro="" textlink="">
      <xdr:nvSpPr>
        <xdr:cNvPr id="2" name="Rounded Rectangle 1">
          <a:hlinkClick xmlns:r="http://schemas.openxmlformats.org/officeDocument/2006/relationships" r:id="rId1"/>
        </xdr:cNvPr>
        <xdr:cNvSpPr/>
      </xdr:nvSpPr>
      <xdr:spPr>
        <a:xfrm>
          <a:off x="7349720" y="246062"/>
          <a:ext cx="1364714" cy="2380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33337</xdr:colOff>
      <xdr:row>43</xdr:row>
      <xdr:rowOff>19050</xdr:rowOff>
    </xdr:from>
    <xdr:ext cx="962025" cy="519113"/>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7650" y="7600950"/>
          <a:ext cx="962025"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3</xdr:row>
          <xdr:rowOff>176213</xdr:rowOff>
        </xdr:from>
        <xdr:to>
          <xdr:col>3</xdr:col>
          <xdr:colOff>0</xdr:colOff>
          <xdr:row>4</xdr:row>
          <xdr:rowOff>200025</xdr:rowOff>
        </xdr:to>
        <xdr:sp macro="" textlink="">
          <xdr:nvSpPr>
            <xdr:cNvPr id="22529" name="Drop Down 1" hidden="1">
              <a:extLst>
                <a:ext uri="{63B3BB69-23CF-44E3-9099-C40C66FF867C}">
                  <a14:compatExt spid="_x0000_s2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200025</xdr:rowOff>
        </xdr:from>
        <xdr:to>
          <xdr:col>3</xdr:col>
          <xdr:colOff>0</xdr:colOff>
          <xdr:row>5</xdr:row>
          <xdr:rowOff>190500</xdr:rowOff>
        </xdr:to>
        <xdr:sp macro="" textlink="">
          <xdr:nvSpPr>
            <xdr:cNvPr id="22530" name="Drop Down 2" hidden="1">
              <a:extLst>
                <a:ext uri="{63B3BB69-23CF-44E3-9099-C40C66FF867C}">
                  <a14:compatExt spid="_x0000_s2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0</xdr:colOff>
      <xdr:row>70</xdr:row>
      <xdr:rowOff>0</xdr:rowOff>
    </xdr:from>
    <xdr:ext cx="1266825" cy="514350"/>
    <xdr:pic>
      <xdr:nvPicPr>
        <xdr:cNvPr id="5" name="Pictur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4673263"/>
          <a:ext cx="1266825" cy="514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52</xdr:row>
      <xdr:rowOff>0</xdr:rowOff>
    </xdr:from>
    <xdr:ext cx="1857375" cy="447675"/>
    <xdr:pic>
      <xdr:nvPicPr>
        <xdr:cNvPr id="6" name="Picture 5"/>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9658350"/>
          <a:ext cx="1857375"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3476625" cy="590550"/>
    <xdr:pic>
      <xdr:nvPicPr>
        <xdr:cNvPr id="7" name="Picture 6"/>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0120313"/>
          <a:ext cx="34766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1857375" cy="447676"/>
    <xdr:pic>
      <xdr:nvPicPr>
        <xdr:cNvPr id="8" name="Picture 7"/>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1363325"/>
          <a:ext cx="1857375" cy="4476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58</xdr:row>
      <xdr:rowOff>0</xdr:rowOff>
    </xdr:from>
    <xdr:ext cx="3629025" cy="590550"/>
    <xdr:pic>
      <xdr:nvPicPr>
        <xdr:cNvPr id="9" name="Picture 8"/>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1806238"/>
          <a:ext cx="36290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71</xdr:row>
      <xdr:rowOff>0</xdr:rowOff>
    </xdr:from>
    <xdr:ext cx="2419350" cy="519113"/>
    <xdr:pic>
      <xdr:nvPicPr>
        <xdr:cNvPr id="10" name="Picture 9"/>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5216188"/>
          <a:ext cx="2419350"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496482</xdr:colOff>
      <xdr:row>0</xdr:row>
      <xdr:rowOff>246062</xdr:rowOff>
    </xdr:from>
    <xdr:to>
      <xdr:col>12</xdr:col>
      <xdr:colOff>158601</xdr:colOff>
      <xdr:row>1</xdr:row>
      <xdr:rowOff>236463</xdr:rowOff>
    </xdr:to>
    <xdr:sp macro="" textlink="">
      <xdr:nvSpPr>
        <xdr:cNvPr id="11" name="Rounded Rectangle 10">
          <a:hlinkClick xmlns:r="http://schemas.openxmlformats.org/officeDocument/2006/relationships" r:id="rId8"/>
        </xdr:cNvPr>
        <xdr:cNvSpPr/>
      </xdr:nvSpPr>
      <xdr:spPr>
        <a:xfrm>
          <a:off x="7678332" y="246062"/>
          <a:ext cx="2267207"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257175</xdr:colOff>
      <xdr:row>15</xdr:row>
      <xdr:rowOff>85725</xdr:rowOff>
    </xdr:from>
    <xdr:to>
      <xdr:col>6</xdr:col>
      <xdr:colOff>542925</xdr:colOff>
      <xdr:row>31</xdr:row>
      <xdr:rowOff>123825</xdr:rowOff>
    </xdr:to>
    <xdr:sp macro="" textlink="">
      <xdr:nvSpPr>
        <xdr:cNvPr id="2" name="Freeform 1"/>
        <xdr:cNvSpPr/>
      </xdr:nvSpPr>
      <xdr:spPr>
        <a:xfrm>
          <a:off x="6405563" y="2976563"/>
          <a:ext cx="933450" cy="2957512"/>
        </a:xfrm>
        <a:custGeom>
          <a:avLst/>
          <a:gdLst>
            <a:gd name="connsiteX0" fmla="*/ 0 w 895350"/>
            <a:gd name="connsiteY0" fmla="*/ 1371600 h 1371600"/>
            <a:gd name="connsiteX1" fmla="*/ 533400 w 895350"/>
            <a:gd name="connsiteY1" fmla="*/ 1371600 h 1371600"/>
            <a:gd name="connsiteX2" fmla="*/ 542925 w 895350"/>
            <a:gd name="connsiteY2" fmla="*/ 0 h 1371600"/>
            <a:gd name="connsiteX3" fmla="*/ 895350 w 895350"/>
            <a:gd name="connsiteY3" fmla="*/ 0 h 1371600"/>
            <a:gd name="connsiteX4" fmla="*/ 895350 w 895350"/>
            <a:gd name="connsiteY4" fmla="*/ 0 h 1371600"/>
            <a:gd name="connsiteX5" fmla="*/ 895350 w 895350"/>
            <a:gd name="connsiteY5" fmla="*/ 0 h 137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95350" h="1371600">
              <a:moveTo>
                <a:pt x="0" y="1371600"/>
              </a:moveTo>
              <a:lnTo>
                <a:pt x="533400" y="1371600"/>
              </a:lnTo>
              <a:lnTo>
                <a:pt x="542925" y="0"/>
              </a:lnTo>
              <a:lnTo>
                <a:pt x="895350" y="0"/>
              </a:lnTo>
              <a:lnTo>
                <a:pt x="895350" y="0"/>
              </a:lnTo>
              <a:lnTo>
                <a:pt x="895350" y="0"/>
              </a:lnTo>
            </a:path>
          </a:pathLst>
        </a:custGeom>
        <a:noFill/>
        <a:ln w="9525">
          <a:solidFill>
            <a:schemeClr val="accent4"/>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4</xdr:col>
      <xdr:colOff>38102</xdr:colOff>
      <xdr:row>19</xdr:row>
      <xdr:rowOff>76200</xdr:rowOff>
    </xdr:from>
    <xdr:ext cx="2847641" cy="461900"/>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43315" y="3695700"/>
          <a:ext cx="2847641" cy="461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6</xdr:row>
          <xdr:rowOff>9525</xdr:rowOff>
        </xdr:from>
        <xdr:to>
          <xdr:col>4</xdr:col>
          <xdr:colOff>0</xdr:colOff>
          <xdr:row>7</xdr:row>
          <xdr:rowOff>0</xdr:rowOff>
        </xdr:to>
        <xdr:sp macro="" textlink="">
          <xdr:nvSpPr>
            <xdr:cNvPr id="23553" name="Drop Down 1" hidden="1">
              <a:extLst>
                <a:ext uri="{63B3BB69-23CF-44E3-9099-C40C66FF867C}">
                  <a14:compatExt spid="_x0000_s23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2387194</xdr:colOff>
      <xdr:row>1</xdr:row>
      <xdr:rowOff>17462</xdr:rowOff>
    </xdr:from>
    <xdr:to>
      <xdr:col>6</xdr:col>
      <xdr:colOff>587227</xdr:colOff>
      <xdr:row>2</xdr:row>
      <xdr:rowOff>7864</xdr:rowOff>
    </xdr:to>
    <xdr:sp macro="" textlink="">
      <xdr:nvSpPr>
        <xdr:cNvPr id="5" name="Rounded Rectangle 4">
          <a:hlinkClick xmlns:r="http://schemas.openxmlformats.org/officeDocument/2006/relationships" r:id="rId2"/>
        </xdr:cNvPr>
        <xdr:cNvSpPr/>
      </xdr:nvSpPr>
      <xdr:spPr>
        <a:xfrm>
          <a:off x="5992407" y="279400"/>
          <a:ext cx="1390908"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1</xdr:row>
      <xdr:rowOff>0</xdr:rowOff>
    </xdr:from>
    <xdr:to>
      <xdr:col>5</xdr:col>
      <xdr:colOff>205045</xdr:colOff>
      <xdr:row>1</xdr:row>
      <xdr:rowOff>247576</xdr:rowOff>
    </xdr:to>
    <xdr:sp macro="" textlink="">
      <xdr:nvSpPr>
        <xdr:cNvPr id="2" name="Rounded Rectangle 1">
          <a:hlinkClick xmlns:r="http://schemas.openxmlformats.org/officeDocument/2006/relationships" r:id="rId1"/>
        </xdr:cNvPr>
        <xdr:cNvSpPr/>
      </xdr:nvSpPr>
      <xdr:spPr>
        <a:xfrm>
          <a:off x="4848225" y="247650"/>
          <a:ext cx="1424245" cy="24757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Networks/Transmission/Transmission_Price_Controls_Lib/Regulatory_Reporting/RRP_2008/RRP_Guidelines_Forms/Transmission%20PCRRP%20tables_SHETL_2007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fgem.gov.uk/Networks/ElecDistrib/Elec_Distrib_Lib/Technical%20Team/Cost%20Reporting/Master_0607_RRP_v2%20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ofgem.gov.uk/Networks/ElecDistrib/Elec_Distrib_Lib/Regulatory_Reporting/Cost_Reporting_/Models_and_Spreadsheets/2006-07RAV/CE-NEDL_0607_RRP_RA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daveyb\HLFBPQ%20draft%20Dec%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ofgem.gov.uk/ofgem-publications/42760/Temporary%20Internet%20Files/Content.Outlook/J1KM8FQI/Financial_Issues_RIGs_ED1_BPDT_pac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ofgem.gov.uk/Networks/CO/Cost_and_Outputs_Lib/ED/DR5%20RIGs/Post%20Stat%20Con%20March%202012%20Working%20Folder/Financial_Issues_Reporting_Pac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ofgem.gov.uk/Networks/ElecDistrib/Elec_Distrib_Lib/Regulatory_Reporting/Cost_Reporting_/Cost_Reporting_Rules/Rules%202007-08%20development/Master%20RRP%200708%20v7-1-PR%20(inc%20LPN%20test%20data)%20format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ofgem.gov.uk/Networks/GasDistrib/Gas_Distrib_Lib/Cost%20Reporting/Comparability/GDN%20cost%20Packs/Cost%20Packs%20sent/2008-09/Southern%20GDPCR%20RRP%202008-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ofgem.gov.uk/Networks/ElecDistrib/DPCR5_Lib/Financial_issues/Financial%20Modelling/DPCR4%20model%20analysis/DPCR4%20Final%20Licence%20Mod%20Model%20reworked%20v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1.8 Cash Flow"/>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3.1s Pensions Scots"/>
      <sheetName val="3.2 Net Debt"/>
      <sheetName val="3.3 Tax"/>
      <sheetName val="3.4 Fixed Asset Disposals"/>
      <sheetName val="4.1  System Info"/>
      <sheetName val="4.2  Activity indicators"/>
      <sheetName val="4.3  System performance"/>
      <sheetName val="4.4  Defects SHETL"/>
      <sheetName val="4.5  Faults"/>
      <sheetName val="4.6  Failures SHETL"/>
      <sheetName val="4.7B Condition Assessment SHETL"/>
      <sheetName val="4.8  Boundary Transfers"/>
      <sheetName val="4.9  Demand &amp; Supply at subs"/>
      <sheetName val="4.10 Reactive compensation"/>
      <sheetName val="4.11 Asset description SHETL"/>
      <sheetName val="4.12 Asset age 2007"/>
      <sheetName val="4.12 Asset age 2008"/>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 Capex Price Vol Var"/>
    </sheetNames>
    <sheetDataSet>
      <sheetData sheetId="0"/>
      <sheetData sheetId="1"/>
      <sheetData sheetId="2" refreshError="1">
        <row r="8">
          <cell r="C8" t="str">
            <v>Scottish Hydro Electric Transmission Ltd</v>
          </cell>
        </row>
        <row r="9">
          <cell r="C9" t="str">
            <v>SHETL</v>
          </cell>
        </row>
        <row r="20">
          <cell r="C20" t="str">
            <v>2006/07</v>
          </cell>
        </row>
        <row r="21">
          <cell r="C21" t="str">
            <v>2007/08</v>
          </cell>
        </row>
        <row r="22">
          <cell r="C22" t="str">
            <v>2008/09</v>
          </cell>
        </row>
        <row r="26">
          <cell r="C26" t="str">
            <v>2012/13</v>
          </cell>
        </row>
        <row r="29">
          <cell r="C29">
            <v>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Dis HV Circuit Data excl 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Universal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Contents"/>
      <sheetName val="Summary for publishing"/>
      <sheetName val="Totals"/>
      <sheetName val="T1 - Summary"/>
      <sheetName val="T1A - Network costs summary"/>
      <sheetName val="T2 - Total Network Costs"/>
      <sheetName val="T2A - T2 including indirects"/>
      <sheetName val="T3 - Total Business Costs"/>
      <sheetName val="T4 - Volume Summary"/>
      <sheetName val="T5 - Major schemes"/>
      <sheetName val="Finance"/>
      <sheetName val="F1 - Metrics"/>
      <sheetName val="F2 - P&amp;L"/>
      <sheetName val="F3 - Bal Sht"/>
      <sheetName val="F4 - Debt"/>
      <sheetName val="F5 - Cashflow"/>
      <sheetName val="F6 - Revenue"/>
      <sheetName val="F7 - Pension Data"/>
      <sheetName val="F8 - Tax allocations"/>
      <sheetName val="F8a - Tax adds"/>
      <sheetName val="F9 - Tax pools"/>
      <sheetName val="F10 - Tax comp"/>
      <sheetName val="F11 - RP Tax pools"/>
      <sheetName val="F12 - Disclaimed allowances"/>
      <sheetName val="F13 - RAV adjustments"/>
      <sheetName val="F14 - DPCR4 RAV"/>
      <sheetName val="Business Costs"/>
      <sheetName val="BC1 - Labour"/>
      <sheetName val="BC2 - Pensions"/>
      <sheetName val="BC3 - Contractors"/>
      <sheetName val="BC4 - Materials"/>
      <sheetName val="BC5 - Margins"/>
      <sheetName val="BC6 - Cost Recoveries"/>
      <sheetName val="BC7 - Other"/>
      <sheetName val="BC8 - Adjustments"/>
      <sheetName val="Cash atypicals"/>
      <sheetName val="AT1 - Cash atypicals"/>
      <sheetName val="Load Related"/>
      <sheetName val="LR1 - Demand"/>
      <sheetName val="LR2 - Generation"/>
      <sheetName val="LR3 - Diversions"/>
      <sheetName val="LR4 - General reinforcement"/>
      <sheetName val="LR5 - System utilisation"/>
      <sheetName val="LR6 - Fault levels"/>
      <sheetName val="LR7 - DNO discretionary"/>
      <sheetName val="LR8 - LRE Volume"/>
      <sheetName val="Non Load"/>
      <sheetName val="NL1 - Condition based exp"/>
      <sheetName val="NL1a - NL1 Including Indirect"/>
      <sheetName val="NL2 - Condition based QoS"/>
      <sheetName val="NL3 - Condition based vol"/>
      <sheetName val="NL3a - Non-load other vol"/>
      <sheetName val="NL4 - Remaining useful life"/>
      <sheetName val="NL5 - QoS (DNO IIS)"/>
      <sheetName val="NL5a - QoS (Ofgem IIS)"/>
      <sheetName val="NL6 - QoS (Non IIS)"/>
      <sheetName val="NL7 - Major Sys Risks "/>
      <sheetName val="NL8 - Operatnl IT &amp; Telecoms"/>
      <sheetName val="NL9 - Legal &amp; Safety"/>
      <sheetName val="NL10 - Environmental"/>
      <sheetName val="NL11 - Losses"/>
      <sheetName val="Network Operating Costs"/>
      <sheetName val="NOC1 - I&amp;M"/>
      <sheetName val="NOC1a - I&amp;M by Cost Type"/>
      <sheetName val="NOC2 - Fault Costs"/>
      <sheetName val="NOC2a Faults by Cost Type"/>
      <sheetName val="NOC2b Non QofS by Cost Type"/>
      <sheetName val="NOC3 - Tree cutting"/>
      <sheetName val="NOC3a Tree Cutting by Cost Type"/>
      <sheetName val="NOC4 - Other Network costs"/>
      <sheetName val="NOC5 - TMA"/>
      <sheetName val="Costs"/>
      <sheetName val="C1 - Cost increase"/>
      <sheetName val="C2 - Unit Costs"/>
      <sheetName val="C3 - Unit Fault Costs"/>
      <sheetName val="C4 - Workforce Renewal"/>
      <sheetName val="Reconciliation"/>
      <sheetName val="RR1 T2-RRP"/>
      <sheetName val="Other"/>
      <sheetName val="OC1 - Pass Through and Other"/>
      <sheetName val="OC2 - IT Systems Overview"/>
      <sheetName val="OC3 - Non-Operational Property"/>
      <sheetName val="4.3 Network Analysis Load"/>
    </sheetNames>
    <sheetDataSet>
      <sheetData sheetId="0" refreshError="1">
        <row r="33">
          <cell r="B33">
            <v>1</v>
          </cell>
          <cell r="C33" t="str">
            <v>CN West</v>
          </cell>
        </row>
        <row r="34">
          <cell r="B34">
            <v>2</v>
          </cell>
          <cell r="C34" t="str">
            <v>CN East</v>
          </cell>
        </row>
        <row r="35">
          <cell r="B35">
            <v>3</v>
          </cell>
          <cell r="C35" t="str">
            <v>ENW</v>
          </cell>
        </row>
        <row r="36">
          <cell r="B36">
            <v>4</v>
          </cell>
          <cell r="C36" t="str">
            <v>CE NEDL</v>
          </cell>
        </row>
        <row r="37">
          <cell r="B37">
            <v>5</v>
          </cell>
          <cell r="C37" t="str">
            <v>CE YEDL</v>
          </cell>
        </row>
        <row r="38">
          <cell r="B38">
            <v>6</v>
          </cell>
          <cell r="C38" t="str">
            <v>WPD SWales</v>
          </cell>
        </row>
        <row r="39">
          <cell r="B39">
            <v>7</v>
          </cell>
          <cell r="C39" t="str">
            <v>WPD SWest</v>
          </cell>
        </row>
        <row r="40">
          <cell r="B40">
            <v>8</v>
          </cell>
          <cell r="C40" t="str">
            <v>EDFE LPN</v>
          </cell>
        </row>
        <row r="41">
          <cell r="B41">
            <v>9</v>
          </cell>
          <cell r="C41" t="str">
            <v>EDFE SPN</v>
          </cell>
        </row>
        <row r="42">
          <cell r="B42">
            <v>10</v>
          </cell>
          <cell r="C42" t="str">
            <v>EDFE EPN</v>
          </cell>
        </row>
        <row r="43">
          <cell r="B43">
            <v>11</v>
          </cell>
          <cell r="C43" t="str">
            <v>SP Distribution</v>
          </cell>
        </row>
        <row r="44">
          <cell r="B44">
            <v>12</v>
          </cell>
          <cell r="C44" t="str">
            <v>SP Manweb</v>
          </cell>
        </row>
        <row r="45">
          <cell r="B45">
            <v>13</v>
          </cell>
          <cell r="C45" t="str">
            <v>SSE Hydro</v>
          </cell>
        </row>
        <row r="46">
          <cell r="B46">
            <v>14</v>
          </cell>
          <cell r="C46" t="str">
            <v>SSE Southern</v>
          </cell>
        </row>
      </sheetData>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sheetData sheetId="41"/>
      <sheetData sheetId="42"/>
      <sheetData sheetId="43" refreshError="1"/>
      <sheetData sheetId="44"/>
      <sheetData sheetId="45"/>
      <sheetData sheetId="46" refreshError="1"/>
      <sheetData sheetId="47" refreshError="1"/>
      <sheetData sheetId="48"/>
      <sheetData sheetId="49" refreshError="1"/>
      <sheetData sheetId="50" refreshError="1"/>
      <sheetData sheetId="51" refreshError="1"/>
      <sheetData sheetId="52" refreshError="1"/>
      <sheetData sheetId="53" refreshError="1"/>
      <sheetData sheetId="54"/>
      <sheetData sheetId="55" refreshError="1"/>
      <sheetData sheetId="56"/>
      <sheetData sheetId="57"/>
      <sheetData sheetId="58"/>
      <sheetData sheetId="59"/>
      <sheetData sheetId="60"/>
      <sheetData sheetId="61" refreshError="1"/>
      <sheetData sheetId="62" refreshError="1"/>
      <sheetData sheetId="63"/>
      <sheetData sheetId="64" refreshError="1"/>
      <sheetData sheetId="65"/>
      <sheetData sheetId="66" refreshError="1"/>
      <sheetData sheetId="67" refreshError="1"/>
      <sheetData sheetId="68"/>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 Pack cover"/>
      <sheetName val="Version control"/>
      <sheetName val="Contents"/>
      <sheetName val="Checks"/>
      <sheetName val="F1 - P&amp;L"/>
      <sheetName val="F2 - Bal Sht"/>
      <sheetName val="F3 Cashflow"/>
      <sheetName val="F4 Net Debt"/>
      <sheetName val="F5 Financing costs"/>
      <sheetName val="F7 Pensions DB scheme costs"/>
      <sheetName val="F9 Pensions DC schemes"/>
      <sheetName val="F10 Pensions PPF Levies"/>
      <sheetName val="F11 Pension Scheme Admin costs"/>
      <sheetName val="F12 Tax allocations"/>
      <sheetName val="F13 Tax CA pools"/>
      <sheetName val="F14 Tax comp"/>
      <sheetName val="F14a Tax comp DUoS"/>
      <sheetName val="F18 Pension true up"/>
      <sheetName val="F20 Tax clawback "/>
      <sheetName val="F21 RAV rollforward &amp; depn"/>
      <sheetName val="F22 Historic RAV lookup data"/>
      <sheetName val="F22 Historic RAV 07-08"/>
      <sheetName val="Ofgem data input"/>
    </sheetNames>
    <sheetDataSet>
      <sheetData sheetId="0"/>
      <sheetData sheetId="1"/>
      <sheetData sheetId="2"/>
      <sheetData sheetId="3"/>
      <sheetData sheetId="4"/>
      <sheetData sheetId="5"/>
      <sheetData sheetId="6"/>
      <sheetData sheetId="7"/>
      <sheetData sheetId="8">
        <row r="454">
          <cell r="A454" t="str">
            <v>Fixed rate</v>
          </cell>
        </row>
        <row r="455">
          <cell r="A455" t="str">
            <v>Index linked</v>
          </cell>
        </row>
        <row r="456">
          <cell r="A456" t="str">
            <v xml:space="preserve">Floating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 Pack cover"/>
      <sheetName val="Version control"/>
      <sheetName val="Contents"/>
      <sheetName val="Changes Log"/>
      <sheetName val="Checks"/>
      <sheetName val="F1 - P&amp;L"/>
      <sheetName val="F2 - Bal Sht"/>
      <sheetName val="F3 Cashflow"/>
      <sheetName val="F4 Net Debt"/>
      <sheetName val="F5 Financing costs"/>
      <sheetName val="F6 Financing Req"/>
      <sheetName val="F7 Pensions DB scheme costs"/>
      <sheetName val="F8 Pension Primary scheme "/>
      <sheetName val="F8.1 Pension Second scheme"/>
      <sheetName val="F8.2 Pension Tertiary scheme"/>
      <sheetName val="F9 Pensions DC schemes"/>
      <sheetName val="F10 Pensions PPF Levies"/>
      <sheetName val="F11 Pension Scheme Admin costs"/>
      <sheetName val="F12 Tax allocations"/>
      <sheetName val="F12a CT return allocations "/>
      <sheetName val="F13 Tax CA pools"/>
      <sheetName val="F14 Tax comp"/>
      <sheetName val="F14a Tax comp DUoS"/>
      <sheetName val="F15 Recn total costs to reg acs"/>
      <sheetName val="F16 Recn net debt"/>
      <sheetName val="F17 Recn pension costs "/>
      <sheetName val="F18 Pension true up"/>
      <sheetName val="F19 PPF true up"/>
      <sheetName val="F20 Tax clawback "/>
      <sheetName val="F21 RAV rollforward &amp; depn"/>
      <sheetName val="F22 Historic RAV lookup data"/>
      <sheetName val="Ofgem data input"/>
    </sheetNames>
    <sheetDataSet>
      <sheetData sheetId="0"/>
      <sheetData sheetId="1"/>
      <sheetData sheetId="2"/>
      <sheetData sheetId="3"/>
      <sheetData sheetId="4"/>
      <sheetData sheetId="5"/>
      <sheetData sheetId="6"/>
      <sheetData sheetId="7"/>
      <sheetData sheetId="8"/>
      <sheetData sheetId="9">
        <row r="454">
          <cell r="A454" t="str">
            <v>Fixed rate</v>
          </cell>
        </row>
        <row r="455">
          <cell r="A455" t="str">
            <v>Index linked</v>
          </cell>
        </row>
        <row r="456">
          <cell r="A456" t="str">
            <v xml:space="preserve">Floating </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 val="Load"/>
      <sheetName val="F5 Financ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s Log"/>
      <sheetName val="Fixed Data"/>
      <sheetName val="Check&amp;Bal report"/>
      <sheetName val="Contents"/>
      <sheetName val="1.1 Summary"/>
      <sheetName val=" 1.2 Rec to Reg Accts"/>
      <sheetName val="1.3 Net Debt "/>
      <sheetName val="1.4 Tax comp"/>
      <sheetName val="1.5 Capital allowances"/>
      <sheetName val="1.6 Fixed asset disposals"/>
      <sheetName val="1.7 RAV"/>
      <sheetName val="2.1 Op Cost Matrix"/>
      <sheetName val="2.2 Maintenance"/>
      <sheetName val="2.3  Related Party"/>
      <sheetName val=" 2.4 Exc &amp; Demin "/>
      <sheetName val="2.5a YOY movements"/>
      <sheetName val="2.5b YOY movements "/>
      <sheetName val=" 2.6 Cost mapping"/>
      <sheetName val=" 2.7 Labour Costs &amp; FTEs"/>
      <sheetName val="2.8 Apprentices &amp; Training"/>
      <sheetName val="2.9 Pension data"/>
      <sheetName val="2.10 Provisions"/>
      <sheetName val=" 2.11 Accruals "/>
      <sheetName val=" 2.12 Shrinkage"/>
      <sheetName val="2.13 TMA &amp; NRSWA Costs"/>
      <sheetName val="3.1 Capex Summary"/>
      <sheetName val="3.2 LTS"/>
      <sheetName val="3.3 Mains"/>
      <sheetName val="3.4 Governors"/>
      <sheetName val="3.5 Connections"/>
      <sheetName val="3.6 Other Capex"/>
      <sheetName val="3.7 Breakdown of Cap. OHs"/>
      <sheetName val="3.8 Cap Expenditure Analysis"/>
      <sheetName val="3.9 Repex Summary"/>
      <sheetName val="3.9a Repex to RAV"/>
      <sheetName val="3.10 Repex Mains "/>
      <sheetName val="3.11 Repex Services "/>
      <sheetName val="3.11a Expenditure analysis "/>
      <sheetName val="3.12 LTS Asset Data"/>
      <sheetName val="3.13 Capacity&amp;Storage "/>
      <sheetName val="3.14 Mains&amp;Governors "/>
      <sheetName val="3.15 Additional Data"/>
      <sheetName val="3.16 Capacity &amp; Demand Data "/>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8">
          <cell r="N8" t="str">
            <v>Mains</v>
          </cell>
          <cell r="O8" t="str">
            <v>Services</v>
          </cell>
          <cell r="P8" t="str">
            <v>Other</v>
          </cell>
          <cell r="Q8" t="str">
            <v>Total</v>
          </cell>
        </row>
        <row r="9">
          <cell r="M9">
            <v>1</v>
          </cell>
          <cell r="N9">
            <v>63.3</v>
          </cell>
          <cell r="O9">
            <v>28.1</v>
          </cell>
          <cell r="P9">
            <v>1.66</v>
          </cell>
          <cell r="Q9">
            <v>93.06</v>
          </cell>
        </row>
        <row r="10">
          <cell r="M10">
            <v>2</v>
          </cell>
          <cell r="N10">
            <v>73.099999999999994</v>
          </cell>
          <cell r="O10">
            <v>21.6</v>
          </cell>
          <cell r="P10">
            <v>5.0999999999999996</v>
          </cell>
          <cell r="Q10">
            <v>99.799999999999983</v>
          </cell>
        </row>
        <row r="11">
          <cell r="M11">
            <v>3</v>
          </cell>
          <cell r="N11">
            <v>68.819999999999993</v>
          </cell>
          <cell r="O11">
            <v>24.72</v>
          </cell>
          <cell r="P11">
            <v>1.36</v>
          </cell>
          <cell r="Q11">
            <v>94.899999999999991</v>
          </cell>
        </row>
        <row r="12">
          <cell r="M12">
            <v>4</v>
          </cell>
          <cell r="N12">
            <v>54.9</v>
          </cell>
          <cell r="O12">
            <v>18.48</v>
          </cell>
          <cell r="P12">
            <v>0.9</v>
          </cell>
          <cell r="Q12">
            <v>74.28</v>
          </cell>
        </row>
        <row r="13">
          <cell r="M13">
            <v>5</v>
          </cell>
          <cell r="N13">
            <v>45.28</v>
          </cell>
          <cell r="O13">
            <v>24.44</v>
          </cell>
          <cell r="P13">
            <v>6.9</v>
          </cell>
          <cell r="Q13">
            <v>76.62</v>
          </cell>
        </row>
        <row r="14">
          <cell r="M14">
            <v>6</v>
          </cell>
          <cell r="N14">
            <v>32.200000000000003</v>
          </cell>
          <cell r="O14">
            <v>15.94</v>
          </cell>
          <cell r="P14">
            <v>0.8</v>
          </cell>
          <cell r="Q14">
            <v>48.94</v>
          </cell>
        </row>
        <row r="15">
          <cell r="M15">
            <v>7</v>
          </cell>
          <cell r="N15">
            <v>83.38</v>
          </cell>
          <cell r="O15">
            <v>46.2</v>
          </cell>
          <cell r="P15">
            <v>4.9000000000000004</v>
          </cell>
          <cell r="Q15">
            <v>134.47999999999999</v>
          </cell>
        </row>
        <row r="16">
          <cell r="M16">
            <v>8</v>
          </cell>
          <cell r="N16">
            <v>36.5</v>
          </cell>
          <cell r="O16">
            <v>23.3</v>
          </cell>
          <cell r="P16">
            <v>4.3</v>
          </cell>
          <cell r="Q16">
            <v>64.099999999999994</v>
          </cell>
        </row>
      </sheetData>
      <sheetData sheetId="36"/>
      <sheetData sheetId="37"/>
      <sheetData sheetId="38"/>
      <sheetData sheetId="39"/>
      <sheetData sheetId="40"/>
      <sheetData sheetId="41"/>
      <sheetData sheetId="42"/>
      <sheetData sheetId="43"/>
      <sheetData sheetId="4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terface"/>
      <sheetName val="Formula Inputs"/>
      <sheetName val="market debt data"/>
      <sheetName val="Financial reports (Nominal)"/>
      <sheetName val="Financial reports (Nom) EDFE"/>
      <sheetName val="Financial reports (Nom) CNE"/>
      <sheetName val="Financial reports (Nom) EDFL"/>
      <sheetName val="Financial reports (Nom) SPM"/>
      <sheetName val="Financial reports (Nom) CNW"/>
      <sheetName val="Financial reports (Nom) NEDL"/>
      <sheetName val="Financial reports (Nom) ENW"/>
      <sheetName val="Financial reports (Nom) EDFS"/>
      <sheetName val="Financial reports (Nom) SSEH"/>
      <sheetName val="Financial reports (Nom) SPdist"/>
      <sheetName val="Financial reports (Nom) SSES"/>
      <sheetName val="Financial reports (Nom) SWales"/>
      <sheetName val="Financial reports (Nom) SWest"/>
      <sheetName val="Financial reports (Nom) YEDL"/>
      <sheetName val="Financial reports (Real)"/>
      <sheetName val="Financial reports (Real) EDFE"/>
      <sheetName val="Financial reports (Real) CNE"/>
      <sheetName val="Financial reports (Real) EDFL"/>
      <sheetName val="Financial reports (Real) SPM"/>
      <sheetName val="Financial reports (Real) CNW"/>
      <sheetName val="Financial reports (Real) NEDL"/>
      <sheetName val="Financial reports (Real) ENW"/>
      <sheetName val="Financial reports (Real) EDFS"/>
      <sheetName val="Financial reports (Real) SSEH"/>
      <sheetName val="Financial reports (Real) SPdist"/>
      <sheetName val="Financial reports (Real) SSES"/>
      <sheetName val="Financial reports (Real) SWales"/>
      <sheetName val="Financial reports (Real) SWest"/>
      <sheetName val="Financial reports (Real) YEDL"/>
      <sheetName val="Results_SelectedDNO"/>
      <sheetName val="Results_SelectedDNO EDFE"/>
      <sheetName val="Results_SelectedDNO CNE"/>
      <sheetName val="Results_SelectedDNO EDFL"/>
      <sheetName val="Results_SelectedDNO SPM"/>
      <sheetName val="Results_SelectedDNO CNW"/>
      <sheetName val="Results_SelectedDNO NEDL"/>
      <sheetName val="Results_SelectedDNO ENW"/>
      <sheetName val="Results_SelectedDNO EDFS"/>
      <sheetName val="Results_SelectedDNO SSEH"/>
      <sheetName val="Results_SelectedDNO SPdist"/>
      <sheetName val="Results_SelectedDNO SSES"/>
      <sheetName val="Results_SelectedDNO SWales"/>
      <sheetName val="Results_SelectedDNO SWest"/>
      <sheetName val="Results_SelectedDNO YEDL"/>
      <sheetName val="NotesToFinReps"/>
      <sheetName val="NotesToFinReps EDFE"/>
      <sheetName val="NotesToFinReps CNE"/>
      <sheetName val="NotesToFinReps EDFL"/>
      <sheetName val="NotesToFinReps SPM"/>
      <sheetName val="NotesToFinReps CNW"/>
      <sheetName val="NotesToFinReps NEDL"/>
      <sheetName val="NotesToFinReps ENW"/>
      <sheetName val="NotesToFinReps EDFS"/>
      <sheetName val="NotesToFinReps SSEH"/>
      <sheetName val="NotesToFinReps SPdist"/>
      <sheetName val="NotesToFinReps SSES"/>
      <sheetName val="NotesToFinReps SWales"/>
      <sheetName val="NotesToFinReps SWest"/>
      <sheetName val="NotesToFinReps YEDL"/>
      <sheetName val="Selected Inputs"/>
      <sheetName val="Price Control Calcs"/>
      <sheetName val="Price Control Calcs EDFE"/>
      <sheetName val="Price Control Calcs CNE"/>
      <sheetName val="Price Control Calcs EDFL"/>
      <sheetName val="Price Control Calcs SPM"/>
      <sheetName val="Price Control Calcs CNW"/>
      <sheetName val="Price Control Calcs NEDL"/>
      <sheetName val="Price Control Calcs ENW"/>
      <sheetName val="Price Control Calcs EDFS"/>
      <sheetName val="Price Control Calcs SSEH"/>
      <sheetName val="Price Control Calcs SPD"/>
      <sheetName val="Price Control Calcs SSES"/>
      <sheetName val="Price Control Calcs SWales"/>
      <sheetName val="Price Control Calcs SWest"/>
      <sheetName val="Price Control Calcs YEDL"/>
      <sheetName val="Rav roll forward"/>
      <sheetName val="Rav roll forward EDFE"/>
      <sheetName val="Rav roll forward CNE"/>
      <sheetName val="Rav roll forward EDFL"/>
      <sheetName val="Rav roll forward SPM"/>
      <sheetName val="Rav roll forward CNW"/>
      <sheetName val="Rav roll forward NEDL"/>
      <sheetName val="Rav roll forward ENW"/>
      <sheetName val="Rav roll forward EDFS"/>
      <sheetName val="Rav roll forward SSEH"/>
      <sheetName val="Rav roll forward SPdist"/>
      <sheetName val="Rav roll forward SSES"/>
      <sheetName val="Rav roll forward SWales"/>
      <sheetName val="Rav roll forward SWest"/>
      <sheetName val="Rav roll forward YEDL"/>
      <sheetName val="Capex Incentive Scheme"/>
      <sheetName val="Capex Incentive Scheme EDFE"/>
      <sheetName val="Capex Incentive Scheme CNE"/>
      <sheetName val="Capex Incentive Scheme EDFL"/>
      <sheetName val="Capex Incentive Scheme SPM"/>
      <sheetName val="Capex Incentive Scheme CNW"/>
      <sheetName val="Capex Incentive Scheme NEDL"/>
      <sheetName val="Capex Incentive Scheme ENW"/>
      <sheetName val="Capex Incentive Scheme EDFS"/>
      <sheetName val="Capex Incentive Scheme SSEH"/>
      <sheetName val="Capex Incentive Scheme SPdist"/>
      <sheetName val="Capex Incentive Scheme SSES"/>
      <sheetName val="Capex Incentive Scheme SWales"/>
      <sheetName val="Capex Incentive Scheme SWest"/>
      <sheetName val="Capex Incentive Scheme YEDL"/>
      <sheetName val="CNW"/>
      <sheetName val="CNE"/>
      <sheetName val="ENW"/>
      <sheetName val="NEDL"/>
      <sheetName val="YEDL"/>
      <sheetName val="SWest"/>
      <sheetName val="SWales"/>
      <sheetName val="EDFL"/>
      <sheetName val="EDFS"/>
      <sheetName val="EDFE"/>
      <sheetName val="SPD"/>
      <sheetName val="SPM"/>
      <sheetName val="SSEH"/>
      <sheetName val="SSES"/>
      <sheetName val="ChangeHistory"/>
      <sheetName val="Chart var 3yr bridge"/>
      <sheetName val="Chart var 3yr bridge (2)"/>
      <sheetName val="Chart var 3yr bridge (3)"/>
      <sheetName val="Chart var 3yr bridge (4)"/>
      <sheetName val="Chart var 3yr bridge (5)"/>
      <sheetName val="Chart var 3yr bridge (6)"/>
      <sheetName val="var 3yr bridge"/>
      <sheetName val="Chart var 3yr by dno"/>
      <sheetName val="Chart var 3yr by dno (2)"/>
      <sheetName val="Chart var 3yr by dno (3)"/>
      <sheetName val="Chart var 5yr by dno"/>
      <sheetName val="var 3yr bridge by DNO"/>
      <sheetName val="Chart Po for DPCR5"/>
      <sheetName val="Split cost of capital"/>
      <sheetName val="Interest rate tagged to market "/>
      <sheetName val="Finissues"/>
      <sheetName val="check totals"/>
      <sheetName val="cost per customer DPCR4 model"/>
      <sheetName val="Results_AllDNOs"/>
      <sheetName val="3.9a Repex to RAV"/>
    </sheetNames>
    <sheetDataSet>
      <sheetData sheetId="0" refreshError="1">
        <row r="45">
          <cell r="Z45">
            <v>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sheetData sheetId="140"/>
      <sheetData sheetId="141" refreshError="1"/>
      <sheetData sheetId="142"/>
      <sheetData sheetId="1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omments" Target="../comments3.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7.bin"/><Relationship Id="rId5" Type="http://schemas.openxmlformats.org/officeDocument/2006/relationships/comments" Target="../comments4.xml"/><Relationship Id="rId4" Type="http://schemas.openxmlformats.org/officeDocument/2006/relationships/ctrlProp" Target="../ctrlProps/ctrlProp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57"/>
  <sheetViews>
    <sheetView showGridLines="0" tabSelected="1" zoomScaleNormal="100" workbookViewId="0">
      <selection activeCell="D2" sqref="D2"/>
    </sheetView>
  </sheetViews>
  <sheetFormatPr defaultColWidth="9.1328125" defaultRowHeight="13.5"/>
  <cols>
    <col min="1" max="1" width="9.1328125" style="153"/>
    <col min="2" max="2" width="16.6640625" style="153" customWidth="1"/>
    <col min="3" max="3" width="16.33203125" style="153" customWidth="1"/>
    <col min="4" max="4" width="32" style="154" customWidth="1"/>
    <col min="5" max="7" width="9.1328125" style="153"/>
    <col min="8" max="16384" width="9.1328125" style="154"/>
  </cols>
  <sheetData>
    <row r="1" spans="2:37">
      <c r="D1" s="153"/>
    </row>
    <row r="2" spans="2:37">
      <c r="D2" s="153"/>
    </row>
    <row r="3" spans="2:37">
      <c r="D3" s="153"/>
    </row>
    <row r="4" spans="2:37" ht="13.9" thickBot="1">
      <c r="D4" s="153"/>
    </row>
    <row r="5" spans="2:37" ht="13.9" thickTop="1">
      <c r="B5" s="155"/>
      <c r="C5" s="156"/>
      <c r="D5" s="156"/>
      <c r="E5" s="156"/>
      <c r="F5" s="156"/>
      <c r="G5" s="157"/>
      <c r="J5" s="171"/>
      <c r="K5" s="153" t="s">
        <v>109</v>
      </c>
    </row>
    <row r="6" spans="2:37" ht="13.9">
      <c r="B6" s="158"/>
      <c r="C6" s="159"/>
      <c r="D6" s="159"/>
      <c r="E6" s="159"/>
      <c r="F6" s="159"/>
      <c r="G6" s="160"/>
      <c r="J6" s="172"/>
      <c r="K6" s="153" t="s">
        <v>111</v>
      </c>
      <c r="AK6" s="161"/>
    </row>
    <row r="7" spans="2:37" ht="17.649999999999999">
      <c r="B7" s="158"/>
      <c r="C7" s="159"/>
      <c r="D7" s="207" t="s">
        <v>149</v>
      </c>
      <c r="E7" s="159"/>
      <c r="F7" s="159"/>
      <c r="G7" s="160"/>
      <c r="J7" s="173"/>
      <c r="K7" s="153" t="s">
        <v>113</v>
      </c>
    </row>
    <row r="8" spans="2:37">
      <c r="B8" s="158"/>
      <c r="C8" s="159"/>
      <c r="D8" s="153"/>
      <c r="E8" s="159"/>
      <c r="F8" s="159"/>
      <c r="G8" s="160"/>
      <c r="J8" s="174"/>
      <c r="K8" s="153" t="s">
        <v>115</v>
      </c>
    </row>
    <row r="9" spans="2:37">
      <c r="B9" s="158"/>
      <c r="C9" s="159"/>
      <c r="D9" s="311" t="s">
        <v>335</v>
      </c>
      <c r="E9" s="159"/>
      <c r="F9" s="159"/>
      <c r="G9" s="160"/>
      <c r="J9" s="175"/>
      <c r="K9" s="153" t="s">
        <v>117</v>
      </c>
    </row>
    <row r="10" spans="2:37" ht="19.899999999999999">
      <c r="B10" s="158"/>
      <c r="C10" s="159"/>
      <c r="D10" s="162"/>
      <c r="E10" s="159"/>
      <c r="F10" s="159"/>
      <c r="G10" s="160"/>
      <c r="J10" s="176"/>
      <c r="K10" s="153" t="s">
        <v>119</v>
      </c>
    </row>
    <row r="11" spans="2:37">
      <c r="B11" s="158"/>
      <c r="C11" s="159"/>
      <c r="D11" s="159"/>
      <c r="E11" s="159"/>
      <c r="F11" s="159"/>
      <c r="G11" s="160"/>
      <c r="J11" s="177"/>
      <c r="K11" s="153" t="s">
        <v>121</v>
      </c>
    </row>
    <row r="12" spans="2:37">
      <c r="B12" s="158"/>
      <c r="C12" s="163" t="s">
        <v>184</v>
      </c>
      <c r="D12" s="226" t="s">
        <v>184</v>
      </c>
      <c r="E12" s="159"/>
      <c r="F12" s="159"/>
      <c r="G12" s="160"/>
    </row>
    <row r="13" spans="2:37" ht="7.5" customHeight="1">
      <c r="B13" s="158"/>
      <c r="C13" s="163"/>
      <c r="D13" s="226"/>
      <c r="E13" s="159"/>
      <c r="F13" s="159"/>
      <c r="G13" s="160"/>
    </row>
    <row r="14" spans="2:37">
      <c r="B14" s="158"/>
      <c r="C14" s="163" t="s">
        <v>20</v>
      </c>
      <c r="D14" s="226" t="s">
        <v>20</v>
      </c>
      <c r="E14" s="159"/>
      <c r="F14" s="159"/>
      <c r="G14" s="160"/>
    </row>
    <row r="15" spans="2:37">
      <c r="B15" s="158"/>
      <c r="C15" s="163" t="s">
        <v>21</v>
      </c>
      <c r="D15" s="226" t="s">
        <v>21</v>
      </c>
      <c r="E15" s="159"/>
      <c r="F15" s="159"/>
      <c r="G15" s="160"/>
    </row>
    <row r="16" spans="2:37">
      <c r="B16" s="158"/>
      <c r="C16" s="163" t="s">
        <v>22</v>
      </c>
      <c r="D16" s="226" t="s">
        <v>22</v>
      </c>
      <c r="E16" s="159"/>
      <c r="F16" s="159"/>
      <c r="G16" s="160"/>
    </row>
    <row r="17" spans="2:37">
      <c r="B17" s="158"/>
      <c r="C17" s="163" t="s">
        <v>23</v>
      </c>
      <c r="D17" s="226" t="s">
        <v>23</v>
      </c>
      <c r="E17" s="159"/>
      <c r="F17" s="159"/>
      <c r="G17" s="160"/>
    </row>
    <row r="18" spans="2:37">
      <c r="B18" s="158"/>
      <c r="C18" s="163" t="s">
        <v>24</v>
      </c>
      <c r="D18" s="226" t="s">
        <v>24</v>
      </c>
      <c r="E18" s="159"/>
      <c r="F18" s="159"/>
      <c r="G18" s="160"/>
    </row>
    <row r="19" spans="2:37">
      <c r="B19" s="158"/>
      <c r="C19" s="163" t="s">
        <v>25</v>
      </c>
      <c r="D19" s="226" t="s">
        <v>25</v>
      </c>
      <c r="E19" s="159"/>
      <c r="F19" s="159"/>
      <c r="G19" s="160"/>
    </row>
    <row r="20" spans="2:37" ht="6" customHeight="1">
      <c r="B20" s="158"/>
      <c r="C20" s="163"/>
      <c r="D20" s="228"/>
      <c r="E20" s="159"/>
      <c r="F20" s="159"/>
      <c r="G20" s="160"/>
    </row>
    <row r="21" spans="2:37">
      <c r="B21" s="158"/>
      <c r="C21" s="163" t="s">
        <v>195</v>
      </c>
      <c r="D21" s="226" t="s">
        <v>253</v>
      </c>
      <c r="E21" s="159"/>
      <c r="F21" s="159"/>
      <c r="G21" s="160"/>
    </row>
    <row r="22" spans="2:37">
      <c r="B22" s="158"/>
      <c r="C22" s="163" t="s">
        <v>196</v>
      </c>
      <c r="D22" s="226" t="s">
        <v>254</v>
      </c>
      <c r="E22" s="159"/>
      <c r="F22" s="159"/>
      <c r="G22" s="160"/>
    </row>
    <row r="23" spans="2:37">
      <c r="B23" s="158"/>
      <c r="C23" s="163"/>
      <c r="D23" s="159"/>
      <c r="E23" s="159"/>
      <c r="F23" s="159"/>
      <c r="G23" s="160"/>
    </row>
    <row r="24" spans="2:37">
      <c r="B24" s="158"/>
      <c r="C24" s="163" t="s">
        <v>193</v>
      </c>
      <c r="D24" s="227">
        <v>2020</v>
      </c>
      <c r="E24" s="159"/>
      <c r="F24" s="159"/>
      <c r="G24" s="160"/>
    </row>
    <row r="25" spans="2:37" ht="13.9" thickBot="1">
      <c r="B25" s="164"/>
      <c r="C25" s="165"/>
      <c r="D25" s="165"/>
      <c r="E25" s="165"/>
      <c r="F25" s="165"/>
      <c r="G25" s="166"/>
    </row>
    <row r="26" spans="2:37" s="153" customFormat="1" ht="13.9" thickTop="1">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row>
    <row r="27" spans="2:37" s="153" customFormat="1" ht="13.9">
      <c r="C27" s="167"/>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row>
    <row r="28" spans="2:37" s="153" customFormat="1" ht="13.9">
      <c r="C28" s="167"/>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row>
    <row r="29" spans="2:37" s="153" customFormat="1">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row>
    <row r="30" spans="2:37" s="153" customFormat="1">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row>
    <row r="31" spans="2:37" s="153" customFormat="1">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row>
    <row r="32" spans="2:37" s="153" customFormat="1">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row>
    <row r="33" spans="2:37" s="153" customFormat="1">
      <c r="B33" s="168">
        <v>0</v>
      </c>
      <c r="C33" s="169" t="s">
        <v>160</v>
      </c>
      <c r="D33" s="218" t="s">
        <v>181</v>
      </c>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row>
    <row r="34" spans="2:37" s="153" customFormat="1">
      <c r="B34" s="168">
        <v>1</v>
      </c>
      <c r="C34" s="170" t="s">
        <v>105</v>
      </c>
      <c r="D34" s="170" t="s">
        <v>507</v>
      </c>
      <c r="H34" s="154"/>
      <c r="I34" s="163"/>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row>
    <row r="35" spans="2:37" s="153" customFormat="1">
      <c r="B35" s="168">
        <v>2</v>
      </c>
      <c r="C35" s="170" t="s">
        <v>106</v>
      </c>
      <c r="D35" s="170" t="s">
        <v>107</v>
      </c>
      <c r="H35" s="154"/>
      <c r="I35" s="163"/>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row>
    <row r="36" spans="2:37" s="153" customFormat="1">
      <c r="B36" s="168">
        <v>3</v>
      </c>
      <c r="C36" s="170" t="s">
        <v>107</v>
      </c>
      <c r="D36" s="170" t="s">
        <v>182</v>
      </c>
      <c r="H36" s="154"/>
      <c r="I36" s="163"/>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row>
    <row r="37" spans="2:37" s="153" customFormat="1">
      <c r="B37" s="168">
        <v>4</v>
      </c>
      <c r="C37" s="170" t="s">
        <v>251</v>
      </c>
      <c r="D37" s="170" t="s">
        <v>508</v>
      </c>
      <c r="H37" s="154"/>
      <c r="I37" s="163"/>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row>
    <row r="38" spans="2:37" s="153" customFormat="1">
      <c r="B38" s="168">
        <v>5</v>
      </c>
      <c r="C38" s="170"/>
      <c r="D38" s="170" t="s">
        <v>183</v>
      </c>
      <c r="H38" s="154"/>
      <c r="I38" s="163"/>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row>
    <row r="39" spans="2:37" s="153" customFormat="1">
      <c r="B39" s="168">
        <v>6</v>
      </c>
      <c r="C39" s="170" t="s">
        <v>112</v>
      </c>
      <c r="D39" s="170" t="s">
        <v>185</v>
      </c>
      <c r="H39" s="154"/>
      <c r="I39" s="163"/>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row>
    <row r="40" spans="2:37" s="153" customFormat="1">
      <c r="B40" s="168">
        <v>7</v>
      </c>
      <c r="C40" s="170" t="s">
        <v>114</v>
      </c>
      <c r="D40" s="170" t="s">
        <v>186</v>
      </c>
      <c r="H40" s="154"/>
      <c r="I40" s="163"/>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row>
    <row r="41" spans="2:37" s="153" customFormat="1">
      <c r="B41" s="168">
        <v>8</v>
      </c>
      <c r="C41" s="170" t="s">
        <v>116</v>
      </c>
      <c r="D41" s="170" t="s">
        <v>187</v>
      </c>
      <c r="H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row>
    <row r="42" spans="2:37" s="153" customFormat="1">
      <c r="B42" s="168">
        <v>9</v>
      </c>
      <c r="C42" s="170" t="s">
        <v>118</v>
      </c>
      <c r="D42" s="170" t="s">
        <v>188</v>
      </c>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row>
    <row r="43" spans="2:37" s="153" customFormat="1">
      <c r="B43" s="168">
        <v>10</v>
      </c>
      <c r="C43" s="170" t="s">
        <v>120</v>
      </c>
      <c r="D43" s="170" t="s">
        <v>189</v>
      </c>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row>
    <row r="44" spans="2:37" s="153" customFormat="1">
      <c r="B44" s="168">
        <v>11</v>
      </c>
      <c r="C44" s="170" t="s">
        <v>122</v>
      </c>
      <c r="D44" s="170" t="s">
        <v>190</v>
      </c>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row>
    <row r="45" spans="2:37" s="153" customFormat="1">
      <c r="B45" s="168">
        <v>12</v>
      </c>
      <c r="C45" s="170" t="s">
        <v>123</v>
      </c>
      <c r="D45" s="170" t="s">
        <v>158</v>
      </c>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row>
    <row r="46" spans="2:37" s="153" customFormat="1">
      <c r="B46" s="168">
        <v>13</v>
      </c>
      <c r="C46" s="170" t="s">
        <v>124</v>
      </c>
      <c r="D46" s="170" t="s">
        <v>191</v>
      </c>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row>
    <row r="47" spans="2:37" s="153" customFormat="1">
      <c r="B47" s="168">
        <v>14</v>
      </c>
      <c r="C47" s="170" t="s">
        <v>125</v>
      </c>
      <c r="D47" s="170" t="s">
        <v>253</v>
      </c>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row>
    <row r="48" spans="2:37" s="153" customFormat="1">
      <c r="B48" s="168">
        <v>15</v>
      </c>
      <c r="C48" s="170" t="s">
        <v>150</v>
      </c>
      <c r="D48" s="170" t="s">
        <v>254</v>
      </c>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row>
    <row r="49" spans="2:37" s="153" customFormat="1">
      <c r="B49" s="168">
        <v>16</v>
      </c>
      <c r="C49" s="170" t="s">
        <v>151</v>
      </c>
      <c r="D49" s="170" t="s">
        <v>184</v>
      </c>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row>
    <row r="50" spans="2:37" s="153" customFormat="1">
      <c r="B50" s="168">
        <v>17</v>
      </c>
      <c r="C50" s="170" t="s">
        <v>152</v>
      </c>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row>
    <row r="51" spans="2:37" s="153" customFormat="1">
      <c r="B51" s="168">
        <v>18</v>
      </c>
      <c r="C51" s="170" t="s">
        <v>153</v>
      </c>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row>
    <row r="52" spans="2:37" s="153" customFormat="1">
      <c r="B52" s="168">
        <v>19</v>
      </c>
      <c r="C52" s="170" t="s">
        <v>154</v>
      </c>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row>
    <row r="53" spans="2:37" s="153" customFormat="1">
      <c r="B53" s="168">
        <v>20</v>
      </c>
      <c r="C53" s="170" t="s">
        <v>155</v>
      </c>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row>
    <row r="54" spans="2:37" s="153" customFormat="1">
      <c r="B54" s="168">
        <v>21</v>
      </c>
      <c r="C54" s="170" t="s">
        <v>156</v>
      </c>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row>
    <row r="55" spans="2:37" s="153" customFormat="1">
      <c r="B55" s="168">
        <v>22</v>
      </c>
      <c r="C55" s="170" t="s">
        <v>157</v>
      </c>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row>
    <row r="56" spans="2:37" s="153" customFormat="1">
      <c r="B56" s="168">
        <v>23</v>
      </c>
      <c r="C56" s="170" t="s">
        <v>197</v>
      </c>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row>
    <row r="57" spans="2:37" s="153" customFormat="1">
      <c r="B57" s="168">
        <v>24</v>
      </c>
      <c r="C57" s="170" t="s">
        <v>198</v>
      </c>
      <c r="H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row>
    <row r="58" spans="2:37" s="153" customFormat="1">
      <c r="B58" s="168">
        <v>25</v>
      </c>
      <c r="C58" s="170" t="s">
        <v>199</v>
      </c>
      <c r="H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row>
    <row r="59" spans="2:37" s="153" customFormat="1">
      <c r="B59" s="168">
        <v>26</v>
      </c>
      <c r="C59" s="170" t="s">
        <v>200</v>
      </c>
      <c r="H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row>
    <row r="60" spans="2:37" s="153" customFormat="1">
      <c r="B60" s="178"/>
      <c r="C60" s="170" t="s">
        <v>184</v>
      </c>
      <c r="D60" s="154"/>
      <c r="H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row>
    <row r="61" spans="2:37" s="153" customFormat="1">
      <c r="B61" s="178"/>
      <c r="C61" s="170" t="s">
        <v>20</v>
      </c>
      <c r="D61" s="154"/>
      <c r="H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row>
    <row r="62" spans="2:37" s="153" customFormat="1">
      <c r="B62" s="292" t="str">
        <f>CONCATENATE("Liabilities at ",+'P1.1 PDAM Licensee provided'!D9)</f>
        <v>Liabilities at 31 March 2019</v>
      </c>
      <c r="C62" s="170" t="s">
        <v>21</v>
      </c>
      <c r="D62" s="154"/>
      <c r="H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row>
    <row r="63" spans="2:37" s="153" customFormat="1">
      <c r="B63" s="178"/>
      <c r="C63" s="170" t="s">
        <v>22</v>
      </c>
      <c r="D63" s="154"/>
      <c r="H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row>
    <row r="64" spans="2:37" s="153" customFormat="1">
      <c r="B64" s="178"/>
      <c r="C64" s="170" t="s">
        <v>23</v>
      </c>
      <c r="D64" s="154"/>
      <c r="H64" s="154"/>
      <c r="I64" s="22"/>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row>
    <row r="65" spans="2:37" s="153" customFormat="1">
      <c r="B65" s="178"/>
      <c r="C65" s="170" t="s">
        <v>24</v>
      </c>
      <c r="D65" s="154"/>
      <c r="H65" s="154"/>
      <c r="I65" s="22"/>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row>
    <row r="66" spans="2:37" s="153" customFormat="1">
      <c r="B66" s="178"/>
      <c r="C66" s="170" t="s">
        <v>25</v>
      </c>
      <c r="D66" s="154"/>
      <c r="H66" s="154"/>
      <c r="I66" s="22"/>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row>
    <row r="67" spans="2:37" s="153" customFormat="1">
      <c r="B67" s="178"/>
      <c r="C67" s="179"/>
      <c r="H67" s="154"/>
      <c r="I67" s="22"/>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row>
    <row r="68" spans="2:37" s="153" customFormat="1">
      <c r="B68" s="178"/>
      <c r="C68" s="179"/>
      <c r="H68" s="154"/>
      <c r="I68" s="22"/>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row>
    <row r="69" spans="2:37" s="153" customFormat="1">
      <c r="B69" s="178"/>
      <c r="C69" s="179"/>
      <c r="D69" s="154"/>
      <c r="E69" s="154"/>
      <c r="F69" s="154"/>
      <c r="G69" s="154"/>
      <c r="H69" s="154"/>
      <c r="I69" s="22"/>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row>
    <row r="70" spans="2:37" s="153" customFormat="1">
      <c r="B70" s="178"/>
      <c r="C70" s="179"/>
      <c r="D70" s="154"/>
      <c r="E70" s="154"/>
      <c r="F70" s="154"/>
      <c r="G70" s="154"/>
      <c r="H70" s="154"/>
      <c r="I70" s="22"/>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row>
    <row r="71" spans="2:37" s="153" customFormat="1">
      <c r="B71" s="178"/>
      <c r="C71" s="179"/>
      <c r="D71" s="154"/>
      <c r="E71" s="154"/>
      <c r="F71" s="154"/>
      <c r="G71" s="154"/>
      <c r="H71" s="154"/>
      <c r="I71" s="22"/>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row>
    <row r="72" spans="2:37" s="153" customFormat="1">
      <c r="B72" s="178"/>
      <c r="C72" s="179"/>
      <c r="D72" s="154"/>
      <c r="E72" s="154"/>
      <c r="F72" s="154"/>
      <c r="G72" s="154"/>
      <c r="H72" s="154"/>
      <c r="I72" s="48"/>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row>
    <row r="73" spans="2:37" s="153" customFormat="1">
      <c r="B73" s="178"/>
      <c r="C73" s="179"/>
      <c r="D73" s="154"/>
      <c r="E73" s="154"/>
      <c r="F73" s="154"/>
      <c r="G73" s="154"/>
      <c r="H73" s="154"/>
      <c r="I73" s="48"/>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row>
    <row r="74" spans="2:37" s="153" customFormat="1">
      <c r="B74" s="178"/>
      <c r="C74" s="179"/>
      <c r="D74" s="154"/>
      <c r="E74" s="154"/>
      <c r="F74" s="154"/>
      <c r="G74" s="154"/>
      <c r="H74" s="154"/>
      <c r="I74" s="48"/>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row>
    <row r="75" spans="2:37" s="153" customFormat="1">
      <c r="B75" s="178"/>
      <c r="C75" s="179"/>
      <c r="H75" s="154"/>
      <c r="I75" s="48"/>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row>
    <row r="76" spans="2:37" s="153" customFormat="1">
      <c r="B76" s="178"/>
      <c r="C76" s="179"/>
      <c r="H76" s="154"/>
      <c r="I76" s="48"/>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row>
    <row r="77" spans="2:37" s="153" customFormat="1">
      <c r="C77" s="179"/>
      <c r="H77" s="154"/>
      <c r="I77" s="48"/>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row>
    <row r="78" spans="2:37" s="153" customFormat="1">
      <c r="H78" s="154"/>
      <c r="I78" s="48"/>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row>
    <row r="79" spans="2:37" s="153" customFormat="1">
      <c r="B79" s="180" t="s">
        <v>126</v>
      </c>
      <c r="C79" s="180" t="s">
        <v>162</v>
      </c>
      <c r="D79" s="180" t="s">
        <v>163</v>
      </c>
      <c r="H79" s="154"/>
      <c r="I79" s="48"/>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row>
    <row r="80" spans="2:37" s="153" customFormat="1">
      <c r="B80" s="181" t="s">
        <v>127</v>
      </c>
      <c r="C80" s="181" t="s">
        <v>164</v>
      </c>
      <c r="D80" s="181"/>
      <c r="H80" s="154"/>
      <c r="I80" s="48"/>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row>
    <row r="81" spans="2:37" s="153" customFormat="1">
      <c r="B81" s="182">
        <v>2010</v>
      </c>
      <c r="C81" s="209" t="s">
        <v>20</v>
      </c>
      <c r="D81" s="170" t="s">
        <v>507</v>
      </c>
      <c r="H81" s="154"/>
      <c r="I81" s="48"/>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row>
    <row r="82" spans="2:37" s="153" customFormat="1">
      <c r="B82" s="182">
        <v>2011</v>
      </c>
      <c r="C82" s="209" t="s">
        <v>21</v>
      </c>
      <c r="D82" s="170" t="s">
        <v>508</v>
      </c>
      <c r="H82" s="154"/>
      <c r="I82" s="48"/>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row>
    <row r="83" spans="2:37" s="153" customFormat="1">
      <c r="B83" s="182">
        <v>2012</v>
      </c>
      <c r="C83" s="209" t="s">
        <v>22</v>
      </c>
      <c r="D83" s="170" t="s">
        <v>165</v>
      </c>
      <c r="H83" s="154"/>
      <c r="I83" s="48"/>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row>
    <row r="84" spans="2:37" s="153" customFormat="1">
      <c r="B84" s="182">
        <v>2013</v>
      </c>
      <c r="C84" s="209" t="s">
        <v>23</v>
      </c>
      <c r="D84" s="170" t="s">
        <v>166</v>
      </c>
      <c r="H84" s="154"/>
      <c r="I84" s="48"/>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row>
    <row r="85" spans="2:37" s="153" customFormat="1">
      <c r="B85" s="182">
        <v>2014</v>
      </c>
      <c r="C85" s="209" t="s">
        <v>24</v>
      </c>
      <c r="D85" s="170" t="s">
        <v>167</v>
      </c>
      <c r="H85" s="154"/>
      <c r="I85" s="48"/>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row>
    <row r="86" spans="2:37" s="153" customFormat="1">
      <c r="B86" s="182">
        <v>2015</v>
      </c>
      <c r="C86" s="209" t="s">
        <v>25</v>
      </c>
      <c r="D86" s="170" t="s">
        <v>168</v>
      </c>
      <c r="H86" s="154"/>
      <c r="I86" s="48"/>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row>
    <row r="87" spans="2:37" s="153" customFormat="1">
      <c r="B87" s="182">
        <v>2016</v>
      </c>
      <c r="C87" s="170" t="s">
        <v>105</v>
      </c>
      <c r="D87" s="170" t="s">
        <v>268</v>
      </c>
      <c r="H87" s="154"/>
      <c r="I87" s="48"/>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row>
    <row r="88" spans="2:37" s="153" customFormat="1">
      <c r="B88" s="182">
        <v>2017</v>
      </c>
      <c r="C88" s="170" t="s">
        <v>106</v>
      </c>
      <c r="D88" s="170" t="s">
        <v>169</v>
      </c>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row>
    <row r="89" spans="2:37" s="153" customFormat="1">
      <c r="B89" s="182">
        <v>2018</v>
      </c>
      <c r="C89" s="170" t="s">
        <v>107</v>
      </c>
      <c r="D89" s="170" t="s">
        <v>170</v>
      </c>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row>
    <row r="90" spans="2:37" s="153" customFormat="1">
      <c r="B90" s="182">
        <v>2019</v>
      </c>
      <c r="C90" s="170" t="s">
        <v>108</v>
      </c>
      <c r="D90" s="170" t="s">
        <v>171</v>
      </c>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row>
    <row r="91" spans="2:37" s="153" customFormat="1">
      <c r="B91" s="182">
        <v>2020</v>
      </c>
      <c r="C91" s="170" t="s">
        <v>110</v>
      </c>
      <c r="D91" s="170" t="s">
        <v>172</v>
      </c>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row>
    <row r="92" spans="2:37" s="153" customFormat="1">
      <c r="B92" s="182">
        <v>2021</v>
      </c>
      <c r="C92" s="170" t="s">
        <v>112</v>
      </c>
      <c r="D92" s="170" t="s">
        <v>201</v>
      </c>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row>
    <row r="93" spans="2:37" s="153" customFormat="1">
      <c r="B93" s="182">
        <v>2022</v>
      </c>
      <c r="C93" s="170" t="s">
        <v>114</v>
      </c>
      <c r="D93" s="170" t="s">
        <v>237</v>
      </c>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row>
    <row r="94" spans="2:37" s="153" customFormat="1">
      <c r="B94" s="182">
        <v>2023</v>
      </c>
      <c r="C94" s="170" t="s">
        <v>116</v>
      </c>
      <c r="D94" s="170" t="s">
        <v>202</v>
      </c>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row>
    <row r="95" spans="2:37" s="153" customFormat="1">
      <c r="B95" s="182">
        <v>2024</v>
      </c>
      <c r="C95" s="170" t="s">
        <v>118</v>
      </c>
      <c r="D95" s="170" t="s">
        <v>174</v>
      </c>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row>
    <row r="96" spans="2:37" s="153" customFormat="1">
      <c r="B96" s="182">
        <v>2025</v>
      </c>
      <c r="C96" s="170" t="s">
        <v>120</v>
      </c>
      <c r="D96" s="170" t="s">
        <v>175</v>
      </c>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row>
    <row r="97" spans="2:37" s="153" customFormat="1">
      <c r="B97" s="182" t="s">
        <v>176</v>
      </c>
      <c r="C97" s="170" t="s">
        <v>122</v>
      </c>
      <c r="D97" s="170" t="s">
        <v>253</v>
      </c>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row>
    <row r="98" spans="2:37" s="153" customFormat="1">
      <c r="B98" s="182" t="s">
        <v>177</v>
      </c>
      <c r="C98" s="170" t="s">
        <v>123</v>
      </c>
      <c r="D98" s="170" t="s">
        <v>254</v>
      </c>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row>
    <row r="99" spans="2:37" s="153" customFormat="1">
      <c r="B99" s="182" t="s">
        <v>178</v>
      </c>
      <c r="C99" s="170" t="s">
        <v>124</v>
      </c>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row>
    <row r="100" spans="2:37" s="153" customFormat="1">
      <c r="B100" s="182" t="s">
        <v>176</v>
      </c>
      <c r="C100" s="170" t="s">
        <v>125</v>
      </c>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row>
    <row r="101" spans="2:37" s="153" customFormat="1">
      <c r="C101" s="170" t="s">
        <v>150</v>
      </c>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row>
    <row r="102" spans="2:37">
      <c r="C102" s="170" t="s">
        <v>151</v>
      </c>
      <c r="D102" s="153"/>
    </row>
    <row r="103" spans="2:37">
      <c r="C103" s="170" t="s">
        <v>152</v>
      </c>
      <c r="D103" s="153"/>
    </row>
    <row r="104" spans="2:37">
      <c r="C104" s="170" t="s">
        <v>153</v>
      </c>
      <c r="D104" s="153"/>
    </row>
    <row r="105" spans="2:37">
      <c r="C105" s="170" t="s">
        <v>154</v>
      </c>
    </row>
    <row r="106" spans="2:37">
      <c r="C106" s="170" t="s">
        <v>155</v>
      </c>
    </row>
    <row r="107" spans="2:37">
      <c r="C107" s="170" t="s">
        <v>156</v>
      </c>
    </row>
    <row r="108" spans="2:37">
      <c r="C108" s="170" t="s">
        <v>157</v>
      </c>
    </row>
    <row r="109" spans="2:37">
      <c r="B109" s="153" t="str">
        <f>CONCATENATE("Reduction in regulatory fraction at ",+D9)</f>
        <v>Reduction in regulatory fraction at (version 2.0 Draft)</v>
      </c>
      <c r="C109" s="170" t="s">
        <v>158</v>
      </c>
    </row>
    <row r="110" spans="2:37">
      <c r="C110" s="170" t="s">
        <v>161</v>
      </c>
    </row>
    <row r="137" spans="2:2">
      <c r="B137" s="153" t="str">
        <f>CONCATENATE("Year 3 of this valuation period ended 31 March ",+$E$101)</f>
        <v xml:space="preserve">Year 3 of this valuation period ended 31 March </v>
      </c>
    </row>
    <row r="156" spans="2:2">
      <c r="B156" s="291" t="str">
        <f>CONCATENATE("Established Deficit at ",+D9)</f>
        <v>Established Deficit at (version 2.0 Draft)</v>
      </c>
    </row>
    <row r="157" spans="2:2">
      <c r="B157" s="291" t="str">
        <f>CONCATENATE("Incremental Deficit at ",+D9)</f>
        <v>Incremental Deficit at (version 2.0 Draft)</v>
      </c>
    </row>
  </sheetData>
  <phoneticPr fontId="43" type="noConversion"/>
  <dataValidations count="5">
    <dataValidation type="list" allowBlank="1" showInputMessage="1" showErrorMessage="1" sqref="D13">
      <formula1>$D$34:$D$46</formula1>
    </dataValidation>
    <dataValidation type="list" allowBlank="1" showInputMessage="1" showErrorMessage="1" sqref="D24">
      <formula1>Year</formula1>
    </dataValidation>
    <dataValidation type="list" allowBlank="1" showInputMessage="1" showErrorMessage="1" sqref="D12">
      <formula1>$D$34:$D$49</formula1>
    </dataValidation>
    <dataValidation type="list" allowBlank="1" showInputMessage="1" showErrorMessage="1" sqref="D14:D19">
      <formula1>$C$34:$C$66</formula1>
    </dataValidation>
    <dataValidation type="list" allowBlank="1" showInputMessage="1" showErrorMessage="1" sqref="D21:D22">
      <formula1>$D$81:$D$98</formula1>
    </dataValidation>
  </dataValidations>
  <pageMargins left="0.70866141732283472" right="0.70866141732283472" top="0.74803149606299213" bottom="0.74803149606299213" header="0.31496062992125984" footer="0.31496062992125984"/>
  <pageSetup paperSize="8"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18"/>
  <sheetViews>
    <sheetView showGridLines="0" zoomScaleNormal="100" workbookViewId="0">
      <selection activeCell="A3" sqref="A3"/>
    </sheetView>
  </sheetViews>
  <sheetFormatPr defaultColWidth="9.1328125" defaultRowHeight="12.4"/>
  <cols>
    <col min="1" max="1" width="4.33203125" style="183" customWidth="1"/>
    <col min="2" max="2" width="40.6640625" style="183" customWidth="1"/>
    <col min="3" max="3" width="31.6640625" style="183" customWidth="1"/>
    <col min="4" max="4" width="73" style="183" customWidth="1"/>
    <col min="5" max="9" width="18.33203125" style="183" customWidth="1"/>
    <col min="10" max="16384" width="9.1328125" style="183"/>
  </cols>
  <sheetData>
    <row r="1" spans="1:15" s="223" customFormat="1" ht="20.65">
      <c r="A1" s="221" t="s">
        <v>128</v>
      </c>
      <c r="B1" s="221"/>
      <c r="C1" s="221"/>
      <c r="D1" s="221"/>
      <c r="E1" s="221"/>
      <c r="F1" s="221"/>
      <c r="G1" s="221"/>
      <c r="H1" s="221"/>
      <c r="I1" s="222"/>
      <c r="J1" s="222"/>
      <c r="O1" s="222" t="s">
        <v>104</v>
      </c>
    </row>
    <row r="2" spans="1:15" s="223" customFormat="1" ht="20.65">
      <c r="A2" s="221" t="str">
        <f>+'Pension Pack cover'!D12</f>
        <v xml:space="preserve">NWO Group Name </v>
      </c>
      <c r="B2" s="221"/>
      <c r="C2" s="221"/>
      <c r="D2" s="221"/>
      <c r="E2" s="221"/>
      <c r="F2" s="221"/>
      <c r="G2" s="221"/>
      <c r="H2" s="221"/>
    </row>
    <row r="3" spans="1:15" s="224" customFormat="1" ht="20.65">
      <c r="A3" s="221"/>
      <c r="B3" s="221"/>
      <c r="C3" s="221"/>
      <c r="D3" s="221"/>
      <c r="E3" s="221"/>
      <c r="F3" s="221"/>
      <c r="G3" s="221"/>
      <c r="H3" s="221"/>
    </row>
    <row r="6" spans="1:15">
      <c r="B6" s="184" t="s">
        <v>129</v>
      </c>
    </row>
    <row r="8" spans="1:15">
      <c r="B8" s="185" t="s">
        <v>130</v>
      </c>
      <c r="C8" s="185" t="s">
        <v>131</v>
      </c>
      <c r="D8" s="186" t="s">
        <v>132</v>
      </c>
    </row>
    <row r="9" spans="1:15">
      <c r="B9" s="187" t="s">
        <v>133</v>
      </c>
      <c r="C9" s="188"/>
      <c r="D9" s="189"/>
    </row>
    <row r="10" spans="1:15">
      <c r="B10" s="187" t="s">
        <v>134</v>
      </c>
      <c r="C10" s="188"/>
      <c r="D10" s="189"/>
    </row>
    <row r="11" spans="1:15">
      <c r="B11" s="187" t="s">
        <v>135</v>
      </c>
      <c r="C11" s="188"/>
      <c r="D11" s="189"/>
    </row>
    <row r="12" spans="1:15">
      <c r="B12" s="187" t="s">
        <v>136</v>
      </c>
      <c r="C12" s="188"/>
      <c r="D12" s="189"/>
    </row>
    <row r="13" spans="1:15">
      <c r="B13" s="187" t="s">
        <v>137</v>
      </c>
      <c r="C13" s="188"/>
      <c r="D13" s="189"/>
    </row>
    <row r="14" spans="1:15">
      <c r="B14" s="187" t="s">
        <v>138</v>
      </c>
      <c r="C14" s="188"/>
      <c r="D14" s="189"/>
    </row>
    <row r="15" spans="1:15">
      <c r="B15" s="187" t="s">
        <v>139</v>
      </c>
      <c r="C15" s="188"/>
      <c r="D15" s="189"/>
    </row>
    <row r="16" spans="1:15">
      <c r="B16" s="187" t="s">
        <v>140</v>
      </c>
      <c r="C16" s="188"/>
      <c r="D16" s="189"/>
    </row>
    <row r="17" spans="2:4">
      <c r="B17" s="187" t="s">
        <v>141</v>
      </c>
      <c r="C17" s="188"/>
      <c r="D17" s="189"/>
    </row>
    <row r="18" spans="2:4">
      <c r="B18" s="187" t="s">
        <v>142</v>
      </c>
      <c r="C18" s="188"/>
      <c r="D18" s="189"/>
    </row>
  </sheetData>
  <phoneticPr fontId="43" type="noConversion"/>
  <pageMargins left="0.70866141732283472" right="0.70866141732283472" top="0.74803149606299213" bottom="0.74803149606299213" header="0.31496062992125984" footer="0.31496062992125984"/>
  <pageSetup paperSize="8"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M18"/>
  <sheetViews>
    <sheetView showGridLines="0" zoomScale="112" zoomScaleNormal="100" workbookViewId="0">
      <selection activeCell="A9" sqref="A9"/>
    </sheetView>
  </sheetViews>
  <sheetFormatPr defaultColWidth="9.1328125" defaultRowHeight="12.4"/>
  <cols>
    <col min="1" max="1" width="70.9296875" style="183" bestFit="1" customWidth="1"/>
    <col min="2" max="3" width="10.6640625" style="183" customWidth="1"/>
    <col min="4" max="4" width="42.53125" style="183" customWidth="1"/>
    <col min="5" max="5" width="5.1328125" style="183" customWidth="1"/>
    <col min="6" max="16384" width="9.1328125" style="183"/>
  </cols>
  <sheetData>
    <row r="1" spans="1:39" s="190" customFormat="1" ht="18" customHeight="1">
      <c r="A1" s="221" t="s">
        <v>143</v>
      </c>
      <c r="B1" s="221"/>
      <c r="C1" s="221"/>
      <c r="D1" s="221"/>
      <c r="E1" s="221"/>
      <c r="H1" s="191"/>
      <c r="J1" s="191"/>
      <c r="M1" s="191"/>
      <c r="N1" s="191"/>
      <c r="R1" s="191"/>
    </row>
    <row r="2" spans="1:39" s="190" customFormat="1" ht="18" customHeight="1">
      <c r="A2" s="221" t="str">
        <f>+'Pension Pack cover'!D12</f>
        <v xml:space="preserve">NWO Group Name </v>
      </c>
      <c r="B2" s="221"/>
      <c r="C2" s="221"/>
      <c r="D2" s="221"/>
      <c r="E2" s="221"/>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row>
    <row r="3" spans="1:39" s="192" customFormat="1" ht="18" customHeight="1">
      <c r="A3" s="221">
        <f>+'Pension Pack cover'!D24</f>
        <v>2020</v>
      </c>
      <c r="B3" s="221"/>
      <c r="C3" s="221"/>
      <c r="D3" s="221"/>
      <c r="E3" s="221"/>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row>
    <row r="4" spans="1:39" s="260" customFormat="1" ht="18" customHeight="1">
      <c r="A4" s="261"/>
      <c r="B4" s="261"/>
      <c r="C4" s="261"/>
      <c r="D4" s="261"/>
      <c r="E4" s="261"/>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row>
    <row r="5" spans="1:39">
      <c r="B5" s="263" t="s">
        <v>232</v>
      </c>
      <c r="C5" s="264"/>
    </row>
    <row r="6" spans="1:39" ht="14.25">
      <c r="A6" s="220" t="s">
        <v>203</v>
      </c>
      <c r="B6" s="194"/>
      <c r="C6" s="194"/>
    </row>
    <row r="7" spans="1:39" ht="14.25">
      <c r="A7" s="220" t="s">
        <v>250</v>
      </c>
      <c r="B7" s="194"/>
      <c r="C7" s="194"/>
    </row>
    <row r="8" spans="1:39" ht="14.25">
      <c r="A8" s="220" t="s">
        <v>339</v>
      </c>
      <c r="B8" s="194"/>
      <c r="C8" s="194"/>
      <c r="G8" s="193"/>
    </row>
    <row r="9" spans="1:39" ht="14.25">
      <c r="A9" s="220" t="s">
        <v>523</v>
      </c>
      <c r="B9" s="194"/>
      <c r="C9" s="194"/>
    </row>
    <row r="10" spans="1:39" ht="14.25">
      <c r="A10" s="220" t="s">
        <v>519</v>
      </c>
      <c r="B10" s="194"/>
      <c r="C10" s="194"/>
    </row>
    <row r="11" spans="1:39" ht="14.25">
      <c r="A11" s="220" t="s">
        <v>520</v>
      </c>
      <c r="B11" s="194"/>
      <c r="C11" s="194"/>
    </row>
    <row r="12" spans="1:39" ht="14.25">
      <c r="A12" s="220" t="s">
        <v>249</v>
      </c>
      <c r="B12" s="194"/>
      <c r="C12" s="194"/>
    </row>
    <row r="13" spans="1:39" ht="14.25">
      <c r="A13" s="220" t="s">
        <v>204</v>
      </c>
      <c r="B13" s="194"/>
      <c r="C13" s="194"/>
    </row>
    <row r="14" spans="1:39" ht="14.25">
      <c r="A14" s="220" t="s">
        <v>340</v>
      </c>
      <c r="B14" s="194"/>
      <c r="C14" s="194"/>
      <c r="G14" s="193"/>
    </row>
    <row r="15" spans="1:39" ht="14.25">
      <c r="A15" s="220" t="s">
        <v>524</v>
      </c>
      <c r="B15" s="194"/>
      <c r="C15" s="194"/>
    </row>
    <row r="16" spans="1:39" ht="14.25">
      <c r="A16" s="220" t="s">
        <v>521</v>
      </c>
      <c r="B16" s="194"/>
      <c r="C16" s="194"/>
    </row>
    <row r="17" spans="1:3" ht="14.25">
      <c r="A17" s="220" t="s">
        <v>522</v>
      </c>
      <c r="B17" s="194"/>
      <c r="C17" s="194"/>
    </row>
    <row r="18" spans="1:3" ht="14.25">
      <c r="A18" s="293" t="s">
        <v>511</v>
      </c>
      <c r="B18" s="194"/>
      <c r="C18" s="194"/>
    </row>
  </sheetData>
  <phoneticPr fontId="43" type="noConversion"/>
  <hyperlinks>
    <hyperlink ref="A6" location="'P1.1 PDAM Licensee provided'!A1" display="P1.1 - PDAM information completed by licensee - primary scheme"/>
    <hyperlink ref="A12" location="'P2.1 PDAM Licensee provided'!A1" display="P2.1 - PDAM information completed by licensee - second scheme"/>
    <hyperlink ref="A7" location="'P1.2 PDAM Actuary provided data'!A1" display="P1.2 - PDAM information completed by Actuary - primary scheme"/>
    <hyperlink ref="A13" location="'P2.2 PDAM Actuary provided'!A1" display="P2.2 - PDAM information completed by Actuary - second scheme"/>
    <hyperlink ref="A8" location="'P1.3 Deleted '!Print_Area" display="P1.3 - Deleted"/>
    <hyperlink ref="A14" location="'P2.3 Deleted'!Print_Area" display="P2.3 - Deleted"/>
    <hyperlink ref="A9" location="'P1.4 Pensions_PPF_Admin'!A1" display="P1.4 - PPF Levies and Scheme administration - Primary scheme [not DNOs]"/>
    <hyperlink ref="A15" location="'P2.4 Pensions_PPF_Admin'!A1" display="P2.4 - PPF Levies and Scheme administration - Second scheme [not DNOs]"/>
    <hyperlink ref="A10:A11" location="'P1.4 Pensions_PPF_Admin'!A1" display="P1.4 - PPF Levies and Scheme administration - Primary scheme [not DNOs]"/>
    <hyperlink ref="A10" location="'P1.5 Calculation of Vrr - L1'!A1" display="P1.5 - Calculation of Vrr - Licensee 1"/>
    <hyperlink ref="A11" location="'P1.6 IBAPA and PBAPA - L1'!A1" display="P1.6 IBAPA and PBAPA - Licensee 1"/>
    <hyperlink ref="A17" location="'P2.6 IBAPA and PBAPA - L2'!A1" display="P2.6 IBAPA and PBAPA - Licensee 2"/>
    <hyperlink ref="A18" location="'Para 6.20 adjustments'!_Toc352922511" display="Para 6.20 adjustment"/>
    <hyperlink ref="A16" location="'P2.5 Calculation of Vrr - L2'!A1" display="P2.5 - Calculation of Vrr - Licensee 2"/>
  </hyperlinks>
  <pageMargins left="0.70866141732283472" right="0.70866141732283472" top="0.74803149606299213" bottom="0.74803149606299213" header="0.31496062992125984" footer="0.31496062992125984"/>
  <pageSetup paperSize="8"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07"/>
  <sheetViews>
    <sheetView showGridLines="0" zoomScaleNormal="100" workbookViewId="0">
      <pane xSplit="1" ySplit="6" topLeftCell="B78" activePane="bottomRight" state="frozen"/>
      <selection pane="topRight" activeCell="B1" sqref="B1"/>
      <selection pane="bottomLeft" activeCell="A7" sqref="A7"/>
      <selection pane="bottomRight" activeCell="D83" sqref="D83"/>
    </sheetView>
  </sheetViews>
  <sheetFormatPr defaultColWidth="9.1328125" defaultRowHeight="12.4"/>
  <cols>
    <col min="1" max="1" width="2.46484375" style="198" customWidth="1"/>
    <col min="2" max="2" width="19.53125" style="197" customWidth="1"/>
    <col min="3" max="3" width="23.33203125" style="197" customWidth="1"/>
    <col min="4" max="4" width="100.1328125" style="198" customWidth="1"/>
    <col min="5" max="16384" width="9.1328125" style="198"/>
  </cols>
  <sheetData>
    <row r="1" spans="1:5" s="195" customFormat="1" ht="20.65">
      <c r="A1" s="221"/>
      <c r="B1" s="221" t="s">
        <v>144</v>
      </c>
      <c r="C1" s="221"/>
      <c r="D1" s="221"/>
    </row>
    <row r="2" spans="1:5" s="195" customFormat="1" ht="20.65">
      <c r="A2" s="221"/>
      <c r="B2" s="221" t="str">
        <f>+'Pension Pack cover'!D12</f>
        <v xml:space="preserve">NWO Group Name </v>
      </c>
      <c r="C2" s="221"/>
      <c r="D2" s="221"/>
    </row>
    <row r="3" spans="1:5" s="195" customFormat="1" ht="20.65">
      <c r="A3" s="221"/>
      <c r="B3" s="221" t="s">
        <v>145</v>
      </c>
      <c r="C3" s="221"/>
      <c r="D3" s="221"/>
    </row>
    <row r="4" spans="1:5" ht="14.25">
      <c r="B4" s="196" t="s">
        <v>159</v>
      </c>
    </row>
    <row r="6" spans="1:5" ht="45" customHeight="1">
      <c r="B6" s="199" t="s">
        <v>146</v>
      </c>
      <c r="C6" s="199" t="s">
        <v>147</v>
      </c>
      <c r="D6" s="199" t="s">
        <v>148</v>
      </c>
    </row>
    <row r="7" spans="1:5" ht="14.25">
      <c r="B7" s="312" t="s">
        <v>289</v>
      </c>
      <c r="C7" s="201" t="s">
        <v>290</v>
      </c>
      <c r="D7" s="313" t="s">
        <v>291</v>
      </c>
      <c r="E7" s="183"/>
    </row>
    <row r="8" spans="1:5" ht="14.25">
      <c r="B8" s="312" t="s">
        <v>292</v>
      </c>
      <c r="C8" s="201" t="s">
        <v>293</v>
      </c>
      <c r="D8" s="313" t="s">
        <v>294</v>
      </c>
      <c r="E8" s="183"/>
    </row>
    <row r="9" spans="1:5" ht="14.25">
      <c r="B9" s="312" t="s">
        <v>292</v>
      </c>
      <c r="C9" s="201" t="s">
        <v>293</v>
      </c>
      <c r="D9" s="313" t="s">
        <v>295</v>
      </c>
      <c r="E9" s="183"/>
    </row>
    <row r="10" spans="1:5" ht="14.25">
      <c r="B10" s="312" t="s">
        <v>292</v>
      </c>
      <c r="C10" s="201" t="s">
        <v>293</v>
      </c>
      <c r="D10" s="313" t="s">
        <v>296</v>
      </c>
      <c r="E10" s="183"/>
    </row>
    <row r="11" spans="1:5" ht="14.25">
      <c r="B11" s="312" t="s">
        <v>292</v>
      </c>
      <c r="C11" s="201" t="s">
        <v>293</v>
      </c>
      <c r="D11" s="313" t="s">
        <v>297</v>
      </c>
      <c r="E11" s="183"/>
    </row>
    <row r="12" spans="1:5" ht="14.25">
      <c r="B12" s="312" t="s">
        <v>292</v>
      </c>
      <c r="C12" s="201" t="s">
        <v>293</v>
      </c>
      <c r="D12" s="313" t="s">
        <v>298</v>
      </c>
      <c r="E12" s="183"/>
    </row>
    <row r="13" spans="1:5" ht="14.25">
      <c r="B13" s="312" t="s">
        <v>292</v>
      </c>
      <c r="C13" s="201" t="s">
        <v>293</v>
      </c>
      <c r="D13" s="313" t="s">
        <v>299</v>
      </c>
      <c r="E13" s="202"/>
    </row>
    <row r="14" spans="1:5" ht="14.25">
      <c r="B14" s="312" t="s">
        <v>292</v>
      </c>
      <c r="C14" s="201" t="s">
        <v>293</v>
      </c>
      <c r="D14" s="313" t="s">
        <v>300</v>
      </c>
    </row>
    <row r="15" spans="1:5" ht="14.25">
      <c r="B15" s="312" t="s">
        <v>292</v>
      </c>
      <c r="C15" s="201" t="s">
        <v>293</v>
      </c>
      <c r="D15" s="313" t="s">
        <v>301</v>
      </c>
    </row>
    <row r="16" spans="1:5" ht="14.25">
      <c r="B16" s="312" t="s">
        <v>292</v>
      </c>
      <c r="C16" s="201" t="s">
        <v>293</v>
      </c>
      <c r="D16" s="313" t="s">
        <v>302</v>
      </c>
    </row>
    <row r="17" spans="2:4" ht="14.25">
      <c r="B17" s="312" t="s">
        <v>292</v>
      </c>
      <c r="C17" s="201" t="s">
        <v>293</v>
      </c>
      <c r="D17" s="313" t="s">
        <v>303</v>
      </c>
    </row>
    <row r="18" spans="2:4" ht="14.25">
      <c r="B18" s="312" t="s">
        <v>292</v>
      </c>
      <c r="C18" s="201" t="s">
        <v>293</v>
      </c>
      <c r="D18" s="313" t="s">
        <v>304</v>
      </c>
    </row>
    <row r="19" spans="2:4" ht="14.25">
      <c r="B19" s="312" t="s">
        <v>292</v>
      </c>
      <c r="C19" s="201" t="s">
        <v>293</v>
      </c>
      <c r="D19" s="313" t="s">
        <v>305</v>
      </c>
    </row>
    <row r="20" spans="2:4" ht="14.25">
      <c r="B20" s="312" t="s">
        <v>292</v>
      </c>
      <c r="C20" s="201" t="s">
        <v>293</v>
      </c>
      <c r="D20" s="313" t="s">
        <v>306</v>
      </c>
    </row>
    <row r="21" spans="2:4" ht="14.25">
      <c r="B21" s="312" t="s">
        <v>292</v>
      </c>
      <c r="C21" s="201" t="s">
        <v>293</v>
      </c>
      <c r="D21" s="313" t="s">
        <v>307</v>
      </c>
    </row>
    <row r="22" spans="2:4" ht="14.25">
      <c r="B22" s="312" t="s">
        <v>292</v>
      </c>
      <c r="C22" s="201" t="s">
        <v>293</v>
      </c>
      <c r="D22" s="314" t="s">
        <v>308</v>
      </c>
    </row>
    <row r="23" spans="2:4" ht="14.25">
      <c r="B23" s="312" t="s">
        <v>292</v>
      </c>
      <c r="C23" s="201" t="s">
        <v>293</v>
      </c>
      <c r="D23" s="314" t="s">
        <v>309</v>
      </c>
    </row>
    <row r="24" spans="2:4" ht="14.25">
      <c r="B24" s="312" t="s">
        <v>292</v>
      </c>
      <c r="C24" s="201" t="s">
        <v>293</v>
      </c>
      <c r="D24" s="314" t="s">
        <v>310</v>
      </c>
    </row>
    <row r="25" spans="2:4" ht="14.25">
      <c r="B25" s="312" t="s">
        <v>311</v>
      </c>
      <c r="C25" s="201" t="s">
        <v>293</v>
      </c>
      <c r="D25" s="314" t="s">
        <v>312</v>
      </c>
    </row>
    <row r="26" spans="2:4">
      <c r="B26" s="312" t="s">
        <v>311</v>
      </c>
      <c r="C26" s="315" t="s">
        <v>290</v>
      </c>
      <c r="D26" s="204" t="s">
        <v>313</v>
      </c>
    </row>
    <row r="27" spans="2:4">
      <c r="B27" s="312" t="s">
        <v>311</v>
      </c>
      <c r="C27" s="315" t="s">
        <v>293</v>
      </c>
      <c r="D27" s="204" t="s">
        <v>314</v>
      </c>
    </row>
    <row r="28" spans="2:4">
      <c r="B28" s="312" t="s">
        <v>311</v>
      </c>
      <c r="C28" s="315" t="s">
        <v>293</v>
      </c>
      <c r="D28" s="204" t="s">
        <v>315</v>
      </c>
    </row>
    <row r="29" spans="2:4">
      <c r="B29" s="312" t="s">
        <v>311</v>
      </c>
      <c r="C29" s="315" t="s">
        <v>293</v>
      </c>
      <c r="D29" s="204" t="s">
        <v>316</v>
      </c>
    </row>
    <row r="30" spans="2:4">
      <c r="B30" s="312" t="s">
        <v>311</v>
      </c>
      <c r="C30" s="315" t="s">
        <v>317</v>
      </c>
      <c r="D30" s="204" t="s">
        <v>318</v>
      </c>
    </row>
    <row r="31" spans="2:4">
      <c r="B31" s="312" t="s">
        <v>311</v>
      </c>
      <c r="C31" s="315" t="s">
        <v>317</v>
      </c>
      <c r="D31" s="204" t="s">
        <v>319</v>
      </c>
    </row>
    <row r="32" spans="2:4">
      <c r="B32" s="312" t="s">
        <v>311</v>
      </c>
      <c r="C32" s="315" t="s">
        <v>317</v>
      </c>
      <c r="D32" s="204" t="s">
        <v>320</v>
      </c>
    </row>
    <row r="33" spans="2:4">
      <c r="B33" s="312" t="s">
        <v>311</v>
      </c>
      <c r="C33" s="315" t="s">
        <v>317</v>
      </c>
      <c r="D33" s="204" t="s">
        <v>321</v>
      </c>
    </row>
    <row r="34" spans="2:4">
      <c r="B34" s="312" t="s">
        <v>311</v>
      </c>
      <c r="C34" s="315" t="s">
        <v>317</v>
      </c>
      <c r="D34" s="204" t="s">
        <v>322</v>
      </c>
    </row>
    <row r="35" spans="2:4">
      <c r="B35" s="312" t="s">
        <v>324</v>
      </c>
      <c r="C35" s="323" t="s">
        <v>143</v>
      </c>
      <c r="D35" s="204" t="s">
        <v>325</v>
      </c>
    </row>
    <row r="36" spans="2:4">
      <c r="B36" s="312" t="s">
        <v>324</v>
      </c>
      <c r="C36" s="323" t="s">
        <v>326</v>
      </c>
      <c r="D36" s="323" t="s">
        <v>327</v>
      </c>
    </row>
    <row r="37" spans="2:4">
      <c r="B37" s="312" t="s">
        <v>324</v>
      </c>
      <c r="C37" s="323" t="s">
        <v>293</v>
      </c>
      <c r="D37" s="204" t="s">
        <v>328</v>
      </c>
    </row>
    <row r="38" spans="2:4">
      <c r="B38" s="312" t="s">
        <v>324</v>
      </c>
      <c r="C38" s="323" t="s">
        <v>293</v>
      </c>
      <c r="D38" s="323" t="s">
        <v>329</v>
      </c>
    </row>
    <row r="39" spans="2:4">
      <c r="B39" s="312" t="s">
        <v>324</v>
      </c>
      <c r="C39" s="323" t="s">
        <v>293</v>
      </c>
      <c r="D39" s="204" t="s">
        <v>330</v>
      </c>
    </row>
    <row r="40" spans="2:4">
      <c r="B40" s="312" t="s">
        <v>324</v>
      </c>
      <c r="C40" s="323" t="s">
        <v>293</v>
      </c>
      <c r="D40" s="204" t="s">
        <v>331</v>
      </c>
    </row>
    <row r="41" spans="2:4">
      <c r="B41" s="312" t="s">
        <v>324</v>
      </c>
      <c r="C41" s="323" t="s">
        <v>317</v>
      </c>
      <c r="D41" s="204" t="s">
        <v>332</v>
      </c>
    </row>
    <row r="42" spans="2:4">
      <c r="B42" s="312" t="s">
        <v>333</v>
      </c>
      <c r="C42" s="442" t="s">
        <v>531</v>
      </c>
      <c r="D42" s="204" t="s">
        <v>334</v>
      </c>
    </row>
    <row r="43" spans="2:4">
      <c r="B43" s="312" t="s">
        <v>333</v>
      </c>
      <c r="C43" s="325" t="s">
        <v>341</v>
      </c>
      <c r="D43" s="204" t="s">
        <v>342</v>
      </c>
    </row>
    <row r="44" spans="2:4">
      <c r="B44" s="312" t="s">
        <v>333</v>
      </c>
      <c r="C44" s="325" t="s">
        <v>343</v>
      </c>
      <c r="D44" s="204" t="s">
        <v>344</v>
      </c>
    </row>
    <row r="45" spans="2:4">
      <c r="B45" s="312" t="s">
        <v>333</v>
      </c>
      <c r="C45" s="384" t="s">
        <v>502</v>
      </c>
      <c r="D45" s="204" t="s">
        <v>506</v>
      </c>
    </row>
    <row r="46" spans="2:4">
      <c r="B46" s="312" t="s">
        <v>333</v>
      </c>
      <c r="C46" s="325" t="s">
        <v>345</v>
      </c>
      <c r="D46" s="204" t="s">
        <v>346</v>
      </c>
    </row>
    <row r="47" spans="2:4" ht="24.75">
      <c r="B47" s="312" t="s">
        <v>333</v>
      </c>
      <c r="C47" s="384" t="s">
        <v>503</v>
      </c>
      <c r="D47" s="442" t="s">
        <v>528</v>
      </c>
    </row>
    <row r="48" spans="2:4">
      <c r="B48" s="312" t="s">
        <v>333</v>
      </c>
      <c r="C48" s="391" t="s">
        <v>517</v>
      </c>
      <c r="D48" s="391" t="s">
        <v>516</v>
      </c>
    </row>
    <row r="49" spans="2:4">
      <c r="B49" s="312" t="s">
        <v>333</v>
      </c>
      <c r="C49" s="391" t="s">
        <v>143</v>
      </c>
      <c r="D49" s="392" t="s">
        <v>518</v>
      </c>
    </row>
    <row r="50" spans="2:4" ht="24.75">
      <c r="B50" s="312" t="s">
        <v>333</v>
      </c>
      <c r="C50" s="442" t="s">
        <v>529</v>
      </c>
      <c r="D50" s="443" t="s">
        <v>530</v>
      </c>
    </row>
    <row r="51" spans="2:4">
      <c r="B51" s="312" t="s">
        <v>333</v>
      </c>
      <c r="C51" s="442" t="s">
        <v>531</v>
      </c>
      <c r="D51" s="442" t="s">
        <v>532</v>
      </c>
    </row>
    <row r="52" spans="2:4" ht="49.5">
      <c r="B52" s="312" t="s">
        <v>333</v>
      </c>
      <c r="C52" s="442" t="s">
        <v>534</v>
      </c>
      <c r="D52" s="442" t="s">
        <v>533</v>
      </c>
    </row>
    <row r="53" spans="2:4">
      <c r="B53" s="312" t="s">
        <v>546</v>
      </c>
      <c r="C53" s="203" t="s">
        <v>535</v>
      </c>
      <c r="D53" s="445" t="s">
        <v>539</v>
      </c>
    </row>
    <row r="54" spans="2:4" ht="49.5">
      <c r="B54" s="312" t="s">
        <v>546</v>
      </c>
      <c r="C54" s="203" t="s">
        <v>536</v>
      </c>
      <c r="D54" s="445" t="s">
        <v>543</v>
      </c>
    </row>
    <row r="55" spans="2:4" ht="61.9">
      <c r="B55" s="312" t="s">
        <v>546</v>
      </c>
      <c r="C55" s="203" t="s">
        <v>537</v>
      </c>
      <c r="D55" s="203" t="s">
        <v>540</v>
      </c>
    </row>
    <row r="56" spans="2:4" ht="24.75">
      <c r="B56" s="312" t="s">
        <v>546</v>
      </c>
      <c r="C56" s="203" t="s">
        <v>538</v>
      </c>
      <c r="D56" s="204" t="s">
        <v>545</v>
      </c>
    </row>
    <row r="57" spans="2:4">
      <c r="B57" s="312" t="s">
        <v>546</v>
      </c>
      <c r="C57" s="203" t="s">
        <v>538</v>
      </c>
      <c r="D57" s="203" t="s">
        <v>541</v>
      </c>
    </row>
    <row r="58" spans="2:4">
      <c r="B58" s="312" t="s">
        <v>546</v>
      </c>
      <c r="C58" s="445" t="s">
        <v>547</v>
      </c>
      <c r="D58" s="445" t="s">
        <v>548</v>
      </c>
    </row>
    <row r="59" spans="2:4" ht="37.15">
      <c r="B59" s="312" t="s">
        <v>546</v>
      </c>
      <c r="C59" s="445" t="s">
        <v>535</v>
      </c>
      <c r="D59" s="445" t="s">
        <v>550</v>
      </c>
    </row>
    <row r="60" spans="2:4">
      <c r="B60" s="312" t="s">
        <v>546</v>
      </c>
      <c r="C60" s="445" t="s">
        <v>560</v>
      </c>
      <c r="D60" s="446" t="s">
        <v>561</v>
      </c>
    </row>
    <row r="61" spans="2:4" ht="24.75">
      <c r="B61" s="312" t="s">
        <v>546</v>
      </c>
      <c r="C61" s="447" t="s">
        <v>562</v>
      </c>
      <c r="D61" s="447" t="s">
        <v>563</v>
      </c>
    </row>
    <row r="62" spans="2:4" ht="24.75">
      <c r="B62" s="312" t="s">
        <v>546</v>
      </c>
      <c r="C62" s="447" t="s">
        <v>562</v>
      </c>
      <c r="D62" s="451" t="s">
        <v>564</v>
      </c>
    </row>
    <row r="63" spans="2:4" ht="24.75">
      <c r="B63" s="312" t="s">
        <v>546</v>
      </c>
      <c r="C63" s="447" t="s">
        <v>562</v>
      </c>
      <c r="D63" s="451" t="s">
        <v>566</v>
      </c>
    </row>
    <row r="64" spans="2:4" ht="24.75">
      <c r="B64" s="312" t="s">
        <v>546</v>
      </c>
      <c r="C64" s="447" t="s">
        <v>562</v>
      </c>
      <c r="D64" s="451" t="s">
        <v>565</v>
      </c>
    </row>
    <row r="65" spans="2:4">
      <c r="B65" s="312" t="s">
        <v>546</v>
      </c>
      <c r="C65" s="205" t="s">
        <v>567</v>
      </c>
      <c r="D65" s="451" t="s">
        <v>568</v>
      </c>
    </row>
    <row r="66" spans="2:4">
      <c r="B66" s="312" t="s">
        <v>546</v>
      </c>
      <c r="C66" s="449" t="s">
        <v>535</v>
      </c>
      <c r="D66" s="451" t="s">
        <v>569</v>
      </c>
    </row>
    <row r="67" spans="2:4">
      <c r="B67" s="312" t="s">
        <v>546</v>
      </c>
      <c r="C67" s="449" t="s">
        <v>560</v>
      </c>
      <c r="D67" s="451" t="s">
        <v>573</v>
      </c>
    </row>
    <row r="68" spans="2:4">
      <c r="B68" s="312" t="s">
        <v>546</v>
      </c>
      <c r="C68" s="449" t="s">
        <v>560</v>
      </c>
      <c r="D68" s="451" t="s">
        <v>574</v>
      </c>
    </row>
    <row r="69" spans="2:4">
      <c r="B69" s="312" t="s">
        <v>546</v>
      </c>
      <c r="C69" s="449" t="s">
        <v>326</v>
      </c>
      <c r="D69" s="451" t="s">
        <v>575</v>
      </c>
    </row>
    <row r="70" spans="2:4" ht="24.75">
      <c r="B70" s="312" t="s">
        <v>546</v>
      </c>
      <c r="C70" s="449" t="s">
        <v>576</v>
      </c>
      <c r="D70" s="451" t="s">
        <v>577</v>
      </c>
    </row>
    <row r="71" spans="2:4" ht="24.75">
      <c r="B71" s="312" t="s">
        <v>546</v>
      </c>
      <c r="C71" s="449" t="s">
        <v>576</v>
      </c>
      <c r="D71" s="451" t="s">
        <v>578</v>
      </c>
    </row>
    <row r="72" spans="2:4" ht="24.75">
      <c r="B72" s="312" t="s">
        <v>546</v>
      </c>
      <c r="C72" s="449" t="s">
        <v>579</v>
      </c>
      <c r="D72" s="451" t="s">
        <v>580</v>
      </c>
    </row>
    <row r="73" spans="2:4" ht="24.75">
      <c r="B73" s="312" t="s">
        <v>546</v>
      </c>
      <c r="C73" s="449" t="s">
        <v>579</v>
      </c>
      <c r="D73" s="451" t="s">
        <v>581</v>
      </c>
    </row>
    <row r="74" spans="2:4">
      <c r="B74" s="312" t="s">
        <v>546</v>
      </c>
      <c r="C74" s="449" t="s">
        <v>582</v>
      </c>
      <c r="D74" s="451" t="s">
        <v>583</v>
      </c>
    </row>
    <row r="75" spans="2:4">
      <c r="B75" s="312" t="s">
        <v>546</v>
      </c>
      <c r="C75" s="449" t="s">
        <v>582</v>
      </c>
      <c r="D75" s="451" t="s">
        <v>584</v>
      </c>
    </row>
    <row r="76" spans="2:4">
      <c r="B76" s="312" t="s">
        <v>546</v>
      </c>
      <c r="C76" s="449" t="s">
        <v>586</v>
      </c>
      <c r="D76" s="451" t="s">
        <v>585</v>
      </c>
    </row>
    <row r="77" spans="2:4" ht="24.75">
      <c r="B77" s="312" t="s">
        <v>546</v>
      </c>
      <c r="C77" s="449" t="s">
        <v>589</v>
      </c>
      <c r="D77" s="451" t="s">
        <v>587</v>
      </c>
    </row>
    <row r="78" spans="2:4" ht="24.75">
      <c r="B78" s="312" t="s">
        <v>546</v>
      </c>
      <c r="C78" s="449" t="s">
        <v>589</v>
      </c>
      <c r="D78" s="451" t="s">
        <v>588</v>
      </c>
    </row>
    <row r="79" spans="2:4">
      <c r="B79" s="312" t="s">
        <v>546</v>
      </c>
      <c r="C79" s="449" t="s">
        <v>590</v>
      </c>
      <c r="D79" s="451" t="s">
        <v>591</v>
      </c>
    </row>
    <row r="80" spans="2:4">
      <c r="B80" s="312" t="s">
        <v>546</v>
      </c>
      <c r="C80" s="449" t="s">
        <v>590</v>
      </c>
      <c r="D80" s="451" t="s">
        <v>593</v>
      </c>
    </row>
    <row r="81" spans="2:4">
      <c r="B81" s="312" t="s">
        <v>546</v>
      </c>
      <c r="C81" s="449" t="s">
        <v>590</v>
      </c>
      <c r="D81" s="451" t="s">
        <v>596</v>
      </c>
    </row>
    <row r="82" spans="2:4" ht="24.75">
      <c r="B82" s="312" t="s">
        <v>546</v>
      </c>
      <c r="C82" s="449" t="s">
        <v>590</v>
      </c>
      <c r="D82" s="452" t="s">
        <v>600</v>
      </c>
    </row>
    <row r="83" spans="2:4" ht="40.9">
      <c r="B83" s="312" t="s">
        <v>546</v>
      </c>
      <c r="C83" s="449" t="s">
        <v>592</v>
      </c>
      <c r="D83" s="451" t="s">
        <v>594</v>
      </c>
    </row>
    <row r="84" spans="2:4" ht="24.75">
      <c r="B84" s="312" t="s">
        <v>546</v>
      </c>
      <c r="C84" s="449" t="s">
        <v>597</v>
      </c>
      <c r="D84" s="451" t="s">
        <v>595</v>
      </c>
    </row>
    <row r="85" spans="2:4" ht="24.75">
      <c r="B85" s="312" t="s">
        <v>546</v>
      </c>
      <c r="C85" s="452" t="s">
        <v>598</v>
      </c>
      <c r="D85" s="204" t="s">
        <v>599</v>
      </c>
    </row>
    <row r="86" spans="2:4">
      <c r="B86" s="200"/>
      <c r="C86" s="203"/>
      <c r="D86" s="204"/>
    </row>
    <row r="87" spans="2:4">
      <c r="B87" s="200"/>
      <c r="C87" s="203"/>
      <c r="D87" s="204"/>
    </row>
    <row r="88" spans="2:4">
      <c r="B88" s="200"/>
      <c r="C88" s="203"/>
      <c r="D88" s="204"/>
    </row>
    <row r="89" spans="2:4">
      <c r="B89" s="200"/>
      <c r="C89" s="203"/>
      <c r="D89" s="204"/>
    </row>
    <row r="90" spans="2:4">
      <c r="B90" s="200"/>
      <c r="C90" s="203"/>
      <c r="D90" s="204"/>
    </row>
    <row r="91" spans="2:4">
      <c r="B91" s="200"/>
      <c r="C91" s="203"/>
      <c r="D91" s="204"/>
    </row>
    <row r="92" spans="2:4">
      <c r="B92" s="200"/>
      <c r="C92" s="203"/>
      <c r="D92" s="204"/>
    </row>
    <row r="93" spans="2:4">
      <c r="B93" s="200"/>
      <c r="C93" s="205"/>
      <c r="D93" s="204"/>
    </row>
    <row r="94" spans="2:4">
      <c r="B94" s="200"/>
      <c r="C94" s="205"/>
      <c r="D94" s="204"/>
    </row>
    <row r="95" spans="2:4">
      <c r="B95" s="200"/>
      <c r="C95" s="205"/>
      <c r="D95" s="204"/>
    </row>
    <row r="96" spans="2:4">
      <c r="B96" s="200"/>
      <c r="C96" s="203"/>
      <c r="D96" s="204"/>
    </row>
    <row r="97" spans="2:4" ht="14.25">
      <c r="B97" s="206"/>
      <c r="C97" s="203"/>
      <c r="D97" s="204"/>
    </row>
    <row r="98" spans="2:4">
      <c r="B98" s="200"/>
      <c r="C98" s="203"/>
      <c r="D98" s="204"/>
    </row>
    <row r="99" spans="2:4">
      <c r="B99" s="200"/>
      <c r="C99" s="205"/>
      <c r="D99" s="204"/>
    </row>
    <row r="100" spans="2:4">
      <c r="B100" s="200"/>
      <c r="C100" s="203"/>
      <c r="D100" s="204"/>
    </row>
    <row r="101" spans="2:4">
      <c r="B101" s="200"/>
      <c r="C101" s="205"/>
      <c r="D101" s="204"/>
    </row>
    <row r="102" spans="2:4">
      <c r="B102" s="200"/>
      <c r="C102" s="203"/>
      <c r="D102" s="204"/>
    </row>
    <row r="103" spans="2:4">
      <c r="B103" s="200"/>
      <c r="C103" s="203"/>
      <c r="D103" s="204"/>
    </row>
    <row r="104" spans="2:4">
      <c r="B104" s="200"/>
      <c r="C104" s="203"/>
      <c r="D104" s="204"/>
    </row>
    <row r="105" spans="2:4">
      <c r="B105" s="200"/>
      <c r="C105" s="203"/>
      <c r="D105" s="204"/>
    </row>
    <row r="106" spans="2:4">
      <c r="B106" s="200"/>
      <c r="C106" s="203"/>
      <c r="D106" s="204"/>
    </row>
    <row r="107" spans="2:4">
      <c r="B107" s="200"/>
      <c r="C107" s="203"/>
      <c r="D107" s="204"/>
    </row>
  </sheetData>
  <phoneticPr fontId="43" type="noConversion"/>
  <pageMargins left="0.70866141732283472" right="0.70866141732283472" top="0.74803149606299213" bottom="0.74803149606299213" header="0.31496062992125984" footer="0.31496062992125984"/>
  <pageSetup paperSize="8"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59999389629810485"/>
    <pageSetUpPr fitToPage="1"/>
  </sheetPr>
  <dimension ref="A1:W176"/>
  <sheetViews>
    <sheetView showGridLines="0" topLeftCell="A99" zoomScale="51" zoomScaleNormal="51" workbookViewId="0">
      <selection activeCell="I124" sqref="I124"/>
    </sheetView>
  </sheetViews>
  <sheetFormatPr defaultColWidth="9.1328125" defaultRowHeight="13.5" outlineLevelRow="1"/>
  <cols>
    <col min="1" max="1" width="10.6640625" style="22" customWidth="1"/>
    <col min="2" max="2" width="70" style="22" customWidth="1"/>
    <col min="3" max="8" width="11.33203125" style="22" customWidth="1"/>
    <col min="9" max="9" width="14.46484375" style="22" customWidth="1"/>
    <col min="10" max="10" width="11.33203125" style="22" customWidth="1"/>
    <col min="11" max="11" width="10" style="22" customWidth="1"/>
    <col min="12" max="21" width="9.1328125" style="22"/>
    <col min="22" max="22" width="15.53125" style="22" customWidth="1"/>
    <col min="23" max="16384" width="9.1328125" style="22"/>
  </cols>
  <sheetData>
    <row r="1" spans="1:23" ht="25.15">
      <c r="A1" s="265" t="s">
        <v>504</v>
      </c>
      <c r="B1" s="265"/>
      <c r="C1" s="67"/>
      <c r="D1" s="67"/>
      <c r="E1" s="67"/>
      <c r="F1" s="67"/>
      <c r="G1" s="67"/>
      <c r="H1" s="67"/>
      <c r="I1" s="67"/>
      <c r="J1" s="67"/>
      <c r="K1" s="67"/>
      <c r="L1" s="67"/>
    </row>
    <row r="2" spans="1:23" ht="25.15">
      <c r="A2" s="265" t="str">
        <f>+'Pension Pack cover'!D12</f>
        <v xml:space="preserve">NWO Group Name </v>
      </c>
      <c r="B2" s="385"/>
      <c r="C2" s="67"/>
      <c r="D2" s="67"/>
      <c r="E2" s="67"/>
      <c r="F2" s="67"/>
      <c r="G2" s="219" t="s">
        <v>194</v>
      </c>
      <c r="H2" s="67"/>
      <c r="I2" s="67"/>
      <c r="J2" s="67"/>
      <c r="K2" s="67"/>
      <c r="L2" s="67"/>
    </row>
    <row r="3" spans="1:23" ht="25.15">
      <c r="A3" s="393">
        <f>+'Pension Pack cover'!D24</f>
        <v>2020</v>
      </c>
      <c r="B3" s="385"/>
      <c r="C3" s="67"/>
      <c r="D3" s="67"/>
      <c r="E3" s="67"/>
      <c r="F3" s="67"/>
      <c r="G3" s="67"/>
      <c r="H3" s="67"/>
      <c r="I3" s="67"/>
      <c r="J3" s="67"/>
      <c r="K3" s="67"/>
      <c r="L3" s="67"/>
    </row>
    <row r="4" spans="1:23" ht="14.65">
      <c r="A4" s="10" t="s">
        <v>203</v>
      </c>
      <c r="B4" s="10"/>
      <c r="C4" s="3"/>
      <c r="D4" s="2"/>
      <c r="E4" s="2"/>
      <c r="F4" s="2"/>
      <c r="G4" s="2"/>
      <c r="H4" s="2"/>
      <c r="I4" s="2"/>
      <c r="J4" s="2"/>
      <c r="K4" s="2"/>
      <c r="L4" s="2"/>
    </row>
    <row r="5" spans="1:23" ht="14.65">
      <c r="A5" s="5"/>
      <c r="B5" s="5"/>
      <c r="C5" s="23"/>
      <c r="D5" s="2"/>
      <c r="E5" s="2"/>
      <c r="F5" s="2"/>
      <c r="G5" s="2"/>
      <c r="H5" s="2"/>
      <c r="I5" s="2"/>
      <c r="J5" s="2"/>
      <c r="K5" s="2"/>
      <c r="L5" s="2"/>
    </row>
    <row r="6" spans="1:23" ht="15" customHeight="1">
      <c r="A6" s="5"/>
      <c r="B6" s="19" t="s">
        <v>19</v>
      </c>
      <c r="C6" s="23"/>
      <c r="D6" s="453" t="str">
        <f>'Pension Pack cover'!D21</f>
        <v>DB scheme 1</v>
      </c>
      <c r="E6" s="454"/>
      <c r="F6" s="454"/>
      <c r="G6" s="454"/>
      <c r="H6" s="454"/>
      <c r="I6" s="454"/>
      <c r="J6" s="455"/>
      <c r="K6" s="2"/>
      <c r="L6" s="2"/>
      <c r="U6" s="163"/>
      <c r="V6" s="281" t="s">
        <v>184</v>
      </c>
    </row>
    <row r="7" spans="1:23" ht="14.65">
      <c r="A7" s="5"/>
      <c r="B7" s="20"/>
      <c r="C7" s="23"/>
      <c r="D7" s="3"/>
      <c r="E7" s="2"/>
      <c r="F7" s="2"/>
      <c r="G7" s="2"/>
      <c r="H7" s="2"/>
      <c r="I7" s="2"/>
      <c r="J7" s="2"/>
      <c r="K7" s="2"/>
      <c r="L7" s="2"/>
      <c r="U7" s="163"/>
      <c r="V7" s="22" t="s">
        <v>20</v>
      </c>
      <c r="W7" s="210" t="s">
        <v>179</v>
      </c>
    </row>
    <row r="8" spans="1:23" ht="14.65">
      <c r="A8" s="5"/>
      <c r="B8" s="286" t="s">
        <v>35</v>
      </c>
      <c r="C8" s="23"/>
      <c r="D8" s="460" t="s">
        <v>260</v>
      </c>
      <c r="E8" s="461"/>
      <c r="F8" s="2"/>
      <c r="G8" s="2"/>
      <c r="H8" s="2"/>
      <c r="I8" s="2"/>
      <c r="J8" s="2"/>
      <c r="K8" s="2"/>
      <c r="L8" s="2"/>
      <c r="U8" s="163"/>
      <c r="V8" s="22" t="s">
        <v>21</v>
      </c>
      <c r="W8" s="210" t="s">
        <v>180</v>
      </c>
    </row>
    <row r="9" spans="1:23" ht="14.65">
      <c r="A9" s="5"/>
      <c r="B9" s="286" t="s">
        <v>36</v>
      </c>
      <c r="C9" s="23"/>
      <c r="D9" s="460" t="s">
        <v>552</v>
      </c>
      <c r="E9" s="461"/>
      <c r="F9" s="2"/>
      <c r="G9" s="2"/>
      <c r="H9" s="2"/>
      <c r="I9" s="2"/>
      <c r="J9" s="2"/>
      <c r="K9" s="2"/>
      <c r="L9" s="2"/>
      <c r="U9" s="163"/>
      <c r="V9" s="22" t="s">
        <v>22</v>
      </c>
      <c r="W9" s="210" t="s">
        <v>165</v>
      </c>
    </row>
    <row r="10" spans="1:23" ht="14.65">
      <c r="A10" s="5"/>
      <c r="B10" s="20"/>
      <c r="C10" s="23"/>
      <c r="D10" s="3"/>
      <c r="E10" s="2"/>
      <c r="F10" s="2"/>
      <c r="G10" s="2"/>
      <c r="H10" s="2"/>
      <c r="I10" s="2"/>
      <c r="J10" s="2"/>
      <c r="K10" s="2"/>
      <c r="L10" s="2"/>
      <c r="U10" s="163"/>
      <c r="V10" s="22" t="s">
        <v>23</v>
      </c>
      <c r="W10" s="210" t="s">
        <v>166</v>
      </c>
    </row>
    <row r="11" spans="1:23" ht="14.65">
      <c r="A11" s="5"/>
      <c r="B11" s="456" t="str">
        <f>CONCATENATE("Section A - Pre Cut-Off Date Regulatory Fraction as at ",+D8)</f>
        <v>Section A - Pre Cut-Off Date Regulatory Fraction as at 31 March 2016</v>
      </c>
      <c r="C11" s="456"/>
      <c r="D11" s="457"/>
      <c r="E11" s="457"/>
      <c r="F11" s="2"/>
      <c r="G11" s="2"/>
      <c r="H11" s="2"/>
      <c r="I11" s="2"/>
      <c r="J11" s="2"/>
      <c r="K11" s="2"/>
      <c r="L11" s="2"/>
      <c r="U11" s="163"/>
      <c r="V11" s="22" t="s">
        <v>24</v>
      </c>
      <c r="W11" s="210" t="s">
        <v>167</v>
      </c>
    </row>
    <row r="12" spans="1:23" ht="15.75" customHeight="1" outlineLevel="1">
      <c r="A12" s="5"/>
      <c r="B12" s="17"/>
      <c r="C12" s="17"/>
      <c r="D12" s="24"/>
      <c r="E12" s="24"/>
      <c r="F12" s="2"/>
      <c r="G12" s="2"/>
      <c r="H12" s="2"/>
      <c r="I12" s="2"/>
      <c r="J12" s="2"/>
      <c r="K12" s="2"/>
      <c r="L12" s="2"/>
      <c r="U12" s="163"/>
      <c r="V12" s="22" t="s">
        <v>25</v>
      </c>
      <c r="W12" s="210" t="s">
        <v>168</v>
      </c>
    </row>
    <row r="13" spans="1:23" ht="14.65" outlineLevel="1">
      <c r="A13" s="5"/>
      <c r="B13" s="11" t="s">
        <v>41</v>
      </c>
      <c r="C13" s="208" t="str">
        <f>+'Pension Pack cover'!D14</f>
        <v>Licensee 1</v>
      </c>
      <c r="D13" s="208" t="str">
        <f>+'Pension Pack cover'!D15</f>
        <v>Licensee 2</v>
      </c>
      <c r="E13" s="208" t="str">
        <f>+'Pension Pack cover'!D16</f>
        <v>Licensee 3</v>
      </c>
      <c r="F13" s="208" t="str">
        <f>+'Pension Pack cover'!D17</f>
        <v>Licensee 4</v>
      </c>
      <c r="G13" s="208" t="str">
        <f>+'Pension Pack cover'!D18</f>
        <v>Licensee 5</v>
      </c>
      <c r="H13" s="208" t="str">
        <f>+'Pension Pack cover'!D19</f>
        <v>Licensee 6</v>
      </c>
      <c r="I13" s="27" t="s">
        <v>26</v>
      </c>
      <c r="J13" s="28" t="s">
        <v>27</v>
      </c>
      <c r="K13" s="2"/>
      <c r="L13" s="2"/>
      <c r="V13" s="22" t="s">
        <v>105</v>
      </c>
      <c r="W13" s="210" t="s">
        <v>192</v>
      </c>
    </row>
    <row r="14" spans="1:23" ht="24.75" outlineLevel="1">
      <c r="A14" s="5"/>
      <c r="B14" s="388" t="s">
        <v>557</v>
      </c>
      <c r="C14" s="12">
        <v>0</v>
      </c>
      <c r="D14" s="12">
        <v>0</v>
      </c>
      <c r="E14" s="12">
        <v>0</v>
      </c>
      <c r="F14" s="12">
        <v>0</v>
      </c>
      <c r="G14" s="12">
        <v>0</v>
      </c>
      <c r="H14" s="12">
        <v>0</v>
      </c>
      <c r="I14" s="13">
        <f>J14-C14-D14-E14</f>
        <v>1</v>
      </c>
      <c r="J14" s="13">
        <v>1</v>
      </c>
      <c r="K14" s="2"/>
      <c r="L14" s="2"/>
      <c r="V14" s="22" t="s">
        <v>106</v>
      </c>
      <c r="W14" s="210" t="s">
        <v>169</v>
      </c>
    </row>
    <row r="15" spans="1:23" ht="17.25" customHeight="1" outlineLevel="1">
      <c r="A15" s="5"/>
      <c r="B15" s="388" t="s">
        <v>558</v>
      </c>
      <c r="C15" s="12">
        <v>0</v>
      </c>
      <c r="D15" s="12">
        <v>0</v>
      </c>
      <c r="E15" s="12">
        <v>0</v>
      </c>
      <c r="F15" s="12">
        <v>0</v>
      </c>
      <c r="G15" s="12">
        <v>0</v>
      </c>
      <c r="H15" s="12">
        <v>0</v>
      </c>
      <c r="I15" s="13">
        <f>-SUM(C15:H15)</f>
        <v>0</v>
      </c>
      <c r="J15" s="13">
        <f>SUM(C15:I15)</f>
        <v>0</v>
      </c>
      <c r="K15" s="2"/>
      <c r="L15" s="2"/>
      <c r="V15" s="22" t="s">
        <v>107</v>
      </c>
      <c r="W15" s="210" t="s">
        <v>170</v>
      </c>
    </row>
    <row r="16" spans="1:23" ht="24.75" outlineLevel="1">
      <c r="A16" s="5"/>
      <c r="B16" s="388" t="s">
        <v>559</v>
      </c>
      <c r="C16" s="13">
        <f>C14-C15</f>
        <v>0</v>
      </c>
      <c r="D16" s="13">
        <f t="shared" ref="D16:I16" si="0">D14-D15</f>
        <v>0</v>
      </c>
      <c r="E16" s="13">
        <f t="shared" si="0"/>
        <v>0</v>
      </c>
      <c r="F16" s="13">
        <f t="shared" si="0"/>
        <v>0</v>
      </c>
      <c r="G16" s="13">
        <f t="shared" si="0"/>
        <v>0</v>
      </c>
      <c r="H16" s="13">
        <f t="shared" si="0"/>
        <v>0</v>
      </c>
      <c r="I16" s="13">
        <f t="shared" si="0"/>
        <v>1</v>
      </c>
      <c r="J16" s="13">
        <f>SUM(C16:I16)</f>
        <v>1</v>
      </c>
      <c r="K16" s="2"/>
      <c r="L16" s="2"/>
      <c r="V16" s="22" t="s">
        <v>251</v>
      </c>
      <c r="W16" s="210" t="s">
        <v>171</v>
      </c>
    </row>
    <row r="17" spans="1:23" ht="14.65" outlineLevel="1">
      <c r="A17" s="5"/>
      <c r="B17" s="5"/>
      <c r="C17" s="5"/>
      <c r="D17" s="5"/>
      <c r="E17" s="5"/>
      <c r="F17" s="5"/>
      <c r="G17" s="5"/>
      <c r="H17" s="5"/>
      <c r="I17" s="5"/>
      <c r="J17" s="5"/>
      <c r="K17" s="2"/>
      <c r="L17" s="2"/>
      <c r="V17" s="22" t="s">
        <v>252</v>
      </c>
      <c r="W17" s="210" t="s">
        <v>172</v>
      </c>
    </row>
    <row r="18" spans="1:23" ht="14.65">
      <c r="A18" s="5"/>
      <c r="B18" s="5"/>
      <c r="C18" s="5"/>
      <c r="D18" s="5"/>
      <c r="E18" s="5"/>
      <c r="F18" s="5"/>
      <c r="G18" s="5"/>
      <c r="H18" s="5"/>
      <c r="I18" s="5"/>
      <c r="J18" s="5"/>
      <c r="K18" s="2"/>
      <c r="L18" s="2"/>
      <c r="V18" s="22" t="s">
        <v>112</v>
      </c>
      <c r="W18" s="210" t="s">
        <v>150</v>
      </c>
    </row>
    <row r="19" spans="1:23" ht="14.65">
      <c r="A19" s="5"/>
      <c r="B19" s="38" t="s">
        <v>544</v>
      </c>
      <c r="C19" s="2"/>
      <c r="D19" s="2"/>
      <c r="E19" s="2"/>
      <c r="F19" s="2"/>
      <c r="G19" s="2"/>
      <c r="H19" s="2"/>
      <c r="I19" s="2"/>
      <c r="J19" s="2"/>
      <c r="K19" s="2"/>
      <c r="L19" s="2"/>
      <c r="V19" s="22" t="s">
        <v>114</v>
      </c>
      <c r="W19" s="210" t="s">
        <v>151</v>
      </c>
    </row>
    <row r="20" spans="1:23" ht="14.65" outlineLevel="1">
      <c r="A20" s="5"/>
      <c r="B20" s="50" t="s">
        <v>526</v>
      </c>
      <c r="C20" s="396" t="s">
        <v>527</v>
      </c>
      <c r="D20" s="5"/>
      <c r="E20" s="5"/>
      <c r="F20" s="5"/>
      <c r="G20" s="5"/>
      <c r="H20" s="5"/>
      <c r="I20" s="2"/>
      <c r="J20" s="5"/>
      <c r="K20" s="5"/>
      <c r="L20" s="2"/>
      <c r="V20" s="22" t="s">
        <v>116</v>
      </c>
      <c r="W20" s="210" t="s">
        <v>173</v>
      </c>
    </row>
    <row r="21" spans="1:23" s="48" customFormat="1" ht="14.65" outlineLevel="1">
      <c r="A21" s="5"/>
      <c r="B21" s="121" t="s">
        <v>73</v>
      </c>
      <c r="C21" s="5"/>
      <c r="D21" s="5"/>
      <c r="E21" s="5"/>
      <c r="F21" s="5"/>
      <c r="G21" s="5"/>
      <c r="H21" s="5"/>
      <c r="I21" s="2"/>
      <c r="J21" s="5"/>
      <c r="K21" s="5"/>
      <c r="L21" s="2"/>
      <c r="V21" s="48" t="s">
        <v>118</v>
      </c>
      <c r="W21" s="210" t="s">
        <v>174</v>
      </c>
    </row>
    <row r="22" spans="1:23" s="48" customFormat="1" ht="14.65" outlineLevel="1">
      <c r="A22" s="5"/>
      <c r="B22" s="50"/>
      <c r="C22" s="5"/>
      <c r="D22" s="5"/>
      <c r="E22" s="5"/>
      <c r="F22" s="5"/>
      <c r="G22" s="5"/>
      <c r="H22" s="5"/>
      <c r="I22" s="5"/>
      <c r="J22" s="5"/>
      <c r="K22" s="5"/>
      <c r="L22" s="2"/>
      <c r="V22" s="48" t="s">
        <v>120</v>
      </c>
      <c r="W22" s="210" t="s">
        <v>175</v>
      </c>
    </row>
    <row r="23" spans="1:23" s="48" customFormat="1" ht="14.65" outlineLevel="1">
      <c r="A23" s="5"/>
      <c r="B23" s="5"/>
      <c r="C23" s="5"/>
      <c r="D23" s="458" t="s">
        <v>57</v>
      </c>
      <c r="E23" s="458"/>
      <c r="F23" s="5"/>
      <c r="G23" s="459" t="str">
        <f>D8</f>
        <v>31 March 2016</v>
      </c>
      <c r="H23" s="458"/>
      <c r="I23" s="5"/>
      <c r="J23" s="459" t="str">
        <f>D9</f>
        <v>31 March 2019</v>
      </c>
      <c r="K23" s="458"/>
      <c r="L23" s="2"/>
      <c r="V23" s="48" t="s">
        <v>122</v>
      </c>
    </row>
    <row r="24" spans="1:23" s="48" customFormat="1" ht="14.65" outlineLevel="1">
      <c r="A24" s="5"/>
      <c r="B24" s="5"/>
      <c r="C24" s="5"/>
      <c r="D24" s="110" t="s">
        <v>56</v>
      </c>
      <c r="E24" s="110"/>
      <c r="F24" s="5"/>
      <c r="G24" s="110" t="s">
        <v>56</v>
      </c>
      <c r="H24" s="110"/>
      <c r="I24" s="2"/>
      <c r="J24" s="110" t="s">
        <v>56</v>
      </c>
      <c r="K24" s="110"/>
      <c r="L24" s="2"/>
      <c r="V24" s="48" t="s">
        <v>123</v>
      </c>
    </row>
    <row r="25" spans="1:23" s="48" customFormat="1" ht="14.65" outlineLevel="1">
      <c r="A25" s="5"/>
      <c r="B25" s="5"/>
      <c r="C25" s="5"/>
      <c r="D25" s="111" t="s">
        <v>0</v>
      </c>
      <c r="E25" s="111" t="s">
        <v>2</v>
      </c>
      <c r="F25" s="5"/>
      <c r="G25" s="111" t="s">
        <v>0</v>
      </c>
      <c r="H25" s="111" t="s">
        <v>2</v>
      </c>
      <c r="I25" s="2"/>
      <c r="J25" s="111" t="s">
        <v>0</v>
      </c>
      <c r="K25" s="111" t="s">
        <v>2</v>
      </c>
      <c r="L25" s="2"/>
      <c r="V25" s="48" t="s">
        <v>124</v>
      </c>
    </row>
    <row r="26" spans="1:23" s="48" customFormat="1" ht="14.65" outlineLevel="1">
      <c r="A26" s="5"/>
      <c r="B26" s="209" t="str">
        <f>+'Pension Pack cover'!D14</f>
        <v>Licensee 1</v>
      </c>
      <c r="C26" s="5"/>
      <c r="D26" s="107">
        <v>0</v>
      </c>
      <c r="E26" s="109">
        <f>IFERROR(D26/$D$29,0)</f>
        <v>0</v>
      </c>
      <c r="F26" s="5"/>
      <c r="G26" s="107">
        <v>0</v>
      </c>
      <c r="H26" s="109">
        <f>IFERROR(G26/$G$29,0)</f>
        <v>0</v>
      </c>
      <c r="I26" s="2"/>
      <c r="J26" s="107">
        <v>0</v>
      </c>
      <c r="K26" s="109">
        <f>IFERROR(J26/$J$29,0)</f>
        <v>0</v>
      </c>
      <c r="L26" s="2"/>
      <c r="V26" s="48" t="s">
        <v>125</v>
      </c>
    </row>
    <row r="27" spans="1:23" s="48" customFormat="1" ht="14.65" outlineLevel="1">
      <c r="A27" s="5"/>
      <c r="B27" s="209" t="str">
        <f>+'Pension Pack cover'!D15</f>
        <v>Licensee 2</v>
      </c>
      <c r="C27" s="5"/>
      <c r="D27" s="107">
        <v>0</v>
      </c>
      <c r="E27" s="109">
        <f t="shared" ref="E27:E28" si="1">IFERROR(D27/$D$29,0)</f>
        <v>0</v>
      </c>
      <c r="F27" s="5"/>
      <c r="G27" s="107">
        <v>0</v>
      </c>
      <c r="H27" s="109">
        <f t="shared" ref="H27:H28" si="2">IFERROR(G27/$G$29,0)</f>
        <v>0</v>
      </c>
      <c r="I27" s="2"/>
      <c r="J27" s="107">
        <v>0</v>
      </c>
      <c r="K27" s="109">
        <f t="shared" ref="K27:K28" si="3">IFERROR(J27/$J$29,0)</f>
        <v>0</v>
      </c>
      <c r="L27" s="2"/>
      <c r="V27" s="48" t="s">
        <v>150</v>
      </c>
    </row>
    <row r="28" spans="1:23" s="48" customFormat="1" ht="14.65" outlineLevel="1">
      <c r="A28" s="5"/>
      <c r="B28" s="209" t="str">
        <f>+'Pension Pack cover'!D16</f>
        <v>Licensee 3</v>
      </c>
      <c r="C28" s="5"/>
      <c r="D28" s="107">
        <v>0</v>
      </c>
      <c r="E28" s="109">
        <f t="shared" si="1"/>
        <v>0</v>
      </c>
      <c r="F28" s="5"/>
      <c r="G28" s="107">
        <v>0</v>
      </c>
      <c r="H28" s="109">
        <f t="shared" si="2"/>
        <v>0</v>
      </c>
      <c r="I28" s="2"/>
      <c r="J28" s="107">
        <v>0</v>
      </c>
      <c r="K28" s="109">
        <f t="shared" si="3"/>
        <v>0</v>
      </c>
      <c r="L28" s="2"/>
      <c r="V28" s="48" t="s">
        <v>151</v>
      </c>
    </row>
    <row r="29" spans="1:23" s="48" customFormat="1" ht="14.65" outlineLevel="1">
      <c r="A29" s="5"/>
      <c r="B29" s="106" t="s">
        <v>64</v>
      </c>
      <c r="C29" s="5"/>
      <c r="D29" s="66">
        <f>SUM(D26:D28)</f>
        <v>0</v>
      </c>
      <c r="E29" s="108">
        <f>SUM(E28:E28)</f>
        <v>0</v>
      </c>
      <c r="F29" s="5"/>
      <c r="G29" s="66">
        <f>SUM(G26:G28)</f>
        <v>0</v>
      </c>
      <c r="H29" s="108">
        <f>SUM(H28:H28)</f>
        <v>0</v>
      </c>
      <c r="I29" s="2"/>
      <c r="J29" s="66">
        <f>SUM(J26:J28)</f>
        <v>0</v>
      </c>
      <c r="K29" s="108">
        <f>SUM(K28:K28)</f>
        <v>0</v>
      </c>
      <c r="L29" s="2"/>
      <c r="V29" s="48" t="s">
        <v>152</v>
      </c>
    </row>
    <row r="30" spans="1:23" s="48" customFormat="1" ht="14.65" outlineLevel="1">
      <c r="A30" s="5"/>
      <c r="B30" s="5"/>
      <c r="C30" s="5"/>
      <c r="D30" s="5"/>
      <c r="E30" s="5"/>
      <c r="F30" s="5"/>
      <c r="G30" s="5"/>
      <c r="H30" s="5"/>
      <c r="I30" s="2"/>
      <c r="J30" s="5"/>
      <c r="K30" s="5"/>
      <c r="L30" s="2"/>
      <c r="V30" s="48" t="s">
        <v>153</v>
      </c>
    </row>
    <row r="31" spans="1:23" s="48" customFormat="1" ht="14.65" outlineLevel="1">
      <c r="A31" s="5"/>
      <c r="B31" s="50" t="str">
        <f>CONCATENATE("2. ",+B26," - Pre-Cut Off Date Pension liabilities")</f>
        <v>2. Licensee 1 - Pre-Cut Off Date Pension liabilities</v>
      </c>
      <c r="C31" s="5"/>
      <c r="D31" s="5"/>
      <c r="E31" s="5"/>
      <c r="F31" s="5"/>
      <c r="G31" s="5"/>
      <c r="H31" s="5"/>
      <c r="I31" s="5"/>
      <c r="J31" s="5"/>
      <c r="K31" s="5"/>
      <c r="L31" s="2"/>
      <c r="V31" s="48" t="s">
        <v>154</v>
      </c>
    </row>
    <row r="32" spans="1:23" s="48" customFormat="1" ht="14.65" outlineLevel="1">
      <c r="A32" s="5"/>
      <c r="B32" s="5"/>
      <c r="C32" s="465" t="s">
        <v>67</v>
      </c>
      <c r="D32" s="466"/>
      <c r="E32" s="467"/>
      <c r="F32" s="112" t="str">
        <f>D8</f>
        <v>31 March 2016</v>
      </c>
      <c r="G32" s="113"/>
      <c r="H32" s="114"/>
      <c r="I32" s="112" t="str">
        <f>D9</f>
        <v>31 March 2019</v>
      </c>
      <c r="J32" s="113"/>
      <c r="K32" s="114"/>
      <c r="L32" s="2"/>
      <c r="V32" s="48" t="s">
        <v>155</v>
      </c>
    </row>
    <row r="33" spans="1:22" s="48" customFormat="1" ht="14.65" outlineLevel="1">
      <c r="A33" s="5"/>
      <c r="B33" s="5"/>
      <c r="C33" s="54"/>
      <c r="D33" s="55">
        <v>2004</v>
      </c>
      <c r="E33" s="55">
        <f>+D33</f>
        <v>2004</v>
      </c>
      <c r="F33" s="56"/>
      <c r="G33" s="55">
        <v>2016</v>
      </c>
      <c r="H33" s="55">
        <f>+G33</f>
        <v>2016</v>
      </c>
      <c r="I33" s="56"/>
      <c r="J33" s="55">
        <f>+E101</f>
        <v>2019</v>
      </c>
      <c r="K33" s="55">
        <f>+J33</f>
        <v>2019</v>
      </c>
      <c r="L33" s="2"/>
      <c r="V33" s="48" t="s">
        <v>156</v>
      </c>
    </row>
    <row r="34" spans="1:22" s="48" customFormat="1" ht="14.65" outlineLevel="1">
      <c r="A34" s="5"/>
      <c r="B34" s="5"/>
      <c r="C34" s="5"/>
      <c r="D34" s="55" t="s">
        <v>0</v>
      </c>
      <c r="E34" s="55" t="s">
        <v>2</v>
      </c>
      <c r="F34" s="5"/>
      <c r="G34" s="55" t="s">
        <v>0</v>
      </c>
      <c r="H34" s="55" t="s">
        <v>2</v>
      </c>
      <c r="I34" s="5"/>
      <c r="J34" s="55" t="s">
        <v>0</v>
      </c>
      <c r="K34" s="55" t="s">
        <v>2</v>
      </c>
      <c r="L34" s="2"/>
      <c r="V34" s="48" t="s">
        <v>157</v>
      </c>
    </row>
    <row r="35" spans="1:22" s="48" customFormat="1" ht="14.65" outlineLevel="1">
      <c r="A35" s="5"/>
      <c r="B35" s="104" t="s">
        <v>58</v>
      </c>
      <c r="C35" s="5"/>
      <c r="D35" s="58">
        <v>0</v>
      </c>
      <c r="E35" s="59">
        <f>IFERROR(D35/D37,0)</f>
        <v>0</v>
      </c>
      <c r="F35" s="5"/>
      <c r="G35" s="117">
        <v>0</v>
      </c>
      <c r="H35" s="60">
        <f>IFERROR(G35/G37,0)</f>
        <v>0</v>
      </c>
      <c r="I35" s="5"/>
      <c r="J35" s="58">
        <v>0</v>
      </c>
      <c r="K35" s="60">
        <f>IFERROR(J35/J37,0)</f>
        <v>0</v>
      </c>
      <c r="L35" s="2"/>
      <c r="V35" s="48" t="s">
        <v>158</v>
      </c>
    </row>
    <row r="36" spans="1:22" s="48" customFormat="1" ht="14.65" outlineLevel="1">
      <c r="A36" s="5"/>
      <c r="B36" s="104" t="s">
        <v>59</v>
      </c>
      <c r="C36" s="5"/>
      <c r="D36" s="211">
        <f>D26-D35</f>
        <v>0</v>
      </c>
      <c r="E36" s="212">
        <f>IFERROR(D36/D37,0)</f>
        <v>0</v>
      </c>
      <c r="F36" s="213"/>
      <c r="G36" s="211">
        <f>G26-G35</f>
        <v>0</v>
      </c>
      <c r="H36" s="212">
        <f>IFERROR(1-H35,0)</f>
        <v>1</v>
      </c>
      <c r="I36" s="213"/>
      <c r="J36" s="211">
        <f>J26-J35</f>
        <v>0</v>
      </c>
      <c r="K36" s="61">
        <f>IFERROR(1-K35,0)</f>
        <v>1</v>
      </c>
      <c r="L36" s="2"/>
      <c r="V36" s="48" t="s">
        <v>161</v>
      </c>
    </row>
    <row r="37" spans="1:22" s="48" customFormat="1" ht="14.65" outlineLevel="1">
      <c r="A37" s="5"/>
      <c r="B37" s="105" t="s">
        <v>60</v>
      </c>
      <c r="C37" s="5"/>
      <c r="D37" s="214">
        <f>D35+D36</f>
        <v>0</v>
      </c>
      <c r="E37" s="215"/>
      <c r="F37" s="213"/>
      <c r="G37" s="214">
        <f>G35+G36</f>
        <v>0</v>
      </c>
      <c r="H37" s="216"/>
      <c r="I37" s="217"/>
      <c r="J37" s="214">
        <f>J35+J36</f>
        <v>0</v>
      </c>
      <c r="K37" s="57"/>
      <c r="L37" s="2"/>
    </row>
    <row r="38" spans="1:22" s="48" customFormat="1" ht="14.65" outlineLevel="1">
      <c r="A38" s="5"/>
      <c r="B38" s="5"/>
      <c r="C38" s="5"/>
      <c r="D38" s="5"/>
      <c r="E38" s="5"/>
      <c r="F38" s="5"/>
      <c r="G38" s="5"/>
      <c r="H38" s="5"/>
      <c r="I38" s="5"/>
      <c r="J38" s="5"/>
      <c r="K38" s="5"/>
      <c r="L38" s="2"/>
    </row>
    <row r="39" spans="1:22" s="48" customFormat="1" ht="14.65" outlineLevel="1">
      <c r="A39" s="5"/>
      <c r="B39" s="50" t="s">
        <v>76</v>
      </c>
      <c r="C39" s="5"/>
      <c r="D39" s="5"/>
      <c r="E39" s="5"/>
      <c r="F39" s="5"/>
      <c r="G39" s="5"/>
      <c r="H39" s="5"/>
      <c r="I39" s="5"/>
      <c r="J39" s="5"/>
      <c r="K39" s="5"/>
      <c r="L39" s="2"/>
      <c r="V39" s="284" t="s">
        <v>37</v>
      </c>
    </row>
    <row r="40" spans="1:22" s="48" customFormat="1" ht="14.65" outlineLevel="1">
      <c r="A40" s="5"/>
      <c r="B40" s="120" t="s">
        <v>68</v>
      </c>
      <c r="C40" s="62">
        <v>0</v>
      </c>
      <c r="D40" s="64">
        <f>+D35*C40</f>
        <v>0</v>
      </c>
      <c r="E40" s="118">
        <f>IFERROR(ROUND(D40/$D$44,3),0)</f>
        <v>0</v>
      </c>
      <c r="F40" s="62">
        <v>0</v>
      </c>
      <c r="G40" s="64">
        <f>+G35*F40</f>
        <v>0</v>
      </c>
      <c r="H40" s="118">
        <f>IFERROR(ROUND(+G40/$G$44,3),0)</f>
        <v>0</v>
      </c>
      <c r="I40" s="62">
        <v>0</v>
      </c>
      <c r="J40" s="64">
        <f>+J35*I40</f>
        <v>0</v>
      </c>
      <c r="K40" s="118">
        <f>IFERROR(ROUND(+J40/$J$44,3),0)</f>
        <v>0</v>
      </c>
      <c r="L40" s="2"/>
      <c r="V40" s="284" t="s">
        <v>255</v>
      </c>
    </row>
    <row r="41" spans="1:22" s="48" customFormat="1" ht="14.65" outlineLevel="1">
      <c r="A41" s="5"/>
      <c r="B41" s="120" t="s">
        <v>69</v>
      </c>
      <c r="C41" s="119">
        <f>+(1-C40)</f>
        <v>1</v>
      </c>
      <c r="D41" s="64">
        <f>+D35-D40</f>
        <v>0</v>
      </c>
      <c r="E41" s="118">
        <f>IFERROR(ROUND(D41/$D$44,3),0)</f>
        <v>0</v>
      </c>
      <c r="F41" s="63">
        <f>+(1-F40)</f>
        <v>1</v>
      </c>
      <c r="G41" s="64">
        <f>+G35*F41</f>
        <v>0</v>
      </c>
      <c r="H41" s="118">
        <f>IFERROR(ROUND(+G41/$G$44,3),0)</f>
        <v>0</v>
      </c>
      <c r="I41" s="119">
        <f>+(1-I40)</f>
        <v>1</v>
      </c>
      <c r="J41" s="64">
        <f>+J35*I41</f>
        <v>0</v>
      </c>
      <c r="K41" s="118">
        <f>IFERROR(ROUND(J41/$J$44,3),0)</f>
        <v>0</v>
      </c>
      <c r="L41" s="2"/>
      <c r="V41" s="284" t="s">
        <v>256</v>
      </c>
    </row>
    <row r="42" spans="1:22" s="48" customFormat="1" ht="14.65" outlineLevel="1">
      <c r="A42" s="5"/>
      <c r="B42" s="120" t="s">
        <v>70</v>
      </c>
      <c r="C42" s="119">
        <f>IFERROR(D42/D36,0)</f>
        <v>0</v>
      </c>
      <c r="D42" s="64">
        <f>D46-D40</f>
        <v>0</v>
      </c>
      <c r="E42" s="118">
        <f>E46-E40</f>
        <v>0.8</v>
      </c>
      <c r="F42" s="5"/>
      <c r="G42" s="64">
        <f>G36*C42</f>
        <v>0</v>
      </c>
      <c r="H42" s="118">
        <f>IFERROR(G42/$G$44,0)</f>
        <v>0</v>
      </c>
      <c r="I42" s="5"/>
      <c r="J42" s="64">
        <f>J36*C42</f>
        <v>0</v>
      </c>
      <c r="K42" s="118">
        <f>IFERROR(J42/$J$44,0)</f>
        <v>0</v>
      </c>
      <c r="L42" s="2"/>
      <c r="V42" s="284" t="s">
        <v>257</v>
      </c>
    </row>
    <row r="43" spans="1:22" s="48" customFormat="1" ht="14.65" outlineLevel="1">
      <c r="A43" s="5"/>
      <c r="B43" s="120" t="s">
        <v>71</v>
      </c>
      <c r="C43" s="119">
        <f>IFERROR(D43/D36,0)</f>
        <v>0</v>
      </c>
      <c r="D43" s="64">
        <f>D47-D41</f>
        <v>0</v>
      </c>
      <c r="E43" s="118">
        <f>E47-E41</f>
        <v>0.2</v>
      </c>
      <c r="F43" s="5"/>
      <c r="G43" s="64">
        <f>G36*C43</f>
        <v>0</v>
      </c>
      <c r="H43" s="118">
        <f>IFERROR(G43/$G$44,0)</f>
        <v>0</v>
      </c>
      <c r="I43" s="5"/>
      <c r="J43" s="64">
        <f>J36*C43</f>
        <v>0</v>
      </c>
      <c r="K43" s="118">
        <f>IFERROR(J43/$J$44,0)</f>
        <v>0</v>
      </c>
      <c r="L43" s="2"/>
      <c r="V43" s="284" t="s">
        <v>38</v>
      </c>
    </row>
    <row r="44" spans="1:22" s="48" customFormat="1" ht="14.65" outlineLevel="1">
      <c r="A44" s="5"/>
      <c r="B44" s="5"/>
      <c r="C44" s="5"/>
      <c r="D44" s="64">
        <f>SUM(D40:D43)</f>
        <v>0</v>
      </c>
      <c r="E44" s="65">
        <f>SUM(E40:E43)</f>
        <v>1</v>
      </c>
      <c r="F44" s="5"/>
      <c r="G44" s="64">
        <f>SUM(G40:G43)</f>
        <v>0</v>
      </c>
      <c r="H44" s="65">
        <f>SUM(H40:H43)</f>
        <v>0</v>
      </c>
      <c r="I44" s="5"/>
      <c r="J44" s="64">
        <f>SUM(J40:J43)</f>
        <v>0</v>
      </c>
      <c r="K44" s="65">
        <f>SUM(K40:K43)</f>
        <v>0</v>
      </c>
      <c r="L44" s="2"/>
      <c r="V44" s="284" t="s">
        <v>258</v>
      </c>
    </row>
    <row r="45" spans="1:22" s="48" customFormat="1" ht="14.65" outlineLevel="1">
      <c r="A45" s="5"/>
      <c r="B45" s="49" t="s">
        <v>62</v>
      </c>
      <c r="C45" s="5"/>
      <c r="G45" s="5"/>
      <c r="H45" s="5"/>
      <c r="I45" s="5"/>
      <c r="J45" s="5"/>
      <c r="K45" s="5"/>
      <c r="L45" s="2"/>
      <c r="V45" s="284" t="s">
        <v>259</v>
      </c>
    </row>
    <row r="46" spans="1:22" s="48" customFormat="1" ht="14.65" outlineLevel="1">
      <c r="A46" s="5"/>
      <c r="B46" s="120" t="s">
        <v>72</v>
      </c>
      <c r="C46" s="5"/>
      <c r="D46" s="64">
        <f>E46*D37</f>
        <v>0</v>
      </c>
      <c r="E46" s="145">
        <v>0.8</v>
      </c>
      <c r="F46" s="5"/>
      <c r="G46" s="64">
        <f>+G40+G42</f>
        <v>0</v>
      </c>
      <c r="H46" s="65">
        <f>+H40+H42</f>
        <v>0</v>
      </c>
      <c r="I46" s="5"/>
      <c r="J46" s="64">
        <f>+J40+J42</f>
        <v>0</v>
      </c>
      <c r="K46" s="65">
        <f>+K40+K42</f>
        <v>0</v>
      </c>
      <c r="L46" s="2"/>
      <c r="V46" s="284" t="s">
        <v>260</v>
      </c>
    </row>
    <row r="47" spans="1:22" s="48" customFormat="1" ht="14.65" outlineLevel="1">
      <c r="A47" s="5"/>
      <c r="B47" s="120" t="s">
        <v>26</v>
      </c>
      <c r="C47" s="5"/>
      <c r="D47" s="64">
        <f>E47*D37</f>
        <v>0</v>
      </c>
      <c r="E47" s="145">
        <v>0.2</v>
      </c>
      <c r="F47" s="5"/>
      <c r="G47" s="64">
        <f>+G41+G43</f>
        <v>0</v>
      </c>
      <c r="H47" s="65">
        <f>1-H46</f>
        <v>1</v>
      </c>
      <c r="I47" s="5"/>
      <c r="J47" s="64">
        <f>+J41+J43</f>
        <v>0</v>
      </c>
      <c r="K47" s="65">
        <f>1-K46</f>
        <v>1</v>
      </c>
      <c r="L47" s="2"/>
      <c r="V47" s="284" t="s">
        <v>261</v>
      </c>
    </row>
    <row r="48" spans="1:22" s="48" customFormat="1" ht="14.65" outlineLevel="1">
      <c r="A48" s="5"/>
      <c r="B48" s="5"/>
      <c r="C48" s="5"/>
      <c r="D48" s="5"/>
      <c r="E48" s="5"/>
      <c r="F48" s="5"/>
      <c r="G48" s="5"/>
      <c r="H48" s="5"/>
      <c r="I48" s="5"/>
      <c r="J48" s="5"/>
      <c r="K48" s="5"/>
      <c r="L48" s="2"/>
      <c r="V48" s="284" t="s">
        <v>551</v>
      </c>
    </row>
    <row r="49" spans="1:22" s="48" customFormat="1" ht="14.65" outlineLevel="1">
      <c r="A49" s="5"/>
      <c r="B49" s="49" t="s">
        <v>96</v>
      </c>
      <c r="C49" s="5"/>
      <c r="G49" s="5"/>
      <c r="H49" s="5"/>
      <c r="I49" s="5"/>
      <c r="J49" s="5"/>
      <c r="K49" s="5"/>
      <c r="L49" s="2"/>
      <c r="V49" s="284" t="s">
        <v>552</v>
      </c>
    </row>
    <row r="50" spans="1:22" s="48" customFormat="1" ht="14.65" outlineLevel="1">
      <c r="A50" s="5"/>
      <c r="B50" s="120" t="s">
        <v>72</v>
      </c>
      <c r="C50" s="5"/>
      <c r="D50" s="64">
        <f>D46</f>
        <v>0</v>
      </c>
      <c r="E50" s="65">
        <f>IFERROR(D50/D29,0)</f>
        <v>0</v>
      </c>
      <c r="F50" s="5"/>
      <c r="G50" s="64">
        <f>G46</f>
        <v>0</v>
      </c>
      <c r="H50" s="65">
        <f>IFERROR(G50/G29,0)</f>
        <v>0</v>
      </c>
      <c r="I50" s="5"/>
      <c r="J50" s="64">
        <f>J46</f>
        <v>0</v>
      </c>
      <c r="K50" s="122">
        <f>IFERROR(J50/J29,0)</f>
        <v>0</v>
      </c>
      <c r="L50" s="2"/>
      <c r="V50" s="284" t="s">
        <v>553</v>
      </c>
    </row>
    <row r="51" spans="1:22" s="48" customFormat="1" ht="14.65" outlineLevel="1">
      <c r="A51" s="5"/>
      <c r="B51" s="120" t="s">
        <v>26</v>
      </c>
      <c r="C51" s="5"/>
      <c r="D51" s="64">
        <f>D47</f>
        <v>0</v>
      </c>
      <c r="E51" s="65">
        <f>IFERROR(D51/D29,0)</f>
        <v>0</v>
      </c>
      <c r="F51" s="5"/>
      <c r="G51" s="64">
        <f>G47</f>
        <v>0</v>
      </c>
      <c r="H51" s="65">
        <f>IFERROR(G51/G29,0)</f>
        <v>0</v>
      </c>
      <c r="I51" s="5"/>
      <c r="J51" s="64">
        <f>J47</f>
        <v>0</v>
      </c>
      <c r="K51" s="65">
        <f>IFERROR(J51/J29,0)</f>
        <v>0</v>
      </c>
      <c r="L51" s="2"/>
      <c r="V51" s="284" t="s">
        <v>554</v>
      </c>
    </row>
    <row r="52" spans="1:22" s="48" customFormat="1" ht="14.65" outlineLevel="1">
      <c r="A52" s="5"/>
      <c r="B52" s="5"/>
      <c r="C52" s="5"/>
      <c r="D52" s="5"/>
      <c r="E52" s="5"/>
      <c r="F52" s="5"/>
      <c r="G52" s="5"/>
      <c r="H52" s="5"/>
      <c r="I52" s="5"/>
      <c r="J52" s="5"/>
      <c r="K52" s="5"/>
      <c r="L52" s="2"/>
      <c r="V52" s="284" t="s">
        <v>555</v>
      </c>
    </row>
    <row r="53" spans="1:22" s="48" customFormat="1" ht="14.65" outlineLevel="1">
      <c r="A53" s="5"/>
      <c r="B53" s="50" t="str">
        <f>CONCATENATE("3. ",+B27," - Pre-Cut Off Date Pension liabilities")</f>
        <v>3. Licensee 2 - Pre-Cut Off Date Pension liabilities</v>
      </c>
      <c r="C53" s="5"/>
      <c r="D53" s="5"/>
      <c r="E53" s="5"/>
      <c r="F53" s="5"/>
      <c r="G53" s="5"/>
      <c r="H53" s="5"/>
      <c r="I53" s="5"/>
      <c r="J53" s="5"/>
      <c r="K53" s="5"/>
      <c r="L53" s="2"/>
      <c r="V53" s="284" t="s">
        <v>556</v>
      </c>
    </row>
    <row r="54" spans="1:22" s="48" customFormat="1" ht="14.65" outlineLevel="1">
      <c r="A54" s="5"/>
      <c r="B54" s="5"/>
      <c r="C54" s="465" t="s">
        <v>67</v>
      </c>
      <c r="D54" s="466"/>
      <c r="E54" s="467"/>
      <c r="F54" s="112" t="str">
        <f>D8</f>
        <v>31 March 2016</v>
      </c>
      <c r="G54" s="113"/>
      <c r="H54" s="114"/>
      <c r="I54" s="112" t="str">
        <f>D9</f>
        <v>31 March 2019</v>
      </c>
      <c r="J54" s="113"/>
      <c r="K54" s="114"/>
      <c r="L54" s="2"/>
    </row>
    <row r="55" spans="1:22" s="48" customFormat="1" ht="14.65" outlineLevel="1">
      <c r="A55" s="5"/>
      <c r="B55" s="5"/>
      <c r="C55" s="54"/>
      <c r="D55" s="55">
        <v>2004</v>
      </c>
      <c r="E55" s="55">
        <f>+D55</f>
        <v>2004</v>
      </c>
      <c r="F55" s="56"/>
      <c r="G55" s="55">
        <v>2016</v>
      </c>
      <c r="H55" s="55">
        <f>+G55</f>
        <v>2016</v>
      </c>
      <c r="I55" s="56"/>
      <c r="J55" s="55">
        <f>+J33</f>
        <v>2019</v>
      </c>
      <c r="K55" s="55">
        <f>+J55</f>
        <v>2019</v>
      </c>
      <c r="L55" s="2"/>
    </row>
    <row r="56" spans="1:22" s="48" customFormat="1" ht="14.65" outlineLevel="1">
      <c r="A56" s="5"/>
      <c r="B56" s="5"/>
      <c r="C56" s="5"/>
      <c r="D56" s="55" t="s">
        <v>0</v>
      </c>
      <c r="E56" s="55" t="s">
        <v>2</v>
      </c>
      <c r="F56" s="5"/>
      <c r="G56" s="55" t="s">
        <v>0</v>
      </c>
      <c r="H56" s="55" t="s">
        <v>2</v>
      </c>
      <c r="I56" s="5"/>
      <c r="J56" s="55" t="s">
        <v>0</v>
      </c>
      <c r="K56" s="55" t="s">
        <v>2</v>
      </c>
      <c r="L56" s="2"/>
    </row>
    <row r="57" spans="1:22" s="48" customFormat="1" ht="14.65" outlineLevel="1">
      <c r="A57" s="5"/>
      <c r="B57" s="104" t="s">
        <v>58</v>
      </c>
      <c r="C57" s="5"/>
      <c r="D57" s="58"/>
      <c r="E57" s="59">
        <f>IFERROR(D57/D59,0)</f>
        <v>0</v>
      </c>
      <c r="F57" s="5"/>
      <c r="G57" s="117"/>
      <c r="H57" s="60">
        <f>IFERROR(G57/G59,0)</f>
        <v>0</v>
      </c>
      <c r="I57" s="5"/>
      <c r="J57" s="58"/>
      <c r="K57" s="60">
        <f>IFERROR(J57/J59,0)</f>
        <v>0</v>
      </c>
      <c r="L57" s="2"/>
    </row>
    <row r="58" spans="1:22" s="48" customFormat="1" ht="14.65" outlineLevel="1">
      <c r="A58" s="5"/>
      <c r="B58" s="104" t="s">
        <v>59</v>
      </c>
      <c r="C58" s="5"/>
      <c r="D58" s="211">
        <f>D27-D57</f>
        <v>0</v>
      </c>
      <c r="E58" s="212">
        <f>IFERROR(D58/D59,0)</f>
        <v>0</v>
      </c>
      <c r="F58" s="213"/>
      <c r="G58" s="211">
        <f>G27-G57</f>
        <v>0</v>
      </c>
      <c r="H58" s="212">
        <f>IFERROR(1-H57,0)</f>
        <v>1</v>
      </c>
      <c r="I58" s="213"/>
      <c r="J58" s="211">
        <f>J27-J57</f>
        <v>0</v>
      </c>
      <c r="K58" s="61">
        <f>IFERROR(1-K57,0)</f>
        <v>1</v>
      </c>
      <c r="L58" s="2"/>
    </row>
    <row r="59" spans="1:22" s="48" customFormat="1" ht="14.65" outlineLevel="1">
      <c r="A59" s="5"/>
      <c r="B59" s="105" t="s">
        <v>60</v>
      </c>
      <c r="C59" s="5"/>
      <c r="D59" s="214">
        <f>D57+D58</f>
        <v>0</v>
      </c>
      <c r="E59" s="215"/>
      <c r="F59" s="213"/>
      <c r="G59" s="214">
        <f>G57+G58</f>
        <v>0</v>
      </c>
      <c r="H59" s="216"/>
      <c r="I59" s="217"/>
      <c r="J59" s="214">
        <f>J57+J58</f>
        <v>0</v>
      </c>
      <c r="K59" s="57"/>
      <c r="L59" s="2"/>
    </row>
    <row r="60" spans="1:22" s="48" customFormat="1" ht="14.65" outlineLevel="1">
      <c r="A60" s="5"/>
      <c r="B60" s="5"/>
      <c r="C60" s="5"/>
      <c r="D60" s="5"/>
      <c r="E60" s="5"/>
      <c r="F60" s="5"/>
      <c r="G60" s="5"/>
      <c r="H60" s="5"/>
      <c r="I60" s="5"/>
      <c r="J60" s="5"/>
      <c r="K60" s="5"/>
      <c r="L60" s="2"/>
    </row>
    <row r="61" spans="1:22" s="48" customFormat="1" ht="14.65" outlineLevel="1">
      <c r="A61" s="5"/>
      <c r="B61" s="50" t="s">
        <v>61</v>
      </c>
      <c r="C61" s="5"/>
      <c r="D61" s="5"/>
      <c r="E61" s="5"/>
      <c r="F61" s="5"/>
      <c r="G61" s="5"/>
      <c r="H61" s="5"/>
      <c r="I61" s="5"/>
      <c r="J61" s="5"/>
      <c r="K61" s="5"/>
      <c r="L61" s="2"/>
    </row>
    <row r="62" spans="1:22" s="48" customFormat="1" ht="14.65" outlineLevel="1">
      <c r="A62" s="5"/>
      <c r="B62" s="292" t="str">
        <f>CONCATENATE("Liabilities at ",+'P1.1 PDAM Licensee provided'!D9)</f>
        <v>Liabilities at 31 March 2019</v>
      </c>
      <c r="C62" s="62">
        <v>0</v>
      </c>
      <c r="D62" s="64">
        <f>+D57*C62</f>
        <v>0</v>
      </c>
      <c r="E62" s="118">
        <f>IFERROR(ROUND(D62/$D$44,3),0)</f>
        <v>0</v>
      </c>
      <c r="F62" s="62">
        <v>0</v>
      </c>
      <c r="G62" s="64">
        <f>+G57*F62</f>
        <v>0</v>
      </c>
      <c r="H62" s="118">
        <f>IFERROR(ROUND(+G62/$G$44,3),0)</f>
        <v>0</v>
      </c>
      <c r="I62" s="62">
        <v>0</v>
      </c>
      <c r="J62" s="64">
        <f>+J57*I62</f>
        <v>0</v>
      </c>
      <c r="K62" s="118">
        <f>IFERROR(ROUND(+J62/$J$44,3),0)</f>
        <v>0</v>
      </c>
      <c r="L62" s="2"/>
    </row>
    <row r="63" spans="1:22" s="48" customFormat="1" ht="14.65" outlineLevel="1">
      <c r="A63" s="5"/>
      <c r="B63" s="120" t="s">
        <v>69</v>
      </c>
      <c r="C63" s="119">
        <f>+(1-C62)</f>
        <v>1</v>
      </c>
      <c r="D63" s="64">
        <f>+D57-D62</f>
        <v>0</v>
      </c>
      <c r="E63" s="118">
        <f>IFERROR(ROUND(+D63/$D$44,3),0)</f>
        <v>0</v>
      </c>
      <c r="F63" s="63">
        <f>+(1-F62)</f>
        <v>1</v>
      </c>
      <c r="G63" s="64">
        <f>+G57*F63</f>
        <v>0</v>
      </c>
      <c r="H63" s="118">
        <f>IFERROR(ROUND(+G63/$G$44,3),0)</f>
        <v>0</v>
      </c>
      <c r="I63" s="119">
        <f>+(1-I62)</f>
        <v>1</v>
      </c>
      <c r="J63" s="64">
        <f>+J57*I63</f>
        <v>0</v>
      </c>
      <c r="K63" s="118">
        <f>IFERROR(ROUND(+J63/$J$44,3),0)</f>
        <v>0</v>
      </c>
      <c r="L63" s="2"/>
    </row>
    <row r="64" spans="1:22" s="48" customFormat="1" ht="14.65" outlineLevel="1">
      <c r="A64" s="5"/>
      <c r="B64" s="120" t="s">
        <v>70</v>
      </c>
      <c r="C64" s="119">
        <f>IFERROR(D64/D58,0)</f>
        <v>0</v>
      </c>
      <c r="D64" s="64">
        <f>D68-D62</f>
        <v>0</v>
      </c>
      <c r="E64" s="118">
        <f>80%-E62</f>
        <v>0.8</v>
      </c>
      <c r="F64" s="5"/>
      <c r="G64" s="64">
        <f>G58*C64</f>
        <v>0</v>
      </c>
      <c r="H64" s="118">
        <f>IFERROR(G64/$G$44,0)</f>
        <v>0</v>
      </c>
      <c r="I64" s="5"/>
      <c r="J64" s="64">
        <f>J58*C64</f>
        <v>0</v>
      </c>
      <c r="K64" s="118">
        <f>IFERROR(J64/$J$44,0)</f>
        <v>0</v>
      </c>
      <c r="L64" s="2"/>
    </row>
    <row r="65" spans="1:12" s="48" customFormat="1" ht="14.65" outlineLevel="1">
      <c r="A65" s="5"/>
      <c r="B65" s="120" t="s">
        <v>71</v>
      </c>
      <c r="C65" s="119">
        <f>IFERROR(D65/D58,0)</f>
        <v>0</v>
      </c>
      <c r="D65" s="64">
        <f>D69-D63</f>
        <v>0</v>
      </c>
      <c r="E65" s="118">
        <f>20%-E63</f>
        <v>0.2</v>
      </c>
      <c r="F65" s="5"/>
      <c r="G65" s="64">
        <f>G58*C65</f>
        <v>0</v>
      </c>
      <c r="H65" s="118">
        <f>IFERROR(G65/$G$44,0)</f>
        <v>0</v>
      </c>
      <c r="I65" s="5"/>
      <c r="J65" s="64">
        <f>J58*C65</f>
        <v>0</v>
      </c>
      <c r="K65" s="118">
        <f>IFERROR(J65/$J$44,0)</f>
        <v>0</v>
      </c>
      <c r="L65" s="2"/>
    </row>
    <row r="66" spans="1:12" s="48" customFormat="1" ht="14.65" outlineLevel="1">
      <c r="A66" s="5"/>
      <c r="B66" s="5"/>
      <c r="C66" s="5"/>
      <c r="D66" s="64">
        <f>SUM(D62:D65)</f>
        <v>0</v>
      </c>
      <c r="E66" s="65">
        <f>SUM(E62:E65)</f>
        <v>1</v>
      </c>
      <c r="F66" s="5"/>
      <c r="G66" s="64">
        <f>SUM(G62:G65)</f>
        <v>0</v>
      </c>
      <c r="H66" s="65">
        <f>SUM(H62:H65)</f>
        <v>0</v>
      </c>
      <c r="I66" s="5"/>
      <c r="J66" s="64">
        <f>SUM(J62:J65)</f>
        <v>0</v>
      </c>
      <c r="K66" s="65">
        <f>SUM(K62:K65)</f>
        <v>0</v>
      </c>
      <c r="L66" s="2"/>
    </row>
    <row r="67" spans="1:12" s="48" customFormat="1" ht="14.65" outlineLevel="1">
      <c r="A67" s="5"/>
      <c r="B67" s="49" t="s">
        <v>62</v>
      </c>
      <c r="C67" s="5"/>
      <c r="G67" s="5"/>
      <c r="H67" s="5"/>
      <c r="I67" s="5"/>
      <c r="J67" s="5"/>
      <c r="K67" s="5"/>
      <c r="L67" s="2"/>
    </row>
    <row r="68" spans="1:12" s="48" customFormat="1" ht="14.65" outlineLevel="1">
      <c r="A68" s="5"/>
      <c r="B68" s="120" t="s">
        <v>72</v>
      </c>
      <c r="C68" s="5"/>
      <c r="D68" s="64">
        <f>E68*D59</f>
        <v>0</v>
      </c>
      <c r="E68" s="62">
        <v>0.8</v>
      </c>
      <c r="F68" s="5"/>
      <c r="G68" s="64">
        <f>+G62+G64</f>
        <v>0</v>
      </c>
      <c r="H68" s="65">
        <f>+H62+H64</f>
        <v>0</v>
      </c>
      <c r="I68" s="5"/>
      <c r="J68" s="64">
        <f>+J62+J64</f>
        <v>0</v>
      </c>
      <c r="K68" s="65">
        <f>+K62+K64</f>
        <v>0</v>
      </c>
      <c r="L68" s="2"/>
    </row>
    <row r="69" spans="1:12" s="48" customFormat="1" ht="14.65" outlineLevel="1">
      <c r="A69" s="5"/>
      <c r="B69" s="120" t="s">
        <v>26</v>
      </c>
      <c r="C69" s="5"/>
      <c r="D69" s="64">
        <f>E69*D59</f>
        <v>0</v>
      </c>
      <c r="E69" s="62">
        <v>0.2</v>
      </c>
      <c r="F69" s="5"/>
      <c r="G69" s="64">
        <f>+G63+G65</f>
        <v>0</v>
      </c>
      <c r="H69" s="65">
        <f>1-H68</f>
        <v>1</v>
      </c>
      <c r="I69" s="5"/>
      <c r="J69" s="64">
        <f>+J63+J65</f>
        <v>0</v>
      </c>
      <c r="K69" s="65">
        <f>1-K68</f>
        <v>1</v>
      </c>
      <c r="L69" s="2"/>
    </row>
    <row r="70" spans="1:12" s="48" customFormat="1" ht="14.65" outlineLevel="1">
      <c r="A70" s="5"/>
      <c r="B70" s="5"/>
      <c r="C70" s="5"/>
      <c r="D70" s="5"/>
      <c r="E70" s="5"/>
      <c r="F70" s="5"/>
      <c r="G70" s="5"/>
      <c r="H70" s="5"/>
      <c r="I70" s="5"/>
      <c r="J70" s="5"/>
      <c r="K70" s="5"/>
      <c r="L70" s="2"/>
    </row>
    <row r="71" spans="1:12" s="48" customFormat="1" ht="14.65" outlineLevel="1">
      <c r="A71" s="5"/>
      <c r="B71" s="49" t="s">
        <v>96</v>
      </c>
      <c r="C71" s="5"/>
      <c r="D71" s="5"/>
      <c r="E71" s="5"/>
      <c r="F71" s="5"/>
      <c r="G71" s="5"/>
      <c r="H71" s="5"/>
      <c r="I71" s="5"/>
      <c r="J71" s="5"/>
      <c r="K71" s="5"/>
      <c r="L71" s="2"/>
    </row>
    <row r="72" spans="1:12" s="48" customFormat="1" ht="14.65" outlineLevel="1">
      <c r="A72" s="5"/>
      <c r="B72" s="120" t="s">
        <v>72</v>
      </c>
      <c r="C72" s="5"/>
      <c r="D72" s="64">
        <f>D68</f>
        <v>0</v>
      </c>
      <c r="E72" s="65">
        <f>IFERROR(D72/D29,0)</f>
        <v>0</v>
      </c>
      <c r="F72" s="5"/>
      <c r="G72" s="64">
        <f>G68</f>
        <v>0</v>
      </c>
      <c r="H72" s="65">
        <f>IFERROR(G72/G29,0)</f>
        <v>0</v>
      </c>
      <c r="I72" s="5"/>
      <c r="J72" s="64">
        <f>J68</f>
        <v>0</v>
      </c>
      <c r="K72" s="65">
        <f>IFERROR(J72/J29,0)</f>
        <v>0</v>
      </c>
      <c r="L72" s="2"/>
    </row>
    <row r="73" spans="1:12" s="48" customFormat="1" ht="14.65" outlineLevel="1">
      <c r="A73" s="5"/>
      <c r="B73" s="120" t="s">
        <v>26</v>
      </c>
      <c r="C73" s="5"/>
      <c r="D73" s="64">
        <f>D69</f>
        <v>0</v>
      </c>
      <c r="E73" s="65">
        <f>IFERROR(D73/D29,0)</f>
        <v>0</v>
      </c>
      <c r="F73" s="5"/>
      <c r="G73" s="64">
        <f>G69</f>
        <v>0</v>
      </c>
      <c r="H73" s="65">
        <f>IFERROR(G73/G29,0)</f>
        <v>0</v>
      </c>
      <c r="I73" s="5"/>
      <c r="J73" s="64">
        <f>J69</f>
        <v>0</v>
      </c>
      <c r="K73" s="65">
        <f>IFERROR(J73/J29,0)</f>
        <v>0</v>
      </c>
      <c r="L73" s="2"/>
    </row>
    <row r="74" spans="1:12" s="48" customFormat="1" ht="14.65" outlineLevel="1">
      <c r="A74" s="5"/>
      <c r="B74" s="5"/>
      <c r="C74" s="5"/>
      <c r="D74" s="5"/>
      <c r="E74" s="5"/>
      <c r="F74" s="5"/>
      <c r="G74" s="5"/>
      <c r="H74" s="5"/>
      <c r="I74" s="5"/>
      <c r="J74" s="5"/>
      <c r="K74" s="5"/>
      <c r="L74" s="2"/>
    </row>
    <row r="75" spans="1:12" s="48" customFormat="1" ht="14.65" outlineLevel="1">
      <c r="A75" s="5"/>
      <c r="B75" s="50" t="str">
        <f>CONCATENATE("4. ",B28," - Pre-Cut Off Date Pension liabilities")</f>
        <v>4. Licensee 3 - Pre-Cut Off Date Pension liabilities</v>
      </c>
      <c r="C75" s="5"/>
      <c r="D75" s="5"/>
      <c r="E75" s="5"/>
      <c r="F75" s="5"/>
      <c r="G75" s="5"/>
      <c r="H75" s="5"/>
      <c r="I75" s="5"/>
      <c r="J75" s="5"/>
      <c r="K75" s="5"/>
      <c r="L75" s="2"/>
    </row>
    <row r="76" spans="1:12" s="48" customFormat="1" ht="14.65" outlineLevel="1">
      <c r="A76" s="5"/>
      <c r="B76" s="5"/>
      <c r="C76" s="465" t="s">
        <v>67</v>
      </c>
      <c r="D76" s="466"/>
      <c r="E76" s="467"/>
      <c r="F76" s="112" t="str">
        <f>D8</f>
        <v>31 March 2016</v>
      </c>
      <c r="G76" s="113"/>
      <c r="H76" s="114"/>
      <c r="I76" s="112" t="str">
        <f>D9</f>
        <v>31 March 2019</v>
      </c>
      <c r="J76" s="113"/>
      <c r="K76" s="114"/>
      <c r="L76" s="2"/>
    </row>
    <row r="77" spans="1:12" s="48" customFormat="1" ht="14.65" outlineLevel="1">
      <c r="A77" s="5"/>
      <c r="B77" s="5"/>
      <c r="C77" s="54"/>
      <c r="D77" s="55">
        <v>2004</v>
      </c>
      <c r="E77" s="55">
        <f>+D77</f>
        <v>2004</v>
      </c>
      <c r="F77" s="56"/>
      <c r="G77" s="55">
        <v>2016</v>
      </c>
      <c r="H77" s="55">
        <f>+G77</f>
        <v>2016</v>
      </c>
      <c r="I77" s="56"/>
      <c r="J77" s="55">
        <f>+J33</f>
        <v>2019</v>
      </c>
      <c r="K77" s="55">
        <f>+J77</f>
        <v>2019</v>
      </c>
      <c r="L77" s="2"/>
    </row>
    <row r="78" spans="1:12" s="48" customFormat="1" ht="14.65" outlineLevel="1">
      <c r="A78" s="5"/>
      <c r="B78" s="5"/>
      <c r="C78" s="5"/>
      <c r="D78" s="55" t="s">
        <v>0</v>
      </c>
      <c r="E78" s="55" t="s">
        <v>2</v>
      </c>
      <c r="F78" s="5"/>
      <c r="G78" s="55" t="s">
        <v>0</v>
      </c>
      <c r="H78" s="55" t="s">
        <v>2</v>
      </c>
      <c r="I78" s="5"/>
      <c r="J78" s="55" t="s">
        <v>0</v>
      </c>
      <c r="K78" s="55" t="s">
        <v>2</v>
      </c>
      <c r="L78" s="2"/>
    </row>
    <row r="79" spans="1:12" s="48" customFormat="1" ht="14.65" outlineLevel="1">
      <c r="A79" s="5"/>
      <c r="B79" s="104" t="s">
        <v>58</v>
      </c>
      <c r="C79" s="5"/>
      <c r="D79" s="117">
        <v>0</v>
      </c>
      <c r="E79" s="59">
        <f>IFERROR(D79/D81,0)</f>
        <v>0</v>
      </c>
      <c r="F79" s="5"/>
      <c r="G79" s="117">
        <v>0</v>
      </c>
      <c r="H79" s="60">
        <f>IFERROR(G79/G81,0)</f>
        <v>0</v>
      </c>
      <c r="I79" s="5"/>
      <c r="J79" s="117">
        <v>0</v>
      </c>
      <c r="K79" s="60">
        <f>IFERROR(J79/J81,0)</f>
        <v>0</v>
      </c>
      <c r="L79" s="2"/>
    </row>
    <row r="80" spans="1:12" s="48" customFormat="1" ht="14.65" outlineLevel="1">
      <c r="A80" s="5"/>
      <c r="B80" s="104" t="s">
        <v>59</v>
      </c>
      <c r="C80" s="5"/>
      <c r="D80" s="211">
        <f>D28-D79</f>
        <v>0</v>
      </c>
      <c r="E80" s="212">
        <f>IFERROR(D80/D81,0)</f>
        <v>0</v>
      </c>
      <c r="F80" s="213"/>
      <c r="G80" s="211">
        <f>G28-G79</f>
        <v>0</v>
      </c>
      <c r="H80" s="212">
        <f>IFERROR(1-H79,0)</f>
        <v>1</v>
      </c>
      <c r="I80" s="213"/>
      <c r="J80" s="211">
        <f>J28-J79</f>
        <v>0</v>
      </c>
      <c r="K80" s="61">
        <f>IFERROR(1-K79,0)</f>
        <v>1</v>
      </c>
      <c r="L80" s="2"/>
    </row>
    <row r="81" spans="1:12" s="48" customFormat="1" ht="14.65" outlineLevel="1">
      <c r="A81" s="5"/>
      <c r="B81" s="105" t="s">
        <v>60</v>
      </c>
      <c r="C81" s="5"/>
      <c r="D81" s="214">
        <f>D79+D80</f>
        <v>0</v>
      </c>
      <c r="E81" s="215"/>
      <c r="F81" s="213"/>
      <c r="G81" s="214">
        <f>G79+G80</f>
        <v>0</v>
      </c>
      <c r="H81" s="216"/>
      <c r="I81" s="217"/>
      <c r="J81" s="214">
        <f>J79+J80</f>
        <v>0</v>
      </c>
      <c r="K81" s="57"/>
      <c r="L81" s="2"/>
    </row>
    <row r="82" spans="1:12" s="48" customFormat="1" ht="14.65" outlineLevel="1">
      <c r="A82" s="5"/>
      <c r="B82" s="5"/>
      <c r="C82" s="5"/>
      <c r="D82" s="5"/>
      <c r="E82" s="5"/>
      <c r="F82" s="5"/>
      <c r="G82" s="5"/>
      <c r="H82" s="5"/>
      <c r="I82" s="5"/>
      <c r="J82" s="5"/>
      <c r="K82" s="5"/>
      <c r="L82" s="2"/>
    </row>
    <row r="83" spans="1:12" s="48" customFormat="1" ht="14.65" outlineLevel="1">
      <c r="A83" s="5"/>
      <c r="B83" s="50" t="s">
        <v>61</v>
      </c>
      <c r="C83" s="5"/>
      <c r="D83" s="5"/>
      <c r="E83" s="5"/>
      <c r="F83" s="5"/>
      <c r="G83" s="5"/>
      <c r="H83" s="5"/>
      <c r="I83" s="5"/>
      <c r="J83" s="5"/>
      <c r="K83" s="5"/>
      <c r="L83" s="2"/>
    </row>
    <row r="84" spans="1:12" s="48" customFormat="1" ht="14.65" outlineLevel="1">
      <c r="A84" s="5"/>
      <c r="B84" s="120" t="s">
        <v>68</v>
      </c>
      <c r="C84" s="62">
        <v>0</v>
      </c>
      <c r="D84" s="64">
        <f>+D79*C84</f>
        <v>0</v>
      </c>
      <c r="E84" s="118">
        <f>IFERROR(ROUND(D84/$D$44,3),0)</f>
        <v>0</v>
      </c>
      <c r="F84" s="62">
        <v>0</v>
      </c>
      <c r="G84" s="64">
        <f>+G79*F84</f>
        <v>0</v>
      </c>
      <c r="H84" s="118">
        <f>IFERROR(ROUND(+G84/$G$44,3),0)</f>
        <v>0</v>
      </c>
      <c r="I84" s="62">
        <v>0</v>
      </c>
      <c r="J84" s="64">
        <f>+J79*I84</f>
        <v>0</v>
      </c>
      <c r="K84" s="118">
        <f>IFERROR(ROUND(J84/$J$44,3),0)</f>
        <v>0</v>
      </c>
      <c r="L84" s="2"/>
    </row>
    <row r="85" spans="1:12" s="48" customFormat="1" ht="14.65" outlineLevel="1">
      <c r="A85" s="5"/>
      <c r="B85" s="120" t="s">
        <v>69</v>
      </c>
      <c r="C85" s="119">
        <f>+(1-C84)</f>
        <v>1</v>
      </c>
      <c r="D85" s="64">
        <f>+D79-D84</f>
        <v>0</v>
      </c>
      <c r="E85" s="118">
        <f>IFERROR(ROUND(+D85/$D$44,3),0)</f>
        <v>0</v>
      </c>
      <c r="F85" s="63">
        <f>+(1-F84)</f>
        <v>1</v>
      </c>
      <c r="G85" s="64">
        <f>+G79*F85</f>
        <v>0</v>
      </c>
      <c r="H85" s="118">
        <f>IFERROR(ROUND(+G85/$G$44,3),0)</f>
        <v>0</v>
      </c>
      <c r="I85" s="119">
        <f>+(1-I84)</f>
        <v>1</v>
      </c>
      <c r="J85" s="64">
        <f>+J79*I85</f>
        <v>0</v>
      </c>
      <c r="K85" s="118">
        <f>IFERROR(ROUND(J85/$J$44,3),0)</f>
        <v>0</v>
      </c>
      <c r="L85" s="2"/>
    </row>
    <row r="86" spans="1:12" s="48" customFormat="1" ht="14.65" outlineLevel="1">
      <c r="A86" s="5"/>
      <c r="B86" s="120" t="s">
        <v>70</v>
      </c>
      <c r="C86" s="119">
        <f>IFERROR(D86/D80,0)</f>
        <v>0</v>
      </c>
      <c r="D86" s="64">
        <f>D90-D84</f>
        <v>0</v>
      </c>
      <c r="E86" s="118">
        <f>80%-E84</f>
        <v>0.8</v>
      </c>
      <c r="F86" s="5"/>
      <c r="G86" s="64">
        <f>G80*C86</f>
        <v>0</v>
      </c>
      <c r="H86" s="118">
        <f>IFERROR(G86/$G$44,0)</f>
        <v>0</v>
      </c>
      <c r="I86" s="5"/>
      <c r="J86" s="64">
        <f>J80*C86</f>
        <v>0</v>
      </c>
      <c r="K86" s="118">
        <f>IFERROR(J86/$J$44,0)</f>
        <v>0</v>
      </c>
      <c r="L86" s="2"/>
    </row>
    <row r="87" spans="1:12" s="48" customFormat="1" ht="14.65" outlineLevel="1">
      <c r="A87" s="5"/>
      <c r="B87" s="120" t="s">
        <v>71</v>
      </c>
      <c r="C87" s="119">
        <f>IFERROR(D87/D80,0)</f>
        <v>0</v>
      </c>
      <c r="D87" s="64">
        <f>D91-D85</f>
        <v>0</v>
      </c>
      <c r="E87" s="118">
        <f>20%-E85</f>
        <v>0.2</v>
      </c>
      <c r="F87" s="5"/>
      <c r="G87" s="64">
        <f>G80*C87</f>
        <v>0</v>
      </c>
      <c r="H87" s="118">
        <f>IFERROR(G87/$G$44,0)</f>
        <v>0</v>
      </c>
      <c r="I87" s="5"/>
      <c r="J87" s="64">
        <f>J80*C87</f>
        <v>0</v>
      </c>
      <c r="K87" s="118">
        <f>IFERROR(J87/$J$44,0)</f>
        <v>0</v>
      </c>
      <c r="L87" s="2"/>
    </row>
    <row r="88" spans="1:12" s="48" customFormat="1" ht="14.65" outlineLevel="1">
      <c r="A88" s="5"/>
      <c r="B88" s="5"/>
      <c r="C88" s="5"/>
      <c r="D88" s="64">
        <f>SUM(D84:D87)</f>
        <v>0</v>
      </c>
      <c r="E88" s="65">
        <f>SUM(E84:E87)</f>
        <v>1</v>
      </c>
      <c r="F88" s="5"/>
      <c r="G88" s="64">
        <f>SUM(G84:G87)</f>
        <v>0</v>
      </c>
      <c r="H88" s="65">
        <f>SUM(H84:H87)</f>
        <v>0</v>
      </c>
      <c r="I88" s="5"/>
      <c r="J88" s="64">
        <f>SUM(J84:J87)</f>
        <v>0</v>
      </c>
      <c r="K88" s="65">
        <f>SUM(K84:K87)</f>
        <v>0</v>
      </c>
      <c r="L88" s="2"/>
    </row>
    <row r="89" spans="1:12" s="48" customFormat="1" ht="14.65" outlineLevel="1">
      <c r="A89" s="5"/>
      <c r="B89" s="49" t="s">
        <v>62</v>
      </c>
      <c r="C89" s="5"/>
      <c r="G89" s="5"/>
      <c r="H89" s="5"/>
      <c r="I89" s="5"/>
      <c r="J89" s="5"/>
      <c r="K89" s="5"/>
      <c r="L89" s="2"/>
    </row>
    <row r="90" spans="1:12" s="48" customFormat="1" ht="14.65" outlineLevel="1">
      <c r="A90" s="5"/>
      <c r="B90" s="120" t="s">
        <v>72</v>
      </c>
      <c r="C90" s="5"/>
      <c r="D90" s="64">
        <f>E90*D81</f>
        <v>0</v>
      </c>
      <c r="E90" s="62">
        <v>0.8</v>
      </c>
      <c r="F90" s="5"/>
      <c r="G90" s="64">
        <f>+G84+G86</f>
        <v>0</v>
      </c>
      <c r="H90" s="65">
        <f>+H84+H86</f>
        <v>0</v>
      </c>
      <c r="I90" s="5"/>
      <c r="J90" s="64">
        <f>+J84+J86</f>
        <v>0</v>
      </c>
      <c r="K90" s="65">
        <f>+K84+K86</f>
        <v>0</v>
      </c>
      <c r="L90" s="2"/>
    </row>
    <row r="91" spans="1:12" s="48" customFormat="1" ht="14.65" outlineLevel="1">
      <c r="A91" s="5"/>
      <c r="B91" s="120" t="s">
        <v>26</v>
      </c>
      <c r="C91" s="5"/>
      <c r="D91" s="64">
        <f>E91*D81</f>
        <v>0</v>
      </c>
      <c r="E91" s="62">
        <v>0.2</v>
      </c>
      <c r="F91" s="5"/>
      <c r="G91" s="64">
        <f>+G85+G87</f>
        <v>0</v>
      </c>
      <c r="H91" s="65">
        <f>1-H90</f>
        <v>1</v>
      </c>
      <c r="I91" s="5"/>
      <c r="J91" s="64">
        <f>+J85+J87</f>
        <v>0</v>
      </c>
      <c r="K91" s="65">
        <f>1-K90</f>
        <v>1</v>
      </c>
      <c r="L91" s="2"/>
    </row>
    <row r="92" spans="1:12" s="48" customFormat="1" ht="14.65" outlineLevel="1">
      <c r="A92" s="5"/>
      <c r="B92" s="5"/>
      <c r="C92" s="5"/>
      <c r="E92" s="5"/>
      <c r="F92" s="5"/>
      <c r="G92" s="5"/>
      <c r="H92" s="5"/>
      <c r="I92" s="5"/>
      <c r="J92" s="5"/>
      <c r="K92" s="5"/>
      <c r="L92" s="2"/>
    </row>
    <row r="93" spans="1:12" s="48" customFormat="1" ht="14.65" outlineLevel="1">
      <c r="A93" s="5"/>
      <c r="B93" s="49" t="s">
        <v>96</v>
      </c>
      <c r="C93" s="5"/>
      <c r="D93" s="5"/>
      <c r="E93" s="5"/>
      <c r="F93" s="5"/>
      <c r="G93" s="5"/>
      <c r="H93" s="5"/>
      <c r="I93" s="5"/>
      <c r="J93" s="5"/>
      <c r="K93" s="5"/>
      <c r="L93" s="2"/>
    </row>
    <row r="94" spans="1:12" s="48" customFormat="1" ht="14.65" outlineLevel="1">
      <c r="A94" s="5"/>
      <c r="B94" s="120" t="s">
        <v>72</v>
      </c>
      <c r="C94" s="5"/>
      <c r="D94" s="64">
        <f>D90</f>
        <v>0</v>
      </c>
      <c r="E94" s="65">
        <f>IFERROR(D94/D29,0)</f>
        <v>0</v>
      </c>
      <c r="F94" s="5"/>
      <c r="G94" s="64">
        <f>G90</f>
        <v>0</v>
      </c>
      <c r="H94" s="65">
        <f>IFERROR(G94/G29,0)</f>
        <v>0</v>
      </c>
      <c r="I94" s="5"/>
      <c r="J94" s="64">
        <f>J90</f>
        <v>0</v>
      </c>
      <c r="K94" s="65">
        <f>IFERROR(J94/J29,0)</f>
        <v>0</v>
      </c>
      <c r="L94" s="2"/>
    </row>
    <row r="95" spans="1:12" s="48" customFormat="1" ht="14.65" outlineLevel="1">
      <c r="A95" s="5"/>
      <c r="B95" s="120" t="s">
        <v>26</v>
      </c>
      <c r="C95" s="5"/>
      <c r="D95" s="64">
        <f>D91</f>
        <v>0</v>
      </c>
      <c r="E95" s="65">
        <f>IFERROR(D95/D29,0)</f>
        <v>0</v>
      </c>
      <c r="F95" s="5"/>
      <c r="G95" s="64">
        <f>G91</f>
        <v>0</v>
      </c>
      <c r="H95" s="65">
        <f>IFERROR(G95/G29,0)</f>
        <v>0</v>
      </c>
      <c r="I95" s="5"/>
      <c r="J95" s="64">
        <f>J91</f>
        <v>0</v>
      </c>
      <c r="K95" s="65">
        <f>IFERROR(J95/J29,0)</f>
        <v>0</v>
      </c>
      <c r="L95" s="2"/>
    </row>
    <row r="96" spans="1:12" s="48" customFormat="1" ht="14.65" outlineLevel="1">
      <c r="A96" s="5"/>
      <c r="B96" s="5"/>
      <c r="C96" s="5"/>
      <c r="D96" s="5"/>
      <c r="E96" s="5"/>
      <c r="F96" s="5"/>
      <c r="G96" s="5"/>
      <c r="H96" s="5"/>
      <c r="I96" s="5"/>
      <c r="J96" s="5"/>
      <c r="K96" s="5"/>
      <c r="L96" s="2"/>
    </row>
    <row r="97" spans="1:12" s="48" customFormat="1" ht="14.65">
      <c r="A97" s="5"/>
      <c r="B97" s="5"/>
      <c r="C97" s="5"/>
      <c r="D97" s="5"/>
      <c r="E97" s="5"/>
      <c r="F97" s="5"/>
      <c r="G97" s="5"/>
      <c r="H97" s="5"/>
      <c r="I97" s="5"/>
      <c r="J97" s="5"/>
      <c r="K97" s="5"/>
      <c r="L97" s="2"/>
    </row>
    <row r="98" spans="1:12" s="48" customFormat="1" ht="14.75" customHeight="1">
      <c r="A98" s="5"/>
      <c r="B98" s="456" t="s">
        <v>74</v>
      </c>
      <c r="C98" s="456"/>
      <c r="D98" s="456"/>
      <c r="E98" s="456"/>
      <c r="F98" s="2"/>
      <c r="G98" s="2"/>
      <c r="H98" s="2"/>
      <c r="I98" s="2"/>
      <c r="J98" s="2"/>
      <c r="K98" s="2"/>
      <c r="L98" s="2"/>
    </row>
    <row r="99" spans="1:12" s="48" customFormat="1" ht="14.65" outlineLevel="1">
      <c r="A99" s="5"/>
      <c r="B99" s="17"/>
      <c r="C99" s="2"/>
      <c r="D99" s="2"/>
      <c r="E99" s="2"/>
      <c r="F99" s="2"/>
      <c r="G99" s="2"/>
      <c r="H99" s="2"/>
      <c r="I99" s="2"/>
      <c r="J99" s="2"/>
      <c r="K99" s="2"/>
      <c r="L99" s="2"/>
    </row>
    <row r="100" spans="1:12" s="48" customFormat="1" ht="14.65" outlineLevel="1">
      <c r="A100" s="5"/>
      <c r="B100" s="17"/>
      <c r="C100" s="100" t="str">
        <f>+C13</f>
        <v>Licensee 1</v>
      </c>
      <c r="D100" s="101"/>
      <c r="E100" s="102"/>
      <c r="F100" s="100" t="str">
        <f>+D13</f>
        <v>Licensee 2</v>
      </c>
      <c r="G100" s="101"/>
      <c r="H100" s="102"/>
      <c r="I100" s="100" t="str">
        <f>+E13</f>
        <v>Licensee 3</v>
      </c>
      <c r="J100" s="101"/>
      <c r="K100" s="102"/>
      <c r="L100" s="2"/>
    </row>
    <row r="101" spans="1:12" s="48" customFormat="1" ht="14.65" outlineLevel="1">
      <c r="A101" s="5"/>
      <c r="B101" s="53" t="s">
        <v>63</v>
      </c>
      <c r="C101" s="51">
        <v>2017</v>
      </c>
      <c r="D101" s="52">
        <f>+C101+1</f>
        <v>2018</v>
      </c>
      <c r="E101" s="52">
        <f>+D101+1</f>
        <v>2019</v>
      </c>
      <c r="F101" s="52">
        <f>+C101</f>
        <v>2017</v>
      </c>
      <c r="G101" s="52">
        <f>+F101+1</f>
        <v>2018</v>
      </c>
      <c r="H101" s="52">
        <f>+G101+1</f>
        <v>2019</v>
      </c>
      <c r="I101" s="52">
        <f>+C101</f>
        <v>2017</v>
      </c>
      <c r="J101" s="52">
        <f>+I101+1</f>
        <v>2018</v>
      </c>
      <c r="K101" s="52">
        <f>+J101+1</f>
        <v>2019</v>
      </c>
      <c r="L101" s="2"/>
    </row>
    <row r="102" spans="1:12" s="48" customFormat="1" ht="14.65" outlineLevel="1">
      <c r="A102" s="5"/>
      <c r="B102" s="25" t="s">
        <v>40</v>
      </c>
      <c r="C102" s="21">
        <v>5.0500000000000003E-2</v>
      </c>
      <c r="D102" s="21">
        <v>5.0500000000000003E-2</v>
      </c>
      <c r="E102" s="21">
        <v>4.7500000000000001E-2</v>
      </c>
      <c r="F102" s="103">
        <f>+C102</f>
        <v>5.0500000000000003E-2</v>
      </c>
      <c r="G102" s="103">
        <f>+D102</f>
        <v>5.0500000000000003E-2</v>
      </c>
      <c r="H102" s="103">
        <f>+E102</f>
        <v>4.7500000000000001E-2</v>
      </c>
      <c r="I102" s="103">
        <f>+F102</f>
        <v>5.0500000000000003E-2</v>
      </c>
      <c r="J102" s="103">
        <f>+G102</f>
        <v>5.0500000000000003E-2</v>
      </c>
      <c r="K102" s="103">
        <f>+H102</f>
        <v>4.7500000000000001E-2</v>
      </c>
      <c r="L102" s="2"/>
    </row>
    <row r="103" spans="1:12" s="48" customFormat="1" ht="14.65" outlineLevel="1">
      <c r="A103" s="5"/>
      <c r="B103" s="31"/>
      <c r="C103" s="32" t="s">
        <v>0</v>
      </c>
      <c r="D103" s="32" t="s">
        <v>0</v>
      </c>
      <c r="E103" s="32" t="s">
        <v>0</v>
      </c>
      <c r="F103" s="32" t="s">
        <v>0</v>
      </c>
      <c r="G103" s="32" t="s">
        <v>0</v>
      </c>
      <c r="H103" s="32" t="s">
        <v>0</v>
      </c>
      <c r="I103" s="32" t="s">
        <v>0</v>
      </c>
      <c r="J103" s="32" t="s">
        <v>0</v>
      </c>
      <c r="K103" s="32" t="s">
        <v>0</v>
      </c>
      <c r="L103" s="2"/>
    </row>
    <row r="104" spans="1:12" s="48" customFormat="1" ht="14.65" outlineLevel="1">
      <c r="A104" s="5"/>
      <c r="B104" s="25" t="str">
        <f>CONCATENATE("Opening balance from previous valuation at ",+D8)</f>
        <v>Opening balance from previous valuation at 31 March 2016</v>
      </c>
      <c r="C104" s="16">
        <v>0</v>
      </c>
      <c r="D104" s="33">
        <f>+C107</f>
        <v>0</v>
      </c>
      <c r="E104" s="33">
        <f>+D107</f>
        <v>0</v>
      </c>
      <c r="F104" s="16">
        <v>0</v>
      </c>
      <c r="G104" s="33">
        <f>+F107</f>
        <v>0</v>
      </c>
      <c r="H104" s="33">
        <f>+G107</f>
        <v>0</v>
      </c>
      <c r="I104" s="16">
        <v>0</v>
      </c>
      <c r="J104" s="33">
        <f>+I107</f>
        <v>0</v>
      </c>
      <c r="K104" s="33">
        <f>+J107</f>
        <v>0</v>
      </c>
      <c r="L104" s="2"/>
    </row>
    <row r="105" spans="1:12" s="48" customFormat="1" ht="14.65" outlineLevel="1">
      <c r="A105" s="5"/>
      <c r="B105" s="25" t="s">
        <v>39</v>
      </c>
      <c r="C105" s="33">
        <f>+C104*C102</f>
        <v>0</v>
      </c>
      <c r="D105" s="33">
        <f t="shared" ref="D105:K105" si="4">+D104*D102</f>
        <v>0</v>
      </c>
      <c r="E105" s="33">
        <f t="shared" si="4"/>
        <v>0</v>
      </c>
      <c r="F105" s="33">
        <f t="shared" si="4"/>
        <v>0</v>
      </c>
      <c r="G105" s="33">
        <f t="shared" si="4"/>
        <v>0</v>
      </c>
      <c r="H105" s="33">
        <f t="shared" si="4"/>
        <v>0</v>
      </c>
      <c r="I105" s="33">
        <f t="shared" si="4"/>
        <v>0</v>
      </c>
      <c r="J105" s="33">
        <f t="shared" si="4"/>
        <v>0</v>
      </c>
      <c r="K105" s="33">
        <f t="shared" si="4"/>
        <v>0</v>
      </c>
      <c r="L105" s="2"/>
    </row>
    <row r="106" spans="1:12" s="48" customFormat="1" ht="62.25" outlineLevel="1">
      <c r="A106" s="5"/>
      <c r="B106" s="278" t="s">
        <v>238</v>
      </c>
      <c r="C106" s="16">
        <v>0</v>
      </c>
      <c r="D106" s="16">
        <v>0</v>
      </c>
      <c r="E106" s="16">
        <v>0</v>
      </c>
      <c r="F106" s="16">
        <v>0</v>
      </c>
      <c r="G106" s="16">
        <v>0</v>
      </c>
      <c r="H106" s="16">
        <v>0</v>
      </c>
      <c r="I106" s="16">
        <v>0</v>
      </c>
      <c r="J106" s="16">
        <v>0</v>
      </c>
      <c r="K106" s="16">
        <v>0</v>
      </c>
      <c r="L106" s="2"/>
    </row>
    <row r="107" spans="1:12" s="48" customFormat="1" ht="14.65" outlineLevel="1">
      <c r="A107" s="5"/>
      <c r="B107" s="25" t="str">
        <f>CONCATENATE("Closing balance at this valuation at ",D9)</f>
        <v>Closing balance at this valuation at 31 March 2019</v>
      </c>
      <c r="C107" s="34">
        <f>C104+C105-C106</f>
        <v>0</v>
      </c>
      <c r="D107" s="34">
        <f t="shared" ref="D107:K107" si="5">D104+D105-D106</f>
        <v>0</v>
      </c>
      <c r="E107" s="34">
        <f t="shared" si="5"/>
        <v>0</v>
      </c>
      <c r="F107" s="34">
        <f t="shared" si="5"/>
        <v>0</v>
      </c>
      <c r="G107" s="34">
        <f t="shared" si="5"/>
        <v>0</v>
      </c>
      <c r="H107" s="34">
        <f t="shared" si="5"/>
        <v>0</v>
      </c>
      <c r="I107" s="34">
        <f t="shared" si="5"/>
        <v>0</v>
      </c>
      <c r="J107" s="34">
        <f t="shared" si="5"/>
        <v>0</v>
      </c>
      <c r="K107" s="34">
        <f t="shared" si="5"/>
        <v>0</v>
      </c>
      <c r="L107" s="2"/>
    </row>
    <row r="108" spans="1:12" s="48" customFormat="1" ht="14.65" outlineLevel="1">
      <c r="A108" s="5"/>
      <c r="B108" s="2"/>
      <c r="C108" s="2"/>
      <c r="D108" s="2"/>
      <c r="E108" s="2"/>
      <c r="F108" s="2"/>
      <c r="G108" s="2"/>
      <c r="H108" s="2"/>
      <c r="I108" s="2"/>
      <c r="J108" s="2"/>
      <c r="K108" s="2"/>
      <c r="L108" s="2"/>
    </row>
    <row r="109" spans="1:12" s="48" customFormat="1" ht="14.65" outlineLevel="1">
      <c r="A109" s="5"/>
      <c r="B109" s="115" t="str">
        <f>CONCATENATE("Reduction in regulatory fraction at ",+D9)</f>
        <v>Reduction in regulatory fraction at 31 March 2019</v>
      </c>
      <c r="C109" s="2"/>
      <c r="D109" s="2"/>
      <c r="E109" s="13">
        <f>IFERROR(E107/-'P1.2 PDAM Actuary provided data'!D109,0)</f>
        <v>0</v>
      </c>
      <c r="F109" s="17"/>
      <c r="G109" s="17"/>
      <c r="H109" s="13">
        <f>IFERROR(H107/-'P1.2 PDAM Actuary provided data'!D109,0)</f>
        <v>0</v>
      </c>
      <c r="I109" s="17"/>
      <c r="J109" s="2"/>
      <c r="K109" s="13">
        <f>IFERROR(K107/-'P1.2 PDAM Actuary provided data'!D109,0)</f>
        <v>0</v>
      </c>
      <c r="L109" s="2"/>
    </row>
    <row r="110" spans="1:12" s="48" customFormat="1" ht="14.65" outlineLevel="1">
      <c r="A110" s="5"/>
      <c r="B110" s="41"/>
      <c r="C110" s="2"/>
      <c r="D110" s="2"/>
      <c r="E110" s="17"/>
      <c r="F110" s="17"/>
      <c r="G110" s="17"/>
      <c r="H110" s="17"/>
      <c r="I110" s="17"/>
      <c r="J110" s="2"/>
      <c r="K110" s="2"/>
      <c r="L110" s="2"/>
    </row>
    <row r="111" spans="1:12" s="48" customFormat="1" ht="14.65">
      <c r="A111" s="5"/>
      <c r="B111" s="5"/>
      <c r="C111" s="5"/>
      <c r="D111" s="5"/>
      <c r="E111" s="5"/>
      <c r="F111" s="5"/>
      <c r="G111" s="5"/>
      <c r="H111" s="5"/>
      <c r="I111" s="5"/>
      <c r="J111" s="5"/>
      <c r="K111" s="5"/>
      <c r="L111" s="2"/>
    </row>
    <row r="112" spans="1:12" ht="14.65">
      <c r="A112" s="5"/>
      <c r="B112" s="38" t="s">
        <v>75</v>
      </c>
      <c r="C112" s="23"/>
      <c r="D112" s="2"/>
      <c r="E112" s="5"/>
      <c r="F112" s="5"/>
      <c r="G112" s="23"/>
      <c r="H112" s="2"/>
      <c r="I112" s="5"/>
      <c r="J112" s="5"/>
      <c r="K112" s="2"/>
      <c r="L112" s="2"/>
    </row>
    <row r="113" spans="1:22" ht="15.4" outlineLevel="1">
      <c r="A113" s="5"/>
      <c r="B113"/>
      <c r="C113" s="23"/>
      <c r="D113" s="2"/>
      <c r="E113" s="5"/>
      <c r="F113" s="5"/>
      <c r="G113" s="23"/>
      <c r="H113" s="2"/>
      <c r="I113" s="5"/>
      <c r="J113" s="5"/>
      <c r="K113" s="2"/>
      <c r="L113" s="2"/>
    </row>
    <row r="114" spans="1:22" ht="29.25" customHeight="1" outlineLevel="1">
      <c r="A114" s="5"/>
      <c r="B114" s="39"/>
      <c r="C114" s="29" t="str">
        <f>+C13</f>
        <v>Licensee 1</v>
      </c>
      <c r="D114" s="29" t="str">
        <f t="shared" ref="D114:H114" si="6">+D13</f>
        <v>Licensee 2</v>
      </c>
      <c r="E114" s="29" t="str">
        <f t="shared" si="6"/>
        <v>Licensee 3</v>
      </c>
      <c r="F114" s="29" t="str">
        <f t="shared" si="6"/>
        <v>Licensee 4</v>
      </c>
      <c r="G114" s="29" t="str">
        <f t="shared" si="6"/>
        <v>Licensee 5</v>
      </c>
      <c r="H114" s="29" t="str">
        <f t="shared" si="6"/>
        <v>Licensee 6</v>
      </c>
      <c r="I114" s="27" t="s">
        <v>26</v>
      </c>
      <c r="J114" s="27" t="s">
        <v>27</v>
      </c>
      <c r="K114" s="2"/>
      <c r="L114" s="2"/>
    </row>
    <row r="115" spans="1:22" ht="25.15" outlineLevel="1">
      <c r="A115" s="5"/>
      <c r="B115" s="395" t="str">
        <f>CONCATENATE("Opening Pre Cut-Off Date Regulatory Fractions at ",+'P1.1 PDAM Licensee provided'!D8," - before adjustment for ERDCs")</f>
        <v>Opening Pre Cut-Off Date Regulatory Fractions at 31 March 2016 - before adjustment for ERDCs</v>
      </c>
      <c r="C115" s="13">
        <f>C14</f>
        <v>0</v>
      </c>
      <c r="D115" s="13">
        <f t="shared" ref="D115:I115" si="7">D14</f>
        <v>0</v>
      </c>
      <c r="E115" s="13">
        <f t="shared" si="7"/>
        <v>0</v>
      </c>
      <c r="F115" s="13">
        <f t="shared" si="7"/>
        <v>0</v>
      </c>
      <c r="G115" s="13">
        <f t="shared" si="7"/>
        <v>0</v>
      </c>
      <c r="H115" s="13">
        <f t="shared" si="7"/>
        <v>0</v>
      </c>
      <c r="I115" s="13">
        <f t="shared" si="7"/>
        <v>1</v>
      </c>
      <c r="J115" s="13">
        <f>SUM(C115:I115)</f>
        <v>1</v>
      </c>
      <c r="K115" s="2"/>
      <c r="L115" s="2"/>
    </row>
    <row r="116" spans="1:22" ht="37.5">
      <c r="A116" s="5"/>
      <c r="B116" s="395" t="s">
        <v>505</v>
      </c>
      <c r="C116" s="13">
        <f>K50</f>
        <v>0</v>
      </c>
      <c r="D116" s="13">
        <f>K72</f>
        <v>0</v>
      </c>
      <c r="E116" s="13">
        <v>0</v>
      </c>
      <c r="F116" s="13">
        <v>0</v>
      </c>
      <c r="G116" s="13">
        <v>0</v>
      </c>
      <c r="H116" s="13">
        <v>0</v>
      </c>
      <c r="I116" s="13">
        <f>J116-C116-D116</f>
        <v>1</v>
      </c>
      <c r="J116" s="13">
        <v>1</v>
      </c>
      <c r="K116" s="2"/>
      <c r="L116" s="2"/>
    </row>
    <row r="117" spans="1:22" ht="29.25" customHeight="1" outlineLevel="1">
      <c r="A117" s="5"/>
      <c r="B117" s="47" t="s">
        <v>77</v>
      </c>
      <c r="C117" s="12">
        <v>0</v>
      </c>
      <c r="D117" s="12">
        <v>0</v>
      </c>
      <c r="E117" s="12">
        <v>0</v>
      </c>
      <c r="F117" s="12">
        <v>0</v>
      </c>
      <c r="G117" s="12">
        <v>0</v>
      </c>
      <c r="H117" s="12">
        <v>0</v>
      </c>
      <c r="I117" s="12">
        <v>0</v>
      </c>
      <c r="J117" s="13">
        <f t="shared" ref="J117:J123" si="8">SUM(C117:I117)</f>
        <v>0</v>
      </c>
      <c r="K117" s="2"/>
      <c r="L117" s="2"/>
    </row>
    <row r="118" spans="1:22" ht="33.75" customHeight="1" outlineLevel="1">
      <c r="A118" s="5"/>
      <c r="B118" s="47" t="s">
        <v>80</v>
      </c>
      <c r="C118" s="12">
        <v>0</v>
      </c>
      <c r="D118" s="12">
        <v>0</v>
      </c>
      <c r="E118" s="12">
        <v>0</v>
      </c>
      <c r="F118" s="12">
        <v>0</v>
      </c>
      <c r="G118" s="12">
        <v>0</v>
      </c>
      <c r="H118" s="12">
        <v>0</v>
      </c>
      <c r="I118" s="12">
        <v>0</v>
      </c>
      <c r="J118" s="13">
        <f t="shared" si="8"/>
        <v>0</v>
      </c>
      <c r="K118" s="2"/>
      <c r="L118" s="2"/>
    </row>
    <row r="119" spans="1:22" ht="33.75" customHeight="1" outlineLevel="1">
      <c r="A119" s="5"/>
      <c r="B119" s="47" t="s">
        <v>78</v>
      </c>
      <c r="C119" s="12">
        <v>0</v>
      </c>
      <c r="D119" s="12">
        <v>0</v>
      </c>
      <c r="E119" s="12">
        <v>0</v>
      </c>
      <c r="F119" s="12">
        <v>0</v>
      </c>
      <c r="G119" s="12">
        <v>0</v>
      </c>
      <c r="H119" s="12">
        <v>0</v>
      </c>
      <c r="I119" s="12">
        <v>0</v>
      </c>
      <c r="J119" s="13">
        <f t="shared" si="8"/>
        <v>0</v>
      </c>
      <c r="K119" s="2"/>
      <c r="L119" s="2"/>
    </row>
    <row r="120" spans="1:22" ht="33.75" customHeight="1" outlineLevel="1">
      <c r="A120" s="5"/>
      <c r="B120" s="47" t="s">
        <v>79</v>
      </c>
      <c r="C120" s="12">
        <v>0</v>
      </c>
      <c r="D120" s="12">
        <v>0</v>
      </c>
      <c r="E120" s="12">
        <v>0</v>
      </c>
      <c r="F120" s="12">
        <v>0</v>
      </c>
      <c r="G120" s="12">
        <v>0</v>
      </c>
      <c r="H120" s="12">
        <v>0</v>
      </c>
      <c r="I120" s="12">
        <v>0</v>
      </c>
      <c r="J120" s="13">
        <f t="shared" si="8"/>
        <v>0</v>
      </c>
      <c r="K120" s="2"/>
      <c r="L120" s="2"/>
    </row>
    <row r="121" spans="1:22" ht="14.65" outlineLevel="1">
      <c r="A121" s="5"/>
      <c r="B121" s="47" t="s">
        <v>81</v>
      </c>
      <c r="C121" s="12">
        <v>0</v>
      </c>
      <c r="D121" s="12">
        <v>0</v>
      </c>
      <c r="E121" s="12">
        <v>0</v>
      </c>
      <c r="F121" s="12">
        <v>0</v>
      </c>
      <c r="G121" s="12">
        <v>0</v>
      </c>
      <c r="H121" s="12">
        <v>0</v>
      </c>
      <c r="I121" s="12">
        <v>0</v>
      </c>
      <c r="J121" s="13">
        <f t="shared" si="8"/>
        <v>0</v>
      </c>
      <c r="K121" s="2"/>
      <c r="L121" s="2"/>
    </row>
    <row r="122" spans="1:22" ht="25.5" customHeight="1" outlineLevel="1">
      <c r="A122" s="5"/>
      <c r="B122" s="35" t="str">
        <f>CONCATENATE("ERDC adjustment as at ",+D9)</f>
        <v>ERDC adjustment as at 31 March 2019</v>
      </c>
      <c r="C122" s="124">
        <f>-E109</f>
        <v>0</v>
      </c>
      <c r="D122" s="124">
        <f>-H109</f>
        <v>0</v>
      </c>
      <c r="E122" s="124">
        <f>-K109</f>
        <v>0</v>
      </c>
      <c r="F122" s="12">
        <v>0</v>
      </c>
      <c r="G122" s="12">
        <v>0</v>
      </c>
      <c r="H122" s="12">
        <v>0</v>
      </c>
      <c r="I122" s="12">
        <v>0</v>
      </c>
      <c r="J122" s="13">
        <f t="shared" si="8"/>
        <v>0</v>
      </c>
      <c r="K122" s="2"/>
      <c r="L122" s="2"/>
    </row>
    <row r="123" spans="1:22" ht="25.15" outlineLevel="1">
      <c r="A123" s="5"/>
      <c r="B123" s="395" t="str">
        <f>CONCATENATE("Pre Cut-Off Date Regulatory Fractions at ",+'P1.1 PDAM Licensee provided'!D9," - after adjustment for Section B, bulk transfers, ERDCs and other items")</f>
        <v>Pre Cut-Off Date Regulatory Fractions at 31 March 2019 - after adjustment for Section B, bulk transfers, ERDCs and other items</v>
      </c>
      <c r="C123" s="124">
        <f t="shared" ref="C123:H123" si="9">IF($C$20 = "Yes",SUM(C116:C122),SUM(C115,C117:C122))</f>
        <v>0</v>
      </c>
      <c r="D123" s="124">
        <f t="shared" si="9"/>
        <v>0</v>
      </c>
      <c r="E123" s="124">
        <f t="shared" si="9"/>
        <v>0</v>
      </c>
      <c r="F123" s="124">
        <f t="shared" si="9"/>
        <v>0</v>
      </c>
      <c r="G123" s="124">
        <f t="shared" si="9"/>
        <v>0</v>
      </c>
      <c r="H123" s="124">
        <f t="shared" si="9"/>
        <v>0</v>
      </c>
      <c r="I123" s="124">
        <f>IF($C$20="Yes",SUM(I116:I122),SUM(I115,I117:I122))</f>
        <v>1</v>
      </c>
      <c r="J123" s="124">
        <f t="shared" si="8"/>
        <v>1</v>
      </c>
      <c r="K123" s="2"/>
      <c r="L123" s="2"/>
    </row>
    <row r="124" spans="1:22" ht="14.65" outlineLevel="1">
      <c r="A124" s="5"/>
      <c r="B124" s="5"/>
      <c r="C124" s="5"/>
      <c r="D124" s="5"/>
      <c r="E124" s="5"/>
      <c r="F124" s="5"/>
      <c r="G124" s="5"/>
      <c r="H124" s="5"/>
      <c r="I124" s="5"/>
      <c r="J124" s="5"/>
      <c r="K124" s="2"/>
      <c r="L124" s="2"/>
    </row>
    <row r="125" spans="1:22" ht="14.65">
      <c r="A125" s="5"/>
      <c r="B125" s="42"/>
      <c r="C125" s="2"/>
      <c r="D125" s="2"/>
      <c r="E125" s="2"/>
      <c r="F125" s="2"/>
      <c r="G125" s="2"/>
      <c r="H125" s="2"/>
      <c r="I125" s="2"/>
      <c r="J125" s="2"/>
      <c r="K125" s="2"/>
      <c r="L125" s="2"/>
      <c r="M125" s="42"/>
      <c r="N125" s="42"/>
      <c r="O125" s="42"/>
      <c r="P125" s="42"/>
      <c r="Q125" s="42"/>
      <c r="R125" s="42"/>
      <c r="S125" s="42"/>
      <c r="T125" s="42"/>
      <c r="U125" s="42"/>
      <c r="V125" s="42"/>
    </row>
    <row r="126" spans="1:22" ht="15" customHeight="1">
      <c r="A126" s="5"/>
      <c r="B126" s="456" t="s">
        <v>82</v>
      </c>
      <c r="C126" s="456"/>
      <c r="D126" s="456"/>
      <c r="E126" s="456"/>
      <c r="F126" s="5"/>
      <c r="G126" s="5"/>
      <c r="H126" s="5"/>
      <c r="I126" s="5"/>
      <c r="J126" s="5"/>
      <c r="K126" s="2"/>
      <c r="L126" s="2"/>
    </row>
    <row r="127" spans="1:22" ht="14.65" outlineLevel="1">
      <c r="A127" s="5"/>
      <c r="B127" s="5"/>
      <c r="C127" s="5"/>
      <c r="D127" s="5"/>
      <c r="E127" s="5"/>
      <c r="F127" s="5"/>
      <c r="G127" s="5"/>
      <c r="H127" s="5"/>
      <c r="I127" s="5"/>
      <c r="J127" s="5"/>
      <c r="K127" s="2"/>
      <c r="L127" s="2"/>
    </row>
    <row r="128" spans="1:22" ht="14.65" outlineLevel="1">
      <c r="A128" s="5"/>
      <c r="B128" s="11" t="s">
        <v>41</v>
      </c>
      <c r="C128" s="29" t="str">
        <f>+C13</f>
        <v>Licensee 1</v>
      </c>
      <c r="D128" s="29" t="str">
        <f t="shared" ref="D128:H128" si="10">+D13</f>
        <v>Licensee 2</v>
      </c>
      <c r="E128" s="29" t="str">
        <f t="shared" si="10"/>
        <v>Licensee 3</v>
      </c>
      <c r="F128" s="29" t="str">
        <f t="shared" si="10"/>
        <v>Licensee 4</v>
      </c>
      <c r="G128" s="29" t="str">
        <f t="shared" si="10"/>
        <v>Licensee 5</v>
      </c>
      <c r="H128" s="29" t="str">
        <f t="shared" si="10"/>
        <v>Licensee 6</v>
      </c>
      <c r="I128" s="27" t="s">
        <v>26</v>
      </c>
      <c r="J128" s="27" t="s">
        <v>27</v>
      </c>
      <c r="K128" s="2"/>
      <c r="L128" s="2"/>
    </row>
    <row r="129" spans="1:15" ht="14.65" outlineLevel="1">
      <c r="A129" s="5"/>
      <c r="B129" s="25" t="str">
        <f>CONCATENATE("Opening Post Cut-Off Date Regulatory Proportion at ",D8)</f>
        <v>Opening Post Cut-Off Date Regulatory Proportion at 31 March 2016</v>
      </c>
      <c r="C129" s="12">
        <v>0</v>
      </c>
      <c r="D129" s="12">
        <v>0</v>
      </c>
      <c r="E129" s="12">
        <v>0</v>
      </c>
      <c r="F129" s="12">
        <v>0</v>
      </c>
      <c r="G129" s="12">
        <v>0</v>
      </c>
      <c r="H129" s="12">
        <v>0</v>
      </c>
      <c r="I129" s="12">
        <v>0</v>
      </c>
      <c r="J129" s="13">
        <f>SUM(C129:I129)</f>
        <v>0</v>
      </c>
      <c r="K129" s="2"/>
      <c r="L129" s="2"/>
    </row>
    <row r="130" spans="1:15" ht="14.65" outlineLevel="1">
      <c r="A130" s="5"/>
      <c r="B130" s="42"/>
      <c r="C130" s="5"/>
      <c r="D130" s="5"/>
      <c r="E130" s="5"/>
      <c r="F130" s="5"/>
      <c r="G130" s="5"/>
      <c r="H130" s="5"/>
      <c r="I130" s="5"/>
      <c r="J130" s="2"/>
      <c r="K130" s="2"/>
      <c r="L130" s="2"/>
    </row>
    <row r="131" spans="1:15" ht="14.25" customHeight="1">
      <c r="A131" s="5"/>
      <c r="B131" s="5"/>
      <c r="C131" s="5"/>
      <c r="D131" s="5"/>
      <c r="E131" s="5"/>
      <c r="F131" s="5"/>
      <c r="G131" s="5"/>
      <c r="H131" s="5"/>
      <c r="I131" s="5"/>
      <c r="J131" s="2"/>
      <c r="K131" s="2"/>
      <c r="L131" s="2"/>
    </row>
    <row r="132" spans="1:15" ht="14.75" customHeight="1">
      <c r="A132" s="5"/>
      <c r="B132" s="456" t="s">
        <v>83</v>
      </c>
      <c r="C132" s="456"/>
      <c r="D132" s="456"/>
      <c r="E132" s="456"/>
      <c r="F132" s="5"/>
      <c r="G132" s="5"/>
      <c r="H132" s="5"/>
      <c r="I132" s="5"/>
      <c r="J132" s="2"/>
      <c r="K132" s="2"/>
      <c r="L132" s="2"/>
    </row>
    <row r="133" spans="1:15" ht="14.65" outlineLevel="1">
      <c r="A133" s="5"/>
      <c r="B133" s="5"/>
      <c r="C133" s="5"/>
      <c r="D133" s="5"/>
      <c r="E133" s="5"/>
      <c r="F133" s="5"/>
      <c r="G133" s="5"/>
      <c r="H133" s="5"/>
      <c r="I133" s="5"/>
      <c r="J133" s="2"/>
      <c r="K133" s="2"/>
      <c r="L133" s="2"/>
    </row>
    <row r="134" spans="1:15" ht="14.65" outlineLevel="1">
      <c r="A134" s="5"/>
      <c r="B134" s="11" t="s">
        <v>31</v>
      </c>
      <c r="C134" s="29" t="str">
        <f>+C13</f>
        <v>Licensee 1</v>
      </c>
      <c r="D134" s="29" t="str">
        <f t="shared" ref="D134:H134" si="11">+D13</f>
        <v>Licensee 2</v>
      </c>
      <c r="E134" s="29" t="str">
        <f t="shared" si="11"/>
        <v>Licensee 3</v>
      </c>
      <c r="F134" s="29" t="str">
        <f t="shared" si="11"/>
        <v>Licensee 4</v>
      </c>
      <c r="G134" s="29" t="str">
        <f t="shared" si="11"/>
        <v>Licensee 5</v>
      </c>
      <c r="H134" s="29" t="str">
        <f t="shared" si="11"/>
        <v>Licensee 6</v>
      </c>
      <c r="I134" s="27" t="s">
        <v>26</v>
      </c>
      <c r="J134" s="27" t="s">
        <v>27</v>
      </c>
      <c r="K134" s="233" t="s">
        <v>205</v>
      </c>
      <c r="L134" s="234"/>
      <c r="M134" s="235"/>
      <c r="N134" s="235"/>
      <c r="O134" s="236"/>
    </row>
    <row r="135" spans="1:15" outlineLevel="1">
      <c r="A135" s="5"/>
      <c r="B135" s="30" t="str">
        <f>CONCATENATE("Year 1 of this valuation period ended 31 March ",+$C$101)</f>
        <v>Year 1 of this valuation period ended 31 March 2017</v>
      </c>
      <c r="C135" s="16"/>
      <c r="D135" s="16"/>
      <c r="E135" s="16"/>
      <c r="F135" s="16"/>
      <c r="G135" s="16"/>
      <c r="H135" s="16"/>
      <c r="I135" s="16"/>
      <c r="J135" s="229">
        <f>SUM(C135:I135)</f>
        <v>0</v>
      </c>
      <c r="K135" s="230"/>
      <c r="L135" s="231"/>
      <c r="M135" s="231"/>
      <c r="N135" s="231"/>
      <c r="O135" s="232"/>
    </row>
    <row r="136" spans="1:15" outlineLevel="1">
      <c r="A136" s="5"/>
      <c r="B136" s="30" t="str">
        <f>CONCATENATE("Year 2 of this valuation period ended 31 March ",+$D$101)</f>
        <v>Year 2 of this valuation period ended 31 March 2018</v>
      </c>
      <c r="C136" s="16"/>
      <c r="D136" s="16"/>
      <c r="E136" s="16"/>
      <c r="F136" s="16"/>
      <c r="G136" s="16"/>
      <c r="H136" s="16"/>
      <c r="I136" s="16"/>
      <c r="J136" s="40">
        <f>SUM(C136:I136)</f>
        <v>0</v>
      </c>
      <c r="K136" s="230"/>
      <c r="L136" s="231"/>
      <c r="M136" s="231"/>
      <c r="N136" s="231"/>
      <c r="O136" s="232"/>
    </row>
    <row r="137" spans="1:15" outlineLevel="1">
      <c r="A137" s="5"/>
      <c r="B137" s="30" t="str">
        <f>CONCATENATE("Year 3 of this valuation period ended 31 March ",+$E$101)</f>
        <v>Year 3 of this valuation period ended 31 March 2019</v>
      </c>
      <c r="C137" s="16"/>
      <c r="D137" s="16"/>
      <c r="E137" s="16"/>
      <c r="F137" s="16"/>
      <c r="G137" s="16"/>
      <c r="H137" s="16"/>
      <c r="I137" s="16"/>
      <c r="J137" s="40">
        <f>SUM(C137:I137)</f>
        <v>0</v>
      </c>
      <c r="K137" s="230"/>
      <c r="L137" s="231"/>
      <c r="M137" s="231"/>
      <c r="N137" s="231"/>
      <c r="O137" s="232"/>
    </row>
    <row r="138" spans="1:15" ht="14.65" outlineLevel="1">
      <c r="A138" s="5"/>
      <c r="B138" s="26" t="s">
        <v>27</v>
      </c>
      <c r="C138" s="40">
        <f t="shared" ref="C138:J138" si="12">SUM(C135:C137)</f>
        <v>0</v>
      </c>
      <c r="D138" s="40">
        <f t="shared" si="12"/>
        <v>0</v>
      </c>
      <c r="E138" s="40">
        <f t="shared" si="12"/>
        <v>0</v>
      </c>
      <c r="F138" s="40">
        <f t="shared" si="12"/>
        <v>0</v>
      </c>
      <c r="G138" s="40">
        <f t="shared" si="12"/>
        <v>0</v>
      </c>
      <c r="H138" s="40">
        <f t="shared" si="12"/>
        <v>0</v>
      </c>
      <c r="I138" s="40">
        <f t="shared" si="12"/>
        <v>0</v>
      </c>
      <c r="J138" s="40">
        <f t="shared" si="12"/>
        <v>0</v>
      </c>
      <c r="K138" s="2"/>
      <c r="L138" s="2"/>
    </row>
    <row r="139" spans="1:15" ht="14.65" outlineLevel="1">
      <c r="A139" s="5"/>
      <c r="B139" s="14" t="s">
        <v>29</v>
      </c>
      <c r="K139" s="2"/>
      <c r="L139" s="2"/>
    </row>
    <row r="140" spans="1:15" ht="14.65" outlineLevel="1">
      <c r="A140" s="5"/>
      <c r="B140" s="30" t="str">
        <f>CONCATENATE("Year 1 of this valuation period ended 31 March ",+$C$101)</f>
        <v>Year 1 of this valuation period ended 31 March 2017</v>
      </c>
      <c r="C140" s="13">
        <f t="shared" ref="C140:I140" si="13">IFERROR(C135/$J$135,0)</f>
        <v>0</v>
      </c>
      <c r="D140" s="13">
        <f t="shared" si="13"/>
        <v>0</v>
      </c>
      <c r="E140" s="13">
        <f t="shared" si="13"/>
        <v>0</v>
      </c>
      <c r="F140" s="13">
        <f t="shared" si="13"/>
        <v>0</v>
      </c>
      <c r="G140" s="13">
        <f t="shared" si="13"/>
        <v>0</v>
      </c>
      <c r="H140" s="13">
        <f t="shared" si="13"/>
        <v>0</v>
      </c>
      <c r="I140" s="13">
        <f t="shared" si="13"/>
        <v>0</v>
      </c>
      <c r="J140" s="13">
        <f>SUM(C140:I140)</f>
        <v>0</v>
      </c>
      <c r="K140" s="2"/>
      <c r="L140" s="2"/>
    </row>
    <row r="141" spans="1:15" ht="14.65" outlineLevel="1">
      <c r="A141" s="5"/>
      <c r="B141" s="30" t="str">
        <f>CONCATENATE("Year 2 of this valuation period ended 31 March ",+$D$101)</f>
        <v>Year 2 of this valuation period ended 31 March 2018</v>
      </c>
      <c r="C141" s="13">
        <f t="shared" ref="C141:I141" si="14">IFERROR(C136/$J$136,0)</f>
        <v>0</v>
      </c>
      <c r="D141" s="13">
        <f t="shared" si="14"/>
        <v>0</v>
      </c>
      <c r="E141" s="13">
        <f t="shared" si="14"/>
        <v>0</v>
      </c>
      <c r="F141" s="13">
        <f t="shared" si="14"/>
        <v>0</v>
      </c>
      <c r="G141" s="13">
        <f t="shared" si="14"/>
        <v>0</v>
      </c>
      <c r="H141" s="13">
        <f t="shared" si="14"/>
        <v>0</v>
      </c>
      <c r="I141" s="13">
        <f t="shared" si="14"/>
        <v>0</v>
      </c>
      <c r="J141" s="13">
        <f>SUM(C141:I141)</f>
        <v>0</v>
      </c>
      <c r="K141" s="2"/>
      <c r="L141" s="2"/>
    </row>
    <row r="142" spans="1:15" ht="14.65" outlineLevel="1">
      <c r="A142" s="5"/>
      <c r="B142" s="30" t="str">
        <f>CONCATENATE("Year 3 of this valuation period ended 31 March ",+$E$101)</f>
        <v>Year 3 of this valuation period ended 31 March 2019</v>
      </c>
      <c r="C142" s="13">
        <f t="shared" ref="C142:I142" si="15">IFERROR(C137/$J$137,0)</f>
        <v>0</v>
      </c>
      <c r="D142" s="13">
        <f t="shared" si="15"/>
        <v>0</v>
      </c>
      <c r="E142" s="13">
        <f t="shared" si="15"/>
        <v>0</v>
      </c>
      <c r="F142" s="13">
        <f t="shared" si="15"/>
        <v>0</v>
      </c>
      <c r="G142" s="13">
        <f t="shared" si="15"/>
        <v>0</v>
      </c>
      <c r="H142" s="13">
        <f t="shared" si="15"/>
        <v>0</v>
      </c>
      <c r="I142" s="13">
        <f t="shared" si="15"/>
        <v>0</v>
      </c>
      <c r="J142" s="13">
        <f>SUM(C142:I142)</f>
        <v>0</v>
      </c>
      <c r="K142" s="2"/>
      <c r="L142" s="2"/>
    </row>
    <row r="143" spans="1:15" ht="14.65" outlineLevel="1">
      <c r="A143" s="5"/>
      <c r="B143" s="11" t="s">
        <v>30</v>
      </c>
      <c r="C143" s="13">
        <f t="shared" ref="C143:I143" si="16">IFERROR(SUMPRODUCT(C140:C142,$J$135:$J$137)/$J$138,0)</f>
        <v>0</v>
      </c>
      <c r="D143" s="13">
        <f t="shared" si="16"/>
        <v>0</v>
      </c>
      <c r="E143" s="13">
        <f t="shared" si="16"/>
        <v>0</v>
      </c>
      <c r="F143" s="13">
        <f t="shared" si="16"/>
        <v>0</v>
      </c>
      <c r="G143" s="13">
        <f t="shared" si="16"/>
        <v>0</v>
      </c>
      <c r="H143" s="13">
        <f t="shared" si="16"/>
        <v>0</v>
      </c>
      <c r="I143" s="13">
        <f t="shared" si="16"/>
        <v>0</v>
      </c>
      <c r="J143" s="13">
        <f>SUM(C143:I143)</f>
        <v>0</v>
      </c>
      <c r="K143" s="2"/>
      <c r="L143" s="2"/>
    </row>
    <row r="144" spans="1:15" ht="14.65" outlineLevel="1">
      <c r="A144" s="5"/>
      <c r="B144" s="5"/>
      <c r="C144" s="5"/>
      <c r="D144" s="5"/>
      <c r="E144" s="5"/>
      <c r="F144" s="5"/>
      <c r="G144" s="5"/>
      <c r="H144" s="5"/>
      <c r="I144" s="5"/>
      <c r="J144" s="5"/>
      <c r="K144" s="2"/>
      <c r="L144" s="2"/>
    </row>
    <row r="145" spans="1:12" ht="14.65" outlineLevel="1">
      <c r="A145" s="5"/>
      <c r="B145" s="5"/>
      <c r="C145" s="5"/>
      <c r="D145" s="5"/>
      <c r="E145" s="5"/>
      <c r="F145" s="5"/>
      <c r="G145" s="5"/>
      <c r="H145" s="5"/>
      <c r="I145" s="5"/>
      <c r="J145" s="5"/>
      <c r="K145" s="2"/>
      <c r="L145" s="2"/>
    </row>
    <row r="146" spans="1:12" ht="15" customHeight="1" outlineLevel="1">
      <c r="A146" s="5"/>
      <c r="B146" s="17" t="s">
        <v>263</v>
      </c>
      <c r="C146" s="17"/>
      <c r="D146" s="24"/>
      <c r="E146" s="24"/>
      <c r="F146" s="5"/>
      <c r="G146" s="5"/>
      <c r="H146" s="5"/>
      <c r="I146" s="5"/>
      <c r="J146" s="5"/>
      <c r="K146" s="2"/>
      <c r="L146" s="2"/>
    </row>
    <row r="147" spans="1:12" ht="14.65" outlineLevel="1">
      <c r="A147" s="5"/>
      <c r="B147" s="5"/>
      <c r="C147" s="5"/>
      <c r="D147" s="5"/>
      <c r="E147" s="5"/>
      <c r="F147" s="5"/>
      <c r="G147" s="5"/>
      <c r="H147" s="5"/>
      <c r="I147" s="5"/>
      <c r="J147" s="5"/>
      <c r="K147" s="2"/>
      <c r="L147" s="2"/>
    </row>
    <row r="148" spans="1:12" ht="14.65" outlineLevel="1">
      <c r="A148" s="5"/>
      <c r="B148" s="37" t="str">
        <f>CONCATENATE("Closing Post Cut-Off Date Regulatory Proportion at ",(D9),"")</f>
        <v>Closing Post Cut-Off Date Regulatory Proportion at 31 March 2019</v>
      </c>
      <c r="C148" s="36" t="e">
        <f>(('P1.2 PDAM Actuary provided data'!$D$81*C129)+('P1.2 PDAM Actuary provided data'!$D$82*C143))/'P1.2 PDAM Actuary provided data'!$D$83</f>
        <v>#DIV/0!</v>
      </c>
      <c r="D148" s="36" t="e">
        <f>(('P1.2 PDAM Actuary provided data'!$D$81*D129)+('P1.2 PDAM Actuary provided data'!$D$82*D143))/'P1.2 PDAM Actuary provided data'!$D$83</f>
        <v>#DIV/0!</v>
      </c>
      <c r="E148" s="36" t="e">
        <f>(('P1.2 PDAM Actuary provided data'!$D$81*E129)+('P1.2 PDAM Actuary provided data'!$D$82*E143))/'P1.2 PDAM Actuary provided data'!$D$83</f>
        <v>#DIV/0!</v>
      </c>
      <c r="F148" s="36" t="e">
        <f>(('P1.2 PDAM Actuary provided data'!$D$81*F129)+('P1.2 PDAM Actuary provided data'!$D$82*F143))/'P1.2 PDAM Actuary provided data'!$D$83</f>
        <v>#DIV/0!</v>
      </c>
      <c r="G148" s="36" t="e">
        <f>(('P1.2 PDAM Actuary provided data'!$D$81*G129)+('P1.2 PDAM Actuary provided data'!$D$82*G143))/'P1.2 PDAM Actuary provided data'!$D$83</f>
        <v>#DIV/0!</v>
      </c>
      <c r="H148" s="36" t="e">
        <f>(('P1.2 PDAM Actuary provided data'!$D$81*H129)+('P1.2 PDAM Actuary provided data'!$D$82*H143))/'P1.2 PDAM Actuary provided data'!$D$83</f>
        <v>#DIV/0!</v>
      </c>
      <c r="I148" s="36" t="e">
        <f>(('P1.2 PDAM Actuary provided data'!$D$81*I129)+('P1.2 PDAM Actuary provided data'!$D$82*I143))/'P1.2 PDAM Actuary provided data'!$D$83</f>
        <v>#DIV/0!</v>
      </c>
      <c r="J148" s="36" t="e">
        <f>(('P1.2 PDAM Actuary provided data'!$D$81*J129)+('P1.2 PDAM Actuary provided data'!$D$82*J143))/'P1.2 PDAM Actuary provided data'!$D$83</f>
        <v>#DIV/0!</v>
      </c>
      <c r="K148" s="2"/>
      <c r="L148" s="2"/>
    </row>
    <row r="149" spans="1:12" ht="14.65" outlineLevel="1">
      <c r="A149" s="5"/>
      <c r="B149" s="5"/>
      <c r="C149" s="23"/>
      <c r="D149" s="2"/>
      <c r="E149" s="5"/>
      <c r="F149" s="5"/>
      <c r="G149" s="23"/>
      <c r="H149" s="2"/>
      <c r="I149" s="5"/>
      <c r="J149" s="5"/>
      <c r="K149" s="2"/>
      <c r="L149" s="2"/>
    </row>
    <row r="150" spans="1:12" ht="15" customHeight="1">
      <c r="A150" s="5"/>
      <c r="B150" s="5"/>
      <c r="C150" s="23"/>
      <c r="D150" s="2"/>
      <c r="E150" s="5"/>
      <c r="F150" s="5"/>
      <c r="G150" s="23"/>
      <c r="H150" s="2"/>
      <c r="I150" s="5"/>
      <c r="J150" s="5"/>
      <c r="K150" s="2"/>
      <c r="L150" s="2"/>
    </row>
    <row r="151" spans="1:12" ht="15.5" customHeight="1">
      <c r="A151" s="5"/>
      <c r="B151" s="464" t="s">
        <v>84</v>
      </c>
      <c r="C151" s="464"/>
      <c r="D151" s="464"/>
      <c r="E151" s="464"/>
      <c r="F151" s="5"/>
      <c r="G151" s="23"/>
      <c r="H151" s="2"/>
      <c r="I151" s="5"/>
      <c r="J151" s="5"/>
      <c r="K151" s="2"/>
      <c r="L151" s="2"/>
    </row>
    <row r="152" spans="1:12" ht="14.65" outlineLevel="1">
      <c r="A152" s="5"/>
      <c r="B152" s="5"/>
      <c r="C152" s="23"/>
      <c r="D152" s="2"/>
      <c r="E152" s="5"/>
      <c r="F152" s="5"/>
      <c r="G152" s="23"/>
      <c r="H152" s="2"/>
      <c r="I152" s="5"/>
      <c r="J152" s="5"/>
      <c r="K152" s="2"/>
      <c r="L152" s="2"/>
    </row>
    <row r="153" spans="1:12" ht="14.65" outlineLevel="1">
      <c r="A153" s="5"/>
      <c r="B153" s="99" t="s">
        <v>41</v>
      </c>
      <c r="C153" s="29" t="str">
        <f>+C13</f>
        <v>Licensee 1</v>
      </c>
      <c r="D153" s="29" t="str">
        <f t="shared" ref="D153:J153" si="17">+D13</f>
        <v>Licensee 2</v>
      </c>
      <c r="E153" s="29" t="str">
        <f t="shared" si="17"/>
        <v>Licensee 3</v>
      </c>
      <c r="F153" s="29" t="str">
        <f t="shared" si="17"/>
        <v>Licensee 4</v>
      </c>
      <c r="G153" s="29" t="str">
        <f t="shared" si="17"/>
        <v>Licensee 5</v>
      </c>
      <c r="H153" s="29" t="str">
        <f t="shared" si="17"/>
        <v>Licensee 6</v>
      </c>
      <c r="I153" s="29" t="str">
        <f t="shared" si="17"/>
        <v>Non-regulated</v>
      </c>
      <c r="J153" s="29" t="str">
        <f t="shared" si="17"/>
        <v>Total</v>
      </c>
      <c r="K153" s="2"/>
      <c r="L153" s="2"/>
    </row>
    <row r="154" spans="1:12" ht="15.75" customHeight="1" outlineLevel="1">
      <c r="A154" s="5"/>
      <c r="B154" s="288" t="s">
        <v>265</v>
      </c>
      <c r="C154" s="13">
        <f>C123</f>
        <v>0</v>
      </c>
      <c r="D154" s="13">
        <f t="shared" ref="D154:I154" si="18">D123</f>
        <v>0</v>
      </c>
      <c r="E154" s="13">
        <f t="shared" si="18"/>
        <v>0</v>
      </c>
      <c r="F154" s="13">
        <f t="shared" si="18"/>
        <v>0</v>
      </c>
      <c r="G154" s="13">
        <f t="shared" si="18"/>
        <v>0</v>
      </c>
      <c r="H154" s="13">
        <f t="shared" si="18"/>
        <v>0</v>
      </c>
      <c r="I154" s="13">
        <f t="shared" si="18"/>
        <v>1</v>
      </c>
      <c r="J154" s="13">
        <f>SUM(C154:I154)</f>
        <v>1</v>
      </c>
      <c r="K154" s="2"/>
      <c r="L154" s="2"/>
    </row>
    <row r="155" spans="1:12" ht="14.65" outlineLevel="1">
      <c r="A155" s="5"/>
      <c r="B155" s="131" t="s">
        <v>95</v>
      </c>
      <c r="C155" s="13" t="e">
        <f>C148</f>
        <v>#DIV/0!</v>
      </c>
      <c r="D155" s="13" t="e">
        <f t="shared" ref="D155:I155" si="19">D148</f>
        <v>#DIV/0!</v>
      </c>
      <c r="E155" s="13" t="e">
        <f t="shared" si="19"/>
        <v>#DIV/0!</v>
      </c>
      <c r="F155" s="13" t="e">
        <f t="shared" si="19"/>
        <v>#DIV/0!</v>
      </c>
      <c r="G155" s="13" t="e">
        <f t="shared" si="19"/>
        <v>#DIV/0!</v>
      </c>
      <c r="H155" s="13" t="e">
        <f t="shared" si="19"/>
        <v>#DIV/0!</v>
      </c>
      <c r="I155" s="13" t="e">
        <f t="shared" si="19"/>
        <v>#DIV/0!</v>
      </c>
      <c r="J155" s="13" t="e">
        <f>SUM(C155:I155)</f>
        <v>#DIV/0!</v>
      </c>
      <c r="K155" s="2"/>
      <c r="L155" s="2"/>
    </row>
    <row r="156" spans="1:12" ht="14.65" outlineLevel="1">
      <c r="A156" s="5"/>
      <c r="B156" s="289" t="str">
        <f>CONCATENATE("Established Deficit at ",+D9)</f>
        <v>Established Deficit at 31 March 2019</v>
      </c>
      <c r="C156" s="15">
        <f>C154*'P1.2 PDAM Actuary provided data'!$D$109</f>
        <v>0</v>
      </c>
      <c r="D156" s="15">
        <f>D154*'P1.2 PDAM Actuary provided data'!$D$109</f>
        <v>0</v>
      </c>
      <c r="E156" s="15">
        <f>E154*'P1.2 PDAM Actuary provided data'!$D$109</f>
        <v>0</v>
      </c>
      <c r="F156" s="15">
        <f>F154*'P1.2 PDAM Actuary provided data'!$D$109</f>
        <v>0</v>
      </c>
      <c r="G156" s="15">
        <f>G154*'P1.2 PDAM Actuary provided data'!$D$109</f>
        <v>0</v>
      </c>
      <c r="H156" s="15">
        <f>H154*'P1.2 PDAM Actuary provided data'!$D$109</f>
        <v>0</v>
      </c>
      <c r="I156" s="15">
        <f>I154*'P1.2 PDAM Actuary provided data'!$D$109</f>
        <v>0</v>
      </c>
      <c r="J156" s="15">
        <f>SUM(C156:I156)</f>
        <v>0</v>
      </c>
      <c r="K156" s="2"/>
      <c r="L156" s="2"/>
    </row>
    <row r="157" spans="1:12" ht="14.65" outlineLevel="1">
      <c r="A157" s="5"/>
      <c r="B157" s="289" t="str">
        <f>CONCATENATE("Incremental Deficit at ",+D9)</f>
        <v>Incremental Deficit at 31 March 2019</v>
      </c>
      <c r="C157" s="15" t="e">
        <f>C155*'P1.2 PDAM Actuary provided data'!$D$111</f>
        <v>#DIV/0!</v>
      </c>
      <c r="D157" s="15" t="e">
        <f>D155*'P1.2 PDAM Actuary provided data'!$D$111</f>
        <v>#DIV/0!</v>
      </c>
      <c r="E157" s="15" t="e">
        <f>E155*'P1.2 PDAM Actuary provided data'!$D$111</f>
        <v>#DIV/0!</v>
      </c>
      <c r="F157" s="15" t="e">
        <f>F155*'P1.2 PDAM Actuary provided data'!$D$111</f>
        <v>#DIV/0!</v>
      </c>
      <c r="G157" s="15" t="e">
        <f>G155*'P1.2 PDAM Actuary provided data'!$D$111</f>
        <v>#DIV/0!</v>
      </c>
      <c r="H157" s="15" t="e">
        <f>H155*'P1.2 PDAM Actuary provided data'!$D$111</f>
        <v>#DIV/0!</v>
      </c>
      <c r="I157" s="15" t="e">
        <f>I155*'P1.2 PDAM Actuary provided data'!$D$111</f>
        <v>#DIV/0!</v>
      </c>
      <c r="J157" s="15" t="e">
        <f>SUM(C157:I157)</f>
        <v>#DIV/0!</v>
      </c>
      <c r="K157" s="2"/>
      <c r="L157" s="2"/>
    </row>
    <row r="158" spans="1:12" ht="14.65">
      <c r="A158" s="5"/>
      <c r="B158" s="5"/>
      <c r="C158" s="23"/>
      <c r="D158" s="2"/>
      <c r="E158" s="5"/>
      <c r="F158" s="5"/>
      <c r="G158" s="23"/>
      <c r="H158" s="2"/>
      <c r="I158" s="5"/>
      <c r="J158" s="5"/>
      <c r="K158" s="2"/>
      <c r="L158" s="2"/>
    </row>
    <row r="159" spans="1:12" s="48" customFormat="1" ht="15">
      <c r="A159" s="5"/>
      <c r="B159" s="133"/>
      <c r="C159" s="133"/>
      <c r="D159" s="133"/>
      <c r="E159" s="133"/>
      <c r="F159" s="133"/>
      <c r="G159" s="133"/>
      <c r="H159" s="133"/>
      <c r="I159" s="133"/>
      <c r="J159" s="133"/>
      <c r="K159" s="133"/>
      <c r="L159" s="133"/>
    </row>
    <row r="160" spans="1:12" s="48" customFormat="1" ht="14.25">
      <c r="A160" s="5"/>
      <c r="B160" s="135"/>
      <c r="C160" s="136"/>
      <c r="D160" s="136"/>
      <c r="E160" s="136"/>
      <c r="F160" s="136"/>
      <c r="G160" s="136"/>
      <c r="H160" s="136"/>
      <c r="I160" s="136"/>
      <c r="J160" s="136"/>
      <c r="K160" s="134"/>
      <c r="L160" s="134"/>
    </row>
    <row r="161" spans="1:12" s="48" customFormat="1" ht="15" customHeight="1">
      <c r="A161" s="5"/>
      <c r="B161" s="462"/>
      <c r="C161" s="462"/>
      <c r="D161" s="462"/>
      <c r="E161" s="462"/>
      <c r="F161" s="462"/>
      <c r="G161" s="462"/>
      <c r="H161" s="462"/>
      <c r="I161" s="462"/>
      <c r="J161" s="462"/>
      <c r="K161" s="134"/>
      <c r="L161" s="134"/>
    </row>
    <row r="162" spans="1:12" s="48" customFormat="1" ht="15" customHeight="1">
      <c r="A162" s="5"/>
      <c r="B162" s="462"/>
      <c r="C162" s="462"/>
      <c r="D162" s="462"/>
      <c r="E162" s="462"/>
      <c r="F162" s="462"/>
      <c r="G162" s="462"/>
      <c r="H162" s="462"/>
      <c r="I162" s="462"/>
      <c r="J162" s="462"/>
      <c r="K162" s="134"/>
      <c r="L162" s="134"/>
    </row>
    <row r="163" spans="1:12" s="48" customFormat="1" ht="15" customHeight="1">
      <c r="A163" s="5"/>
      <c r="B163" s="462"/>
      <c r="C163" s="462"/>
      <c r="D163" s="462"/>
      <c r="E163" s="462"/>
      <c r="F163" s="462"/>
      <c r="G163" s="462"/>
      <c r="H163" s="462"/>
      <c r="I163" s="462"/>
      <c r="J163" s="462"/>
      <c r="K163" s="134"/>
      <c r="L163" s="134"/>
    </row>
    <row r="164" spans="1:12" s="48" customFormat="1" ht="15" customHeight="1">
      <c r="A164" s="5"/>
      <c r="B164" s="462"/>
      <c r="C164" s="462"/>
      <c r="D164" s="462"/>
      <c r="E164" s="462"/>
      <c r="F164" s="462"/>
      <c r="G164" s="462"/>
      <c r="H164" s="462"/>
      <c r="I164" s="462"/>
      <c r="J164" s="462"/>
      <c r="K164" s="134"/>
      <c r="L164" s="134"/>
    </row>
    <row r="165" spans="1:12" s="48" customFormat="1" ht="15" customHeight="1">
      <c r="A165" s="5"/>
      <c r="B165" s="462"/>
      <c r="C165" s="462"/>
      <c r="D165" s="462"/>
      <c r="E165" s="462"/>
      <c r="F165" s="462"/>
      <c r="G165" s="462"/>
      <c r="H165" s="462"/>
      <c r="I165" s="462"/>
      <c r="J165" s="462"/>
      <c r="K165" s="134"/>
      <c r="L165" s="134"/>
    </row>
    <row r="166" spans="1:12" s="48" customFormat="1" ht="15" customHeight="1">
      <c r="A166" s="5"/>
      <c r="B166" s="136"/>
      <c r="C166" s="136"/>
      <c r="D166" s="136"/>
      <c r="E166" s="136"/>
      <c r="F166" s="136"/>
      <c r="G166" s="136"/>
      <c r="H166" s="136"/>
      <c r="I166" s="136"/>
      <c r="J166" s="136"/>
      <c r="K166" s="134"/>
      <c r="L166" s="134"/>
    </row>
    <row r="167" spans="1:12" s="48" customFormat="1" ht="32.25" customHeight="1">
      <c r="A167" s="5"/>
      <c r="B167" s="462"/>
      <c r="C167" s="462"/>
      <c r="D167" s="462"/>
      <c r="E167" s="462"/>
      <c r="F167" s="462"/>
      <c r="G167" s="462"/>
      <c r="H167" s="462"/>
      <c r="I167" s="462"/>
      <c r="J167" s="462"/>
      <c r="K167" s="134"/>
      <c r="L167" s="134"/>
    </row>
    <row r="168" spans="1:12" s="48" customFormat="1" ht="14.25">
      <c r="A168" s="5"/>
      <c r="B168" s="136"/>
      <c r="C168" s="136"/>
      <c r="D168" s="136"/>
      <c r="E168" s="136"/>
      <c r="F168" s="136"/>
      <c r="G168" s="136"/>
      <c r="H168" s="136"/>
      <c r="I168" s="136"/>
      <c r="J168" s="136"/>
      <c r="K168" s="134"/>
      <c r="L168" s="134"/>
    </row>
    <row r="169" spans="1:12" s="48" customFormat="1" ht="14.25">
      <c r="A169" s="5"/>
      <c r="B169" s="135"/>
      <c r="C169" s="136"/>
      <c r="D169" s="136"/>
      <c r="E169" s="136"/>
      <c r="F169" s="136"/>
      <c r="G169" s="136"/>
      <c r="H169" s="136"/>
      <c r="I169" s="136"/>
      <c r="J169" s="136"/>
      <c r="K169" s="134"/>
      <c r="L169" s="134"/>
    </row>
    <row r="170" spans="1:12" s="48" customFormat="1" ht="14.25">
      <c r="A170" s="5"/>
      <c r="B170" s="137"/>
      <c r="C170" s="136"/>
      <c r="D170" s="136"/>
      <c r="E170" s="136"/>
      <c r="F170" s="136"/>
      <c r="G170" s="136"/>
      <c r="H170" s="136"/>
      <c r="I170" s="136"/>
      <c r="J170" s="136"/>
      <c r="K170" s="134"/>
      <c r="L170" s="134"/>
    </row>
    <row r="171" spans="1:12" s="48" customFormat="1" ht="14.25">
      <c r="A171" s="5"/>
      <c r="B171" s="138"/>
      <c r="C171" s="136"/>
      <c r="D171" s="136"/>
      <c r="E171" s="136"/>
      <c r="F171" s="136"/>
      <c r="G171" s="136"/>
      <c r="H171" s="136"/>
      <c r="I171" s="136"/>
      <c r="J171" s="136"/>
      <c r="K171" s="134"/>
      <c r="L171" s="134"/>
    </row>
    <row r="172" spans="1:12" s="48" customFormat="1" ht="14.25">
      <c r="A172" s="5"/>
      <c r="B172" s="137"/>
      <c r="C172" s="136"/>
      <c r="D172" s="136"/>
      <c r="E172" s="136"/>
      <c r="F172" s="136"/>
      <c r="G172" s="136"/>
      <c r="H172" s="136"/>
      <c r="I172" s="136"/>
      <c r="J172" s="136"/>
      <c r="K172" s="134"/>
      <c r="L172" s="134"/>
    </row>
    <row r="173" spans="1:12" s="48" customFormat="1" ht="14.25">
      <c r="A173" s="5"/>
      <c r="B173" s="462"/>
      <c r="C173" s="462"/>
      <c r="D173" s="462"/>
      <c r="E173" s="462"/>
      <c r="F173" s="462"/>
      <c r="G173" s="462"/>
      <c r="H173" s="462"/>
      <c r="I173" s="462"/>
      <c r="J173" s="462"/>
      <c r="K173" s="134"/>
      <c r="L173" s="134"/>
    </row>
    <row r="174" spans="1:12" s="48" customFormat="1" ht="14.25">
      <c r="A174" s="5"/>
      <c r="B174" s="462"/>
      <c r="C174" s="462"/>
      <c r="D174" s="462"/>
      <c r="E174" s="462"/>
      <c r="F174" s="462"/>
      <c r="G174" s="462"/>
      <c r="H174" s="462"/>
      <c r="I174" s="462"/>
      <c r="J174" s="462"/>
      <c r="K174" s="134"/>
      <c r="L174" s="134"/>
    </row>
    <row r="175" spans="1:12" s="48" customFormat="1" ht="14.25">
      <c r="A175" s="5"/>
      <c r="B175" s="463"/>
      <c r="C175" s="463"/>
      <c r="D175" s="463"/>
      <c r="E175" s="463"/>
      <c r="F175" s="463"/>
      <c r="G175" s="463"/>
      <c r="H175" s="463"/>
      <c r="I175" s="463"/>
      <c r="J175" s="463"/>
      <c r="K175" s="134"/>
      <c r="L175" s="134"/>
    </row>
    <row r="176" spans="1:12" ht="14.25">
      <c r="A176" s="5"/>
      <c r="B176" s="463"/>
      <c r="C176" s="463"/>
      <c r="D176" s="463"/>
      <c r="E176" s="463"/>
      <c r="F176" s="463"/>
      <c r="G176" s="463"/>
      <c r="H176" s="463"/>
      <c r="I176" s="463"/>
      <c r="J176" s="463"/>
      <c r="K176" s="134"/>
      <c r="L176" s="134"/>
    </row>
  </sheetData>
  <mergeCells count="19">
    <mergeCell ref="B173:J174"/>
    <mergeCell ref="B175:J176"/>
    <mergeCell ref="B167:J167"/>
    <mergeCell ref="D9:E9"/>
    <mergeCell ref="B151:E151"/>
    <mergeCell ref="B126:E126"/>
    <mergeCell ref="B132:E132"/>
    <mergeCell ref="B161:J162"/>
    <mergeCell ref="B163:J165"/>
    <mergeCell ref="B98:E98"/>
    <mergeCell ref="C76:E76"/>
    <mergeCell ref="C54:E54"/>
    <mergeCell ref="C32:E32"/>
    <mergeCell ref="D6:J6"/>
    <mergeCell ref="B11:E11"/>
    <mergeCell ref="D23:E23"/>
    <mergeCell ref="G23:H23"/>
    <mergeCell ref="J23:K23"/>
    <mergeCell ref="D8:E8"/>
  </mergeCells>
  <phoneticPr fontId="43" type="noConversion"/>
  <dataValidations count="2">
    <dataValidation type="list" allowBlank="1" showInputMessage="1" showErrorMessage="1" sqref="C20">
      <formula1>"Yes,No"</formula1>
    </dataValidation>
    <dataValidation type="list" allowBlank="1" showInputMessage="1" showErrorMessage="1" sqref="D8:E9">
      <formula1>$V$39:$V$53</formula1>
    </dataValidation>
  </dataValidations>
  <pageMargins left="0.70866141732283472" right="0.70866141732283472" top="0.74803149606299213" bottom="0.74803149606299213" header="0.31496062992125984" footer="0.31496062992125984"/>
  <pageSetup paperSize="8" scale="38" orientation="portrait" r:id="rId1"/>
  <rowBreaks count="1" manualBreakCount="1">
    <brk id="1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59999389629810485"/>
    <pageSetUpPr fitToPage="1"/>
  </sheetPr>
  <dimension ref="A1:O163"/>
  <sheetViews>
    <sheetView showGridLines="0" topLeftCell="A37" zoomScale="80" zoomScaleNormal="80" workbookViewId="0">
      <selection activeCell="B57" sqref="B57:B59"/>
    </sheetView>
  </sheetViews>
  <sheetFormatPr defaultColWidth="9.1328125" defaultRowHeight="14.25" outlineLevelRow="1"/>
  <cols>
    <col min="1" max="1" width="9.3984375" style="4" customWidth="1"/>
    <col min="2" max="2" width="79.53125" style="4" bestFit="1" customWidth="1"/>
    <col min="3" max="5" width="11.33203125" style="4" customWidth="1"/>
    <col min="6" max="6" width="60.53125" style="4" customWidth="1"/>
    <col min="7" max="8" width="11.33203125" style="4" customWidth="1"/>
    <col min="9" max="9" width="12" style="4" customWidth="1"/>
    <col min="10" max="10" width="11.33203125" style="4" customWidth="1"/>
    <col min="11" max="14" width="9.1328125" style="4"/>
    <col min="15" max="15" width="12.86328125" style="4" customWidth="1"/>
    <col min="16" max="16384" width="9.1328125" style="4"/>
  </cols>
  <sheetData>
    <row r="1" spans="1:6" ht="25.15">
      <c r="A1" s="265" t="s">
        <v>246</v>
      </c>
      <c r="B1" s="265"/>
      <c r="C1" s="67"/>
      <c r="D1" s="68"/>
      <c r="E1" s="68"/>
      <c r="F1" s="68"/>
    </row>
    <row r="2" spans="1:6" ht="30.75" customHeight="1">
      <c r="A2" s="265" t="str">
        <f>+'Pension Pack cover'!D12</f>
        <v xml:space="preserve">NWO Group Name </v>
      </c>
      <c r="B2" s="385"/>
      <c r="C2" s="67"/>
      <c r="D2" s="68"/>
      <c r="E2" s="68"/>
      <c r="F2" s="68"/>
    </row>
    <row r="3" spans="1:6" ht="25.15">
      <c r="A3" s="265">
        <f>+'Pension Pack cover'!D24</f>
        <v>2020</v>
      </c>
      <c r="B3" s="385"/>
      <c r="C3" s="67"/>
      <c r="D3" s="68"/>
      <c r="E3" s="68"/>
      <c r="F3" s="68"/>
    </row>
    <row r="4" spans="1:6" ht="15.4">
      <c r="A4" s="69" t="s">
        <v>247</v>
      </c>
      <c r="B4" s="69"/>
      <c r="C4" s="70"/>
      <c r="D4" s="71"/>
      <c r="E4" s="72"/>
      <c r="F4" s="72"/>
    </row>
    <row r="5" spans="1:6" ht="15.4">
      <c r="A5" s="73"/>
      <c r="B5" s="73"/>
      <c r="C5" s="74"/>
      <c r="D5" s="71"/>
      <c r="E5" s="72"/>
      <c r="F5" s="72"/>
    </row>
    <row r="6" spans="1:6" ht="15" customHeight="1">
      <c r="A6" s="73"/>
      <c r="B6" s="75" t="s">
        <v>19</v>
      </c>
      <c r="C6" s="74"/>
      <c r="D6" s="468" t="str">
        <f>'P1.1 PDAM Licensee provided'!D6:J6</f>
        <v>DB scheme 1</v>
      </c>
      <c r="E6" s="469"/>
      <c r="F6" s="469"/>
    </row>
    <row r="7" spans="1:6" ht="15.4">
      <c r="A7" s="73"/>
      <c r="B7" s="73"/>
      <c r="C7" s="74"/>
      <c r="D7" s="71"/>
      <c r="E7" s="72"/>
      <c r="F7" s="72"/>
    </row>
    <row r="8" spans="1:6" ht="15.4">
      <c r="A8" s="76" t="str">
        <f>CONCATENATE("Section A - Assets and Liabilities at ",'P1.1 PDAM Licensee provided'!D8," valuation")</f>
        <v>Section A - Assets and Liabilities at 31 March 2016 valuation</v>
      </c>
      <c r="B8" s="73"/>
      <c r="C8" s="74"/>
      <c r="D8" s="71"/>
      <c r="E8" s="72"/>
      <c r="F8" s="72"/>
    </row>
    <row r="9" spans="1:6" outlineLevel="1">
      <c r="A9" s="73"/>
      <c r="B9" s="73"/>
      <c r="C9" s="74"/>
      <c r="D9" s="73"/>
      <c r="E9" s="72"/>
      <c r="F9" s="72"/>
    </row>
    <row r="10" spans="1:6" ht="15.4" outlineLevel="1">
      <c r="A10" s="77"/>
      <c r="B10" s="287" t="s">
        <v>206</v>
      </c>
      <c r="C10" s="78" t="s">
        <v>0</v>
      </c>
      <c r="D10" s="9">
        <v>0</v>
      </c>
      <c r="E10" s="72"/>
      <c r="F10" s="72"/>
    </row>
    <row r="11" spans="1:6" ht="15.4" outlineLevel="1">
      <c r="A11" s="77"/>
      <c r="B11" s="287" t="s">
        <v>207</v>
      </c>
      <c r="C11" s="78" t="s">
        <v>0</v>
      </c>
      <c r="D11" s="9">
        <v>0</v>
      </c>
      <c r="E11" s="72"/>
      <c r="F11" s="72"/>
    </row>
    <row r="12" spans="1:6" ht="15.4" outlineLevel="1">
      <c r="A12" s="77"/>
      <c r="B12" s="79" t="str">
        <f>CONCATENATE("Scheme surplus (+ve)/ deficit (-ve) at ",'P1.1 PDAM Licensee provided'!D8)</f>
        <v>Scheme surplus (+ve)/ deficit (-ve) at 31 March 2016</v>
      </c>
      <c r="C12" s="78" t="s">
        <v>0</v>
      </c>
      <c r="D12" s="8">
        <f>SUM(D10:D11)</f>
        <v>0</v>
      </c>
      <c r="E12" s="72"/>
      <c r="F12" s="72"/>
    </row>
    <row r="13" spans="1:6" ht="15.4">
      <c r="A13" s="73"/>
      <c r="B13" s="73"/>
      <c r="C13" s="74"/>
      <c r="D13" s="71"/>
      <c r="E13" s="72"/>
      <c r="F13" s="72"/>
    </row>
    <row r="14" spans="1:6" ht="15.4">
      <c r="A14" s="76" t="str">
        <f>CONCATENATE("Section B - Assets and Liabilities at ",'P1.1 PDAM Licensee provided'!D9," valuation")</f>
        <v>Section B - Assets and Liabilities at 31 March 2019 valuation</v>
      </c>
      <c r="B14" s="73"/>
      <c r="C14" s="74"/>
      <c r="D14" s="71"/>
      <c r="E14" s="72"/>
      <c r="F14" s="72"/>
    </row>
    <row r="15" spans="1:6" ht="15.4" outlineLevel="1">
      <c r="A15" s="73"/>
      <c r="B15" s="73"/>
      <c r="C15" s="74"/>
      <c r="D15" s="71"/>
      <c r="E15" s="72"/>
      <c r="F15" s="72"/>
    </row>
    <row r="16" spans="1:6" outlineLevel="1">
      <c r="A16" s="73"/>
      <c r="B16" s="287" t="s">
        <v>206</v>
      </c>
      <c r="C16" s="78" t="s">
        <v>0</v>
      </c>
      <c r="D16" s="9">
        <v>0</v>
      </c>
      <c r="E16" s="72"/>
      <c r="F16" s="72"/>
    </row>
    <row r="17" spans="1:6" outlineLevel="1">
      <c r="A17" s="73"/>
      <c r="B17" s="287" t="s">
        <v>208</v>
      </c>
      <c r="C17" s="78" t="s">
        <v>0</v>
      </c>
      <c r="D17" s="9">
        <v>0</v>
      </c>
      <c r="E17" s="72"/>
      <c r="F17" s="72"/>
    </row>
    <row r="18" spans="1:6" outlineLevel="1">
      <c r="A18" s="73"/>
      <c r="B18" s="287" t="s">
        <v>209</v>
      </c>
      <c r="C18" s="78" t="s">
        <v>0</v>
      </c>
      <c r="D18" s="9">
        <v>0</v>
      </c>
      <c r="E18" s="72"/>
      <c r="F18" s="72"/>
    </row>
    <row r="19" spans="1:6" outlineLevel="1">
      <c r="A19" s="73"/>
      <c r="B19" s="287" t="s">
        <v>210</v>
      </c>
      <c r="C19" s="78" t="s">
        <v>0</v>
      </c>
      <c r="D19" s="9">
        <v>0</v>
      </c>
      <c r="E19" s="72"/>
      <c r="F19" s="72"/>
    </row>
    <row r="20" spans="1:6" outlineLevel="1">
      <c r="A20" s="73"/>
      <c r="B20" s="75" t="s">
        <v>34</v>
      </c>
      <c r="C20" s="78" t="s">
        <v>0</v>
      </c>
      <c r="D20" s="8">
        <f>SUM(D17:D19)</f>
        <v>0</v>
      </c>
      <c r="E20" s="72"/>
      <c r="F20" s="72"/>
    </row>
    <row r="21" spans="1:6" outlineLevel="1">
      <c r="A21" s="73"/>
      <c r="B21" s="79" t="str">
        <f>CONCATENATE("Scheme surplus (+ve)/ deficit (-ve) at ",'P1.1 PDAM Licensee provided'!D9)</f>
        <v>Scheme surplus (+ve)/ deficit (-ve) at 31 March 2019</v>
      </c>
      <c r="C21" s="78" t="s">
        <v>0</v>
      </c>
      <c r="D21" s="8">
        <f>D16+D20</f>
        <v>0</v>
      </c>
      <c r="E21" s="72"/>
      <c r="F21" s="72"/>
    </row>
    <row r="22" spans="1:6">
      <c r="A22" s="73"/>
      <c r="B22" s="79"/>
      <c r="C22" s="78"/>
      <c r="D22" s="78"/>
      <c r="E22" s="78"/>
      <c r="F22" s="72"/>
    </row>
    <row r="23" spans="1:6">
      <c r="A23" s="464" t="s">
        <v>264</v>
      </c>
      <c r="B23" s="464"/>
      <c r="C23" s="464"/>
      <c r="D23" s="464"/>
      <c r="E23" s="72"/>
      <c r="F23" s="72"/>
    </row>
    <row r="24" spans="1:6" ht="15.4" outlineLevel="1">
      <c r="A24" s="73"/>
      <c r="B24" s="73"/>
      <c r="C24" s="139"/>
      <c r="D24" s="71"/>
      <c r="E24" s="72"/>
      <c r="F24" s="72"/>
    </row>
    <row r="25" spans="1:6" outlineLevel="1">
      <c r="A25" s="73"/>
      <c r="B25" s="140" t="str">
        <f>CONCATENATE("Scheme surplus (+ve)/ deficit (-ve) at ",'P1.1 PDAM Licensee provided'!D8)</f>
        <v>Scheme surplus (+ve)/ deficit (-ve) at 31 March 2016</v>
      </c>
      <c r="C25" s="141" t="s">
        <v>0</v>
      </c>
      <c r="D25" s="8">
        <f>D12</f>
        <v>0</v>
      </c>
      <c r="E25" s="72"/>
      <c r="F25" s="72"/>
    </row>
    <row r="26" spans="1:6" outlineLevel="1">
      <c r="A26" s="73"/>
      <c r="B26" s="142" t="s">
        <v>97</v>
      </c>
      <c r="C26" s="141" t="s">
        <v>0</v>
      </c>
      <c r="D26" s="9">
        <v>0</v>
      </c>
      <c r="E26" s="72"/>
      <c r="F26" s="72"/>
    </row>
    <row r="27" spans="1:6" outlineLevel="1">
      <c r="A27" s="73"/>
      <c r="B27" s="142" t="s">
        <v>4</v>
      </c>
      <c r="C27" s="141" t="s">
        <v>0</v>
      </c>
      <c r="D27" s="9">
        <v>0</v>
      </c>
      <c r="E27" s="72"/>
      <c r="F27" s="72"/>
    </row>
    <row r="28" spans="1:6" outlineLevel="1">
      <c r="A28" s="73"/>
      <c r="B28" s="142" t="s">
        <v>5</v>
      </c>
      <c r="C28" s="141" t="s">
        <v>0</v>
      </c>
      <c r="D28" s="9">
        <v>0</v>
      </c>
      <c r="E28" s="72"/>
      <c r="F28" s="72"/>
    </row>
    <row r="29" spans="1:6" outlineLevel="1">
      <c r="A29" s="73"/>
      <c r="B29" s="142" t="s">
        <v>6</v>
      </c>
      <c r="C29" s="141" t="s">
        <v>0</v>
      </c>
      <c r="D29" s="9">
        <v>0</v>
      </c>
      <c r="E29" s="72"/>
      <c r="F29" s="72"/>
    </row>
    <row r="30" spans="1:6" outlineLevel="1">
      <c r="A30" s="73"/>
      <c r="B30" s="142" t="s">
        <v>98</v>
      </c>
      <c r="C30" s="141" t="s">
        <v>0</v>
      </c>
      <c r="D30" s="9">
        <v>0</v>
      </c>
      <c r="E30" s="72"/>
      <c r="F30" s="72"/>
    </row>
    <row r="31" spans="1:6" outlineLevel="1">
      <c r="A31" s="73"/>
      <c r="B31" s="142" t="s">
        <v>99</v>
      </c>
      <c r="C31" s="141" t="s">
        <v>0</v>
      </c>
      <c r="D31" s="9">
        <v>0</v>
      </c>
      <c r="E31" s="72"/>
      <c r="F31" s="72"/>
    </row>
    <row r="32" spans="1:6" outlineLevel="1">
      <c r="A32" s="73"/>
      <c r="B32" s="142" t="s">
        <v>100</v>
      </c>
      <c r="C32" s="141" t="s">
        <v>0</v>
      </c>
      <c r="D32" s="9">
        <v>0</v>
      </c>
      <c r="E32" s="72"/>
      <c r="F32" s="72"/>
    </row>
    <row r="33" spans="1:6" outlineLevel="1">
      <c r="A33" s="73"/>
      <c r="B33" s="142" t="s">
        <v>101</v>
      </c>
      <c r="C33" s="141" t="s">
        <v>0</v>
      </c>
      <c r="D33" s="9">
        <v>0</v>
      </c>
      <c r="E33" s="72"/>
      <c r="F33" s="72"/>
    </row>
    <row r="34" spans="1:6" outlineLevel="1">
      <c r="A34" s="73"/>
      <c r="B34" s="142" t="s">
        <v>102</v>
      </c>
      <c r="C34" s="141" t="s">
        <v>0</v>
      </c>
      <c r="D34" s="9">
        <v>0</v>
      </c>
      <c r="E34" s="72"/>
      <c r="F34" s="72"/>
    </row>
    <row r="35" spans="1:6" outlineLevel="1">
      <c r="A35" s="73"/>
      <c r="B35" s="320" t="s">
        <v>323</v>
      </c>
      <c r="C35" s="141" t="s">
        <v>0</v>
      </c>
      <c r="D35" s="9">
        <v>0</v>
      </c>
      <c r="E35" s="72"/>
      <c r="F35" s="72"/>
    </row>
    <row r="36" spans="1:6" outlineLevel="1">
      <c r="A36" s="73"/>
      <c r="B36" s="80" t="s">
        <v>1</v>
      </c>
      <c r="C36" s="141" t="s">
        <v>0</v>
      </c>
      <c r="D36" s="9">
        <v>0</v>
      </c>
      <c r="E36" s="72"/>
      <c r="F36" s="72"/>
    </row>
    <row r="37" spans="1:6" outlineLevel="1">
      <c r="A37" s="73"/>
      <c r="B37" s="80" t="s">
        <v>1</v>
      </c>
      <c r="C37" s="141" t="s">
        <v>0</v>
      </c>
      <c r="D37" s="9">
        <v>0</v>
      </c>
      <c r="E37" s="72"/>
      <c r="F37" s="72"/>
    </row>
    <row r="38" spans="1:6" outlineLevel="1">
      <c r="A38" s="73"/>
      <c r="B38" s="80" t="s">
        <v>1</v>
      </c>
      <c r="C38" s="141" t="s">
        <v>0</v>
      </c>
      <c r="D38" s="9">
        <v>0</v>
      </c>
      <c r="E38" s="72"/>
      <c r="F38" s="72"/>
    </row>
    <row r="39" spans="1:6" outlineLevel="1">
      <c r="A39" s="73"/>
      <c r="B39" s="80" t="s">
        <v>1</v>
      </c>
      <c r="C39" s="141" t="s">
        <v>0</v>
      </c>
      <c r="D39" s="9">
        <v>0</v>
      </c>
      <c r="E39" s="72"/>
      <c r="F39" s="72"/>
    </row>
    <row r="40" spans="1:6" outlineLevel="1">
      <c r="A40" s="73"/>
      <c r="B40" s="80" t="s">
        <v>1</v>
      </c>
      <c r="C40" s="141" t="s">
        <v>0</v>
      </c>
      <c r="D40" s="9">
        <v>0</v>
      </c>
      <c r="E40" s="72"/>
      <c r="F40" s="72"/>
    </row>
    <row r="41" spans="1:6" outlineLevel="1">
      <c r="A41" s="73"/>
      <c r="B41" s="79" t="str">
        <f>CONCATENATE("Scheme surplus (+ve)/ deficit (-ve) at ",'P1.1 PDAM Licensee provided'!D9)</f>
        <v>Scheme surplus (+ve)/ deficit (-ve) at 31 March 2019</v>
      </c>
      <c r="C41" s="141" t="s">
        <v>0</v>
      </c>
      <c r="D41" s="8">
        <f>SUM(D25:D40)</f>
        <v>0</v>
      </c>
      <c r="E41" s="72"/>
      <c r="F41" s="72"/>
    </row>
    <row r="42" spans="1:6" outlineLevel="1">
      <c r="A42" s="73"/>
      <c r="B42" s="143" t="s">
        <v>3</v>
      </c>
      <c r="D42" s="144" t="str">
        <f>IF(D41-D21&lt;0.1,"OK","ERROR")</f>
        <v>OK</v>
      </c>
      <c r="E42" s="72"/>
      <c r="F42" s="72"/>
    </row>
    <row r="43" spans="1:6">
      <c r="A43" s="73"/>
      <c r="B43" s="79"/>
      <c r="C43" s="78"/>
      <c r="D43" s="78"/>
      <c r="E43" s="78"/>
      <c r="F43" s="72"/>
    </row>
    <row r="44" spans="1:6" ht="15.75" customHeight="1">
      <c r="A44" s="464" t="s">
        <v>266</v>
      </c>
      <c r="B44" s="464"/>
      <c r="C44" s="470"/>
      <c r="D44" s="470"/>
      <c r="E44" s="72"/>
      <c r="F44" s="72"/>
    </row>
    <row r="45" spans="1:6" outlineLevel="1">
      <c r="A45" s="73"/>
      <c r="B45" s="73"/>
      <c r="C45" s="78"/>
      <c r="D45" s="83" t="s">
        <v>32</v>
      </c>
      <c r="E45" s="72"/>
      <c r="F45" s="72"/>
    </row>
    <row r="46" spans="1:6" ht="18.75" customHeight="1" outlineLevel="1">
      <c r="A46" s="73"/>
      <c r="B46" s="448" t="str">
        <f>CONCATENATE("Liabilities at ",+'P1.1 PDAM Licensee provided'!D8)</f>
        <v>Liabilities at 31 March 2016</v>
      </c>
      <c r="C46" s="78" t="s">
        <v>0</v>
      </c>
      <c r="D46" s="8">
        <f>-D11</f>
        <v>0</v>
      </c>
      <c r="E46" s="72"/>
      <c r="F46" s="72"/>
    </row>
    <row r="47" spans="1:6" outlineLevel="1">
      <c r="A47" s="84" t="s">
        <v>14</v>
      </c>
      <c r="B47" s="85" t="s">
        <v>44</v>
      </c>
      <c r="C47" s="78" t="s">
        <v>0</v>
      </c>
      <c r="D47" s="9">
        <v>0</v>
      </c>
      <c r="E47" s="72"/>
      <c r="F47" s="72"/>
    </row>
    <row r="48" spans="1:6" outlineLevel="1">
      <c r="A48" s="84" t="s">
        <v>14</v>
      </c>
      <c r="B48" s="85" t="s">
        <v>45</v>
      </c>
      <c r="C48" s="78" t="s">
        <v>0</v>
      </c>
      <c r="D48" s="9">
        <v>0</v>
      </c>
      <c r="E48" s="72"/>
      <c r="F48" s="72"/>
    </row>
    <row r="49" spans="1:6" outlineLevel="1">
      <c r="A49" s="84" t="s">
        <v>14</v>
      </c>
      <c r="B49" s="44" t="s">
        <v>55</v>
      </c>
      <c r="C49" s="78" t="s">
        <v>0</v>
      </c>
      <c r="D49" s="9">
        <v>0</v>
      </c>
      <c r="E49" s="72"/>
      <c r="F49" s="72"/>
    </row>
    <row r="50" spans="1:6" outlineLevel="1">
      <c r="A50" s="84" t="s">
        <v>15</v>
      </c>
      <c r="B50" s="85" t="s">
        <v>52</v>
      </c>
      <c r="C50" s="78" t="s">
        <v>0</v>
      </c>
      <c r="D50" s="9">
        <v>0</v>
      </c>
      <c r="E50" s="72"/>
      <c r="F50" s="72"/>
    </row>
    <row r="51" spans="1:6" outlineLevel="1">
      <c r="A51" s="84" t="s">
        <v>15</v>
      </c>
      <c r="B51" s="85" t="s">
        <v>53</v>
      </c>
      <c r="C51" s="78" t="s">
        <v>0</v>
      </c>
      <c r="D51" s="9">
        <v>0</v>
      </c>
      <c r="E51" s="72"/>
      <c r="F51" s="72"/>
    </row>
    <row r="52" spans="1:6" outlineLevel="1">
      <c r="A52" s="84" t="s">
        <v>14</v>
      </c>
      <c r="B52" s="44" t="s">
        <v>46</v>
      </c>
      <c r="C52" s="78" t="s">
        <v>0</v>
      </c>
      <c r="D52" s="9">
        <v>0</v>
      </c>
      <c r="E52" s="72"/>
      <c r="F52" s="72"/>
    </row>
    <row r="53" spans="1:6" outlineLevel="1">
      <c r="A53" s="84" t="s">
        <v>15</v>
      </c>
      <c r="B53" s="44" t="s">
        <v>47</v>
      </c>
      <c r="C53" s="78" t="s">
        <v>0</v>
      </c>
      <c r="D53" s="9">
        <v>0</v>
      </c>
      <c r="E53" s="72"/>
      <c r="F53" s="72"/>
    </row>
    <row r="54" spans="1:6" outlineLevel="1">
      <c r="A54" s="84" t="s">
        <v>14</v>
      </c>
      <c r="B54" s="85" t="s">
        <v>48</v>
      </c>
      <c r="C54" s="78" t="s">
        <v>0</v>
      </c>
      <c r="D54" s="9">
        <v>0</v>
      </c>
      <c r="E54" s="72"/>
      <c r="F54" s="72"/>
    </row>
    <row r="55" spans="1:6" outlineLevel="1">
      <c r="A55" s="84" t="s">
        <v>54</v>
      </c>
      <c r="B55" s="85" t="s">
        <v>49</v>
      </c>
      <c r="C55" s="78" t="s">
        <v>0</v>
      </c>
      <c r="D55" s="9">
        <v>0</v>
      </c>
      <c r="E55" s="72"/>
      <c r="F55" s="72"/>
    </row>
    <row r="56" spans="1:6" outlineLevel="1">
      <c r="A56" s="84" t="s">
        <v>54</v>
      </c>
      <c r="B56" s="85" t="s">
        <v>50</v>
      </c>
      <c r="C56" s="78" t="s">
        <v>0</v>
      </c>
      <c r="D56" s="9">
        <v>0</v>
      </c>
      <c r="E56" s="72"/>
      <c r="F56" s="72"/>
    </row>
    <row r="57" spans="1:6" outlineLevel="1">
      <c r="A57" s="84" t="s">
        <v>54</v>
      </c>
      <c r="B57" s="450" t="s">
        <v>570</v>
      </c>
      <c r="C57" s="78" t="s">
        <v>0</v>
      </c>
      <c r="D57" s="9">
        <v>0</v>
      </c>
      <c r="E57" s="72"/>
      <c r="F57" s="72"/>
    </row>
    <row r="58" spans="1:6" outlineLevel="1">
      <c r="A58" s="84" t="s">
        <v>54</v>
      </c>
      <c r="B58" s="450" t="s">
        <v>571</v>
      </c>
      <c r="C58" s="78" t="s">
        <v>0</v>
      </c>
      <c r="D58" s="9">
        <v>0</v>
      </c>
      <c r="E58" s="72"/>
      <c r="F58" s="72"/>
    </row>
    <row r="59" spans="1:6" outlineLevel="1">
      <c r="A59" s="84" t="s">
        <v>54</v>
      </c>
      <c r="B59" s="450" t="s">
        <v>572</v>
      </c>
      <c r="C59" s="78" t="s">
        <v>0</v>
      </c>
      <c r="D59" s="9">
        <v>0</v>
      </c>
      <c r="E59" s="72"/>
      <c r="F59" s="72"/>
    </row>
    <row r="60" spans="1:6" outlineLevel="1">
      <c r="A60" s="84" t="s">
        <v>54</v>
      </c>
      <c r="B60" s="85" t="s">
        <v>51</v>
      </c>
      <c r="C60" s="78" t="s">
        <v>0</v>
      </c>
      <c r="D60" s="9">
        <v>0</v>
      </c>
      <c r="E60" s="72"/>
      <c r="F60" s="72"/>
    </row>
    <row r="61" spans="1:6" outlineLevel="1">
      <c r="A61" s="84" t="s">
        <v>54</v>
      </c>
      <c r="B61" s="80" t="s">
        <v>1</v>
      </c>
      <c r="C61" s="78" t="s">
        <v>0</v>
      </c>
      <c r="D61" s="9">
        <v>0</v>
      </c>
      <c r="E61" s="72"/>
      <c r="F61" s="72"/>
    </row>
    <row r="62" spans="1:6" outlineLevel="1">
      <c r="A62" s="84" t="s">
        <v>54</v>
      </c>
      <c r="B62" s="80" t="s">
        <v>1</v>
      </c>
      <c r="C62" s="78" t="s">
        <v>0</v>
      </c>
      <c r="D62" s="9">
        <v>0</v>
      </c>
      <c r="E62" s="72"/>
      <c r="F62" s="72"/>
    </row>
    <row r="63" spans="1:6" outlineLevel="1">
      <c r="A63" s="84" t="s">
        <v>54</v>
      </c>
      <c r="B63" s="80" t="s">
        <v>1</v>
      </c>
      <c r="C63" s="78" t="s">
        <v>0</v>
      </c>
      <c r="D63" s="9">
        <v>0</v>
      </c>
      <c r="E63" s="72"/>
      <c r="F63" s="72"/>
    </row>
    <row r="64" spans="1:6" outlineLevel="1">
      <c r="A64" s="84" t="s">
        <v>54</v>
      </c>
      <c r="B64" s="80" t="s">
        <v>1</v>
      </c>
      <c r="C64" s="78" t="s">
        <v>0</v>
      </c>
      <c r="D64" s="9">
        <v>0</v>
      </c>
      <c r="E64" s="72"/>
      <c r="F64" s="72"/>
    </row>
    <row r="65" spans="1:6" ht="15.75" customHeight="1" outlineLevel="1">
      <c r="A65" s="84" t="s">
        <v>54</v>
      </c>
      <c r="B65" s="80" t="s">
        <v>1</v>
      </c>
      <c r="C65" s="78" t="s">
        <v>0</v>
      </c>
      <c r="D65" s="9">
        <v>0</v>
      </c>
      <c r="E65" s="72"/>
      <c r="F65" s="72"/>
    </row>
    <row r="66" spans="1:6" ht="6.75" customHeight="1" outlineLevel="1">
      <c r="A66" s="73"/>
      <c r="B66" s="43"/>
      <c r="C66" s="78"/>
      <c r="D66" s="72"/>
      <c r="E66" s="72"/>
      <c r="F66" s="72"/>
    </row>
    <row r="67" spans="1:6" outlineLevel="1">
      <c r="A67" s="73"/>
      <c r="B67" s="292" t="str">
        <f>CONCATENATE("Liabilities at ",+'P1.1 PDAM Licensee provided'!D9)</f>
        <v>Liabilities at 31 March 2019</v>
      </c>
      <c r="C67" s="78" t="s">
        <v>0</v>
      </c>
      <c r="D67" s="8">
        <f>SUM(D46:D65)</f>
        <v>0</v>
      </c>
      <c r="E67" s="72"/>
      <c r="F67" s="72"/>
    </row>
    <row r="68" spans="1:6" outlineLevel="1">
      <c r="A68" s="73"/>
      <c r="B68" s="81" t="s">
        <v>3</v>
      </c>
      <c r="C68" s="78"/>
      <c r="D68" s="82" t="str">
        <f>IF(ROUND(D67,1)=ROUND(-D20,1),"OK","ERROR")</f>
        <v>OK</v>
      </c>
      <c r="E68" s="72"/>
      <c r="F68" s="72"/>
    </row>
    <row r="69" spans="1:6">
      <c r="A69" s="73"/>
      <c r="B69" s="86"/>
      <c r="C69" s="78"/>
      <c r="D69" s="72"/>
      <c r="E69" s="72"/>
      <c r="F69" s="72"/>
    </row>
    <row r="70" spans="1:6" ht="27" customHeight="1">
      <c r="A70" s="464" t="s">
        <v>267</v>
      </c>
      <c r="B70" s="464"/>
      <c r="C70" s="470"/>
      <c r="D70" s="470"/>
      <c r="E70" s="72"/>
      <c r="F70" s="72"/>
    </row>
    <row r="71" spans="1:6" ht="15" customHeight="1" outlineLevel="1">
      <c r="A71" s="87"/>
      <c r="B71" s="87"/>
      <c r="C71" s="46"/>
      <c r="D71" s="46"/>
      <c r="E71" s="72"/>
      <c r="F71" s="72"/>
    </row>
    <row r="72" spans="1:6" outlineLevel="1">
      <c r="A72" s="73"/>
      <c r="B72" s="88" t="s">
        <v>11</v>
      </c>
      <c r="C72" s="78"/>
      <c r="D72" s="72"/>
      <c r="E72" s="72"/>
      <c r="F72" s="72"/>
    </row>
    <row r="73" spans="1:6" outlineLevel="1">
      <c r="A73" s="73"/>
      <c r="B73" s="89" t="s">
        <v>7</v>
      </c>
      <c r="C73" s="78" t="s">
        <v>2</v>
      </c>
      <c r="D73" s="6">
        <v>0</v>
      </c>
      <c r="E73" s="72"/>
      <c r="F73" s="72"/>
    </row>
    <row r="74" spans="1:6" outlineLevel="1">
      <c r="A74" s="73"/>
      <c r="B74" s="89" t="s">
        <v>8</v>
      </c>
      <c r="C74" s="78" t="s">
        <v>2</v>
      </c>
      <c r="D74" s="6">
        <v>0</v>
      </c>
      <c r="E74" s="72"/>
      <c r="F74" s="72"/>
    </row>
    <row r="75" spans="1:6" outlineLevel="1">
      <c r="A75" s="73"/>
      <c r="B75" s="89" t="s">
        <v>9</v>
      </c>
      <c r="C75" s="78" t="s">
        <v>2</v>
      </c>
      <c r="D75" s="6">
        <v>0</v>
      </c>
      <c r="E75" s="72"/>
      <c r="F75" s="72"/>
    </row>
    <row r="76" spans="1:6" outlineLevel="1">
      <c r="A76" s="73"/>
      <c r="B76" s="88"/>
      <c r="C76" s="78"/>
      <c r="D76" s="72"/>
      <c r="E76" s="72"/>
      <c r="F76" s="72"/>
    </row>
    <row r="77" spans="1:6" outlineLevel="1">
      <c r="A77" s="73"/>
      <c r="B77" s="75" t="s">
        <v>10</v>
      </c>
      <c r="C77" s="78" t="s">
        <v>0</v>
      </c>
      <c r="D77" s="8">
        <f>(D17*D73)+(D18*D74)+(D19*D75)</f>
        <v>0</v>
      </c>
      <c r="E77" s="72"/>
      <c r="F77" s="72"/>
    </row>
    <row r="78" spans="1:6" outlineLevel="1">
      <c r="A78" s="73"/>
      <c r="B78" s="88"/>
      <c r="C78" s="78"/>
      <c r="D78" s="78"/>
      <c r="E78" s="72"/>
      <c r="F78" s="72"/>
    </row>
    <row r="79" spans="1:6" outlineLevel="1">
      <c r="A79" s="73"/>
      <c r="B79" s="75" t="s">
        <v>12</v>
      </c>
      <c r="C79" s="78" t="s">
        <v>0</v>
      </c>
      <c r="D79" s="8">
        <f>D20-D77</f>
        <v>0</v>
      </c>
      <c r="E79" s="72"/>
      <c r="F79" s="72"/>
    </row>
    <row r="80" spans="1:6" outlineLevel="1">
      <c r="A80" s="88"/>
      <c r="B80" s="88"/>
      <c r="C80" s="78"/>
      <c r="D80" s="72"/>
      <c r="E80" s="72"/>
      <c r="F80" s="72"/>
    </row>
    <row r="81" spans="1:15" ht="25.9" outlineLevel="1">
      <c r="A81" s="88"/>
      <c r="B81" s="90" t="s">
        <v>239</v>
      </c>
      <c r="C81" s="78" t="s">
        <v>0</v>
      </c>
      <c r="D81" s="279">
        <v>0</v>
      </c>
      <c r="E81" s="72"/>
      <c r="F81" s="72"/>
    </row>
    <row r="82" spans="1:15" ht="25.9" outlineLevel="1">
      <c r="A82" s="88"/>
      <c r="B82" s="90" t="s">
        <v>240</v>
      </c>
      <c r="C82" s="78" t="s">
        <v>0</v>
      </c>
      <c r="D82" s="279">
        <v>0</v>
      </c>
      <c r="E82" s="72"/>
      <c r="F82" s="72"/>
    </row>
    <row r="83" spans="1:15" outlineLevel="1">
      <c r="A83" s="88"/>
      <c r="B83" s="90" t="s">
        <v>28</v>
      </c>
      <c r="C83" s="78" t="s">
        <v>0</v>
      </c>
      <c r="D83" s="45">
        <f>D81+D82</f>
        <v>0</v>
      </c>
      <c r="E83" s="72"/>
      <c r="F83" s="72"/>
    </row>
    <row r="84" spans="1:15" outlineLevel="1">
      <c r="A84" s="88"/>
      <c r="B84" s="81" t="s">
        <v>3</v>
      </c>
      <c r="D84" s="82" t="str">
        <f>IF(ROUND(D77,1)=ROUND(D83,1),"OK","ERROR")</f>
        <v>OK</v>
      </c>
      <c r="E84" s="72"/>
      <c r="F84" s="72"/>
    </row>
    <row r="85" spans="1:15">
      <c r="A85" s="88"/>
      <c r="B85" s="88"/>
      <c r="C85" s="78"/>
      <c r="D85" s="72"/>
      <c r="E85" s="72"/>
      <c r="F85" s="72"/>
    </row>
    <row r="86" spans="1:15" ht="30" customHeight="1">
      <c r="A86" s="464" t="s">
        <v>269</v>
      </c>
      <c r="B86" s="464"/>
      <c r="C86" s="470"/>
      <c r="D86" s="470"/>
      <c r="E86" s="72"/>
      <c r="F86" s="72"/>
    </row>
    <row r="87" spans="1:15" outlineLevel="1">
      <c r="A87" s="73"/>
      <c r="B87" s="73"/>
      <c r="C87" s="78"/>
      <c r="D87" s="72"/>
      <c r="E87" s="72"/>
      <c r="F87" s="72"/>
    </row>
    <row r="88" spans="1:15" ht="39" customHeight="1" outlineLevel="1">
      <c r="A88" s="73"/>
      <c r="B88" s="88" t="s">
        <v>13</v>
      </c>
      <c r="C88" s="130" t="s">
        <v>27</v>
      </c>
      <c r="D88" s="91" t="s">
        <v>33</v>
      </c>
      <c r="E88" s="91" t="s">
        <v>43</v>
      </c>
      <c r="F88" s="128" t="s">
        <v>65</v>
      </c>
    </row>
    <row r="89" spans="1:15" outlineLevel="1">
      <c r="A89" s="73"/>
      <c r="B89" s="88"/>
      <c r="C89" s="92" t="s">
        <v>0</v>
      </c>
      <c r="D89" s="92" t="s">
        <v>0</v>
      </c>
      <c r="E89" s="92" t="s">
        <v>0</v>
      </c>
      <c r="F89" s="126"/>
      <c r="K89" s="125"/>
      <c r="L89" s="125"/>
      <c r="M89" s="125"/>
      <c r="N89" s="125"/>
      <c r="O89" s="125"/>
    </row>
    <row r="90" spans="1:15" s="7" customFormat="1" ht="30" customHeight="1" outlineLevel="1">
      <c r="A90" s="93"/>
      <c r="B90" s="94" t="str">
        <f>CONCATENATE("'a. assets attributable to post cut off date pensionable service at previous Valuation - ",'P1.1 PDAM Licensee provided'!D8,"")</f>
        <v>'a. assets attributable to post cut off date pensionable service at previous Valuation - 31 March 2016</v>
      </c>
      <c r="C90" s="18">
        <v>0</v>
      </c>
      <c r="D90" s="18">
        <v>0</v>
      </c>
      <c r="E90" s="95">
        <f>C90-D90</f>
        <v>0</v>
      </c>
      <c r="F90" s="127"/>
      <c r="G90" s="4"/>
      <c r="H90" s="4"/>
      <c r="I90" s="4"/>
      <c r="J90" s="4"/>
    </row>
    <row r="91" spans="1:15" s="7" customFormat="1" ht="30" customHeight="1" outlineLevel="1">
      <c r="A91" s="84" t="s">
        <v>14</v>
      </c>
      <c r="B91" s="390" t="s">
        <v>515</v>
      </c>
      <c r="C91" s="18">
        <v>0</v>
      </c>
      <c r="D91" s="18">
        <v>0</v>
      </c>
      <c r="E91" s="95">
        <f t="shared" ref="E91:E104" si="0">C91-D91</f>
        <v>0</v>
      </c>
      <c r="F91" s="127"/>
      <c r="G91" s="4"/>
      <c r="H91" s="4"/>
      <c r="I91" s="4"/>
      <c r="J91" s="4"/>
    </row>
    <row r="92" spans="1:15" s="7" customFormat="1" ht="49.5" outlineLevel="1">
      <c r="A92" s="84" t="s">
        <v>14</v>
      </c>
      <c r="B92" s="390" t="s">
        <v>549</v>
      </c>
      <c r="C92" s="18">
        <v>0</v>
      </c>
      <c r="D92" s="18">
        <v>0</v>
      </c>
      <c r="E92" s="95">
        <f t="shared" ref="E92" si="1">C92-D92</f>
        <v>0</v>
      </c>
      <c r="F92" s="127"/>
      <c r="G92" s="4"/>
      <c r="H92" s="4"/>
      <c r="I92" s="4"/>
      <c r="J92" s="4"/>
    </row>
    <row r="93" spans="1:15" s="7" customFormat="1" ht="30" customHeight="1" outlineLevel="1">
      <c r="A93" s="84" t="s">
        <v>14</v>
      </c>
      <c r="B93" s="94" t="s">
        <v>16</v>
      </c>
      <c r="C93" s="18">
        <v>0</v>
      </c>
      <c r="D93" s="18">
        <v>0</v>
      </c>
      <c r="E93" s="95">
        <f t="shared" si="0"/>
        <v>0</v>
      </c>
      <c r="F93" s="127"/>
      <c r="G93" s="4"/>
      <c r="H93" s="4"/>
      <c r="I93" s="4"/>
      <c r="J93" s="4"/>
    </row>
    <row r="94" spans="1:15" s="7" customFormat="1" ht="30" customHeight="1" outlineLevel="1">
      <c r="A94" s="84" t="s">
        <v>14</v>
      </c>
      <c r="B94" s="129" t="s">
        <v>85</v>
      </c>
      <c r="C94" s="18">
        <v>0</v>
      </c>
      <c r="D94" s="18">
        <v>0</v>
      </c>
      <c r="E94" s="95">
        <f t="shared" si="0"/>
        <v>0</v>
      </c>
      <c r="F94" s="127"/>
      <c r="G94" s="4"/>
      <c r="H94" s="4"/>
      <c r="I94" s="4"/>
      <c r="J94" s="4"/>
    </row>
    <row r="95" spans="1:15" s="7" customFormat="1" ht="39.75" customHeight="1" outlineLevel="1">
      <c r="A95" s="84" t="s">
        <v>14</v>
      </c>
      <c r="B95" s="116" t="s">
        <v>86</v>
      </c>
      <c r="C95" s="18">
        <v>0</v>
      </c>
      <c r="D95" s="18">
        <v>0</v>
      </c>
      <c r="E95" s="95">
        <f t="shared" si="0"/>
        <v>0</v>
      </c>
      <c r="F95" s="127"/>
      <c r="G95" s="4"/>
      <c r="H95" s="4"/>
      <c r="I95" s="4"/>
      <c r="J95" s="4"/>
    </row>
    <row r="96" spans="1:15" ht="25.9" outlineLevel="1">
      <c r="A96" s="84" t="s">
        <v>14</v>
      </c>
      <c r="B96" s="116" t="s">
        <v>87</v>
      </c>
      <c r="C96" s="18">
        <v>0</v>
      </c>
      <c r="D96" s="18">
        <v>0</v>
      </c>
      <c r="E96" s="95">
        <f t="shared" si="0"/>
        <v>0</v>
      </c>
      <c r="F96" s="127"/>
    </row>
    <row r="97" spans="1:6" ht="26.25" customHeight="1" outlineLevel="1">
      <c r="A97" s="84" t="s">
        <v>14</v>
      </c>
      <c r="B97" s="131" t="s">
        <v>88</v>
      </c>
      <c r="C97" s="18">
        <v>0</v>
      </c>
      <c r="D97" s="18">
        <v>0</v>
      </c>
      <c r="E97" s="95">
        <f t="shared" si="0"/>
        <v>0</v>
      </c>
      <c r="F97" s="127"/>
    </row>
    <row r="98" spans="1:6" ht="25.9" outlineLevel="1">
      <c r="A98" s="84" t="s">
        <v>14</v>
      </c>
      <c r="B98" s="116" t="s">
        <v>89</v>
      </c>
      <c r="C98" s="18">
        <v>0</v>
      </c>
      <c r="D98" s="18">
        <v>0</v>
      </c>
      <c r="E98" s="95">
        <f t="shared" si="0"/>
        <v>0</v>
      </c>
      <c r="F98" s="127"/>
    </row>
    <row r="99" spans="1:6" ht="25.9" outlineLevel="1">
      <c r="A99" s="84" t="s">
        <v>14</v>
      </c>
      <c r="B99" s="116" t="s">
        <v>90</v>
      </c>
      <c r="C99" s="18">
        <v>0</v>
      </c>
      <c r="D99" s="18">
        <v>0</v>
      </c>
      <c r="E99" s="95">
        <f t="shared" si="0"/>
        <v>0</v>
      </c>
      <c r="F99" s="127"/>
    </row>
    <row r="100" spans="1:6" ht="24.75" outlineLevel="1">
      <c r="A100" s="84" t="s">
        <v>15</v>
      </c>
      <c r="B100" s="132" t="s">
        <v>91</v>
      </c>
      <c r="C100" s="18">
        <v>0</v>
      </c>
      <c r="D100" s="18">
        <v>0</v>
      </c>
      <c r="E100" s="95">
        <f t="shared" si="0"/>
        <v>0</v>
      </c>
      <c r="F100" s="127"/>
    </row>
    <row r="101" spans="1:6" ht="25.9" outlineLevel="1">
      <c r="A101" s="84" t="s">
        <v>15</v>
      </c>
      <c r="B101" s="96" t="s">
        <v>66</v>
      </c>
      <c r="C101" s="18">
        <v>0</v>
      </c>
      <c r="D101" s="18">
        <v>0</v>
      </c>
      <c r="E101" s="95">
        <f t="shared" si="0"/>
        <v>0</v>
      </c>
      <c r="F101" s="127"/>
    </row>
    <row r="102" spans="1:6" ht="25.9" outlineLevel="1">
      <c r="A102" s="84" t="s">
        <v>15</v>
      </c>
      <c r="B102" s="116" t="s">
        <v>92</v>
      </c>
      <c r="C102" s="18">
        <v>0</v>
      </c>
      <c r="D102" s="18">
        <v>0</v>
      </c>
      <c r="E102" s="95">
        <f t="shared" si="0"/>
        <v>0</v>
      </c>
      <c r="F102" s="127"/>
    </row>
    <row r="103" spans="1:6" ht="25.9" outlineLevel="1">
      <c r="A103" s="84" t="s">
        <v>15</v>
      </c>
      <c r="B103" s="116" t="s">
        <v>93</v>
      </c>
      <c r="C103" s="18">
        <v>0</v>
      </c>
      <c r="D103" s="18">
        <v>0</v>
      </c>
      <c r="E103" s="95">
        <f t="shared" si="0"/>
        <v>0</v>
      </c>
      <c r="F103" s="127"/>
    </row>
    <row r="104" spans="1:6" ht="25.9" outlineLevel="1">
      <c r="A104" s="84" t="s">
        <v>14</v>
      </c>
      <c r="B104" s="116" t="s">
        <v>94</v>
      </c>
      <c r="C104" s="18">
        <v>0</v>
      </c>
      <c r="D104" s="18">
        <v>0</v>
      </c>
      <c r="E104" s="95">
        <f t="shared" si="0"/>
        <v>0</v>
      </c>
      <c r="F104" s="127"/>
    </row>
    <row r="105" spans="1:6" outlineLevel="1">
      <c r="A105" s="97" t="s">
        <v>42</v>
      </c>
      <c r="B105" s="90" t="str">
        <f>CONCATENATE("Assets attributable to pre / post cut-off date notional sub fund at ",'P1.1 PDAM Licensee provided'!D9,"")</f>
        <v>Assets attributable to pre / post cut-off date notional sub fund at 31 March 2019</v>
      </c>
      <c r="C105" s="45">
        <f>SUM(C90:C104)</f>
        <v>0</v>
      </c>
      <c r="D105" s="45">
        <f>SUM(D90:D104)</f>
        <v>0</v>
      </c>
      <c r="E105" s="45">
        <f>SUM(E90:E104)</f>
        <v>0</v>
      </c>
      <c r="F105" s="72"/>
    </row>
    <row r="106" spans="1:6" outlineLevel="1">
      <c r="A106" s="88"/>
      <c r="B106" s="88"/>
      <c r="C106" s="74"/>
      <c r="D106" s="1"/>
      <c r="E106" s="72"/>
      <c r="F106" s="72"/>
    </row>
    <row r="107" spans="1:6" ht="30" customHeight="1">
      <c r="A107" s="464" t="s">
        <v>270</v>
      </c>
      <c r="B107" s="464"/>
      <c r="C107" s="470"/>
      <c r="D107" s="470"/>
      <c r="E107" s="72"/>
      <c r="F107" s="72"/>
    </row>
    <row r="108" spans="1:6" outlineLevel="1">
      <c r="A108" s="73"/>
      <c r="B108" s="73"/>
      <c r="C108" s="78"/>
      <c r="D108" s="72"/>
      <c r="E108" s="72"/>
      <c r="F108" s="72"/>
    </row>
    <row r="109" spans="1:6" outlineLevel="1">
      <c r="A109" s="73"/>
      <c r="B109" s="98" t="s">
        <v>17</v>
      </c>
      <c r="C109" s="78" t="s">
        <v>0</v>
      </c>
      <c r="D109" s="8">
        <f>D79+E105</f>
        <v>0</v>
      </c>
      <c r="E109" s="72"/>
      <c r="F109" s="72"/>
    </row>
    <row r="110" spans="1:6" outlineLevel="1">
      <c r="A110" s="73"/>
      <c r="B110" s="73"/>
      <c r="C110" s="78"/>
      <c r="D110" s="72"/>
      <c r="E110" s="72"/>
      <c r="F110" s="72"/>
    </row>
    <row r="111" spans="1:6" outlineLevel="1">
      <c r="A111" s="73"/>
      <c r="B111" s="98" t="s">
        <v>18</v>
      </c>
      <c r="C111" s="78" t="s">
        <v>0</v>
      </c>
      <c r="D111" s="8">
        <f>D77+D105</f>
        <v>0</v>
      </c>
      <c r="E111" s="72"/>
      <c r="F111" s="72"/>
    </row>
    <row r="112" spans="1:6" outlineLevel="1">
      <c r="A112" s="73"/>
      <c r="B112" s="73"/>
      <c r="C112" s="78"/>
      <c r="D112" s="72"/>
      <c r="E112" s="72"/>
      <c r="F112" s="72"/>
    </row>
    <row r="162" spans="2:2">
      <c r="B162" s="290"/>
    </row>
    <row r="163" spans="2:2">
      <c r="B163" s="290"/>
    </row>
  </sheetData>
  <mergeCells count="6">
    <mergeCell ref="D6:F6"/>
    <mergeCell ref="A23:D23"/>
    <mergeCell ref="A107:D107"/>
    <mergeCell ref="A44:D44"/>
    <mergeCell ref="A70:D70"/>
    <mergeCell ref="A86:D86"/>
  </mergeCells>
  <phoneticPr fontId="43" type="noConversion"/>
  <pageMargins left="0.70866141732283472" right="0.70866141732283472" top="0.74803149606299213" bottom="0.74803149606299213" header="0.31496062992125984" footer="0.31496062992125984"/>
  <pageSetup paperSize="8"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pageSetUpPr fitToPage="1"/>
  </sheetPr>
  <dimension ref="A1:Z38"/>
  <sheetViews>
    <sheetView showGridLines="0" zoomScaleNormal="100" workbookViewId="0">
      <selection activeCell="A3" sqref="A3"/>
    </sheetView>
  </sheetViews>
  <sheetFormatPr defaultColWidth="9.1328125" defaultRowHeight="12.4"/>
  <cols>
    <col min="1" max="1" width="89.1328125" style="148" customWidth="1"/>
    <col min="2" max="2" width="4.33203125" style="148" customWidth="1"/>
    <col min="3" max="3" width="9.6640625" style="152" customWidth="1"/>
    <col min="4" max="4" width="11" style="148" customWidth="1"/>
    <col min="5" max="5" width="11.86328125" style="148" customWidth="1"/>
    <col min="6" max="6" width="11" style="148" customWidth="1"/>
    <col min="7" max="16" width="10.86328125" style="148" customWidth="1"/>
    <col min="17" max="19" width="11.86328125" style="148" customWidth="1"/>
    <col min="20" max="21" width="10.33203125" style="148" customWidth="1"/>
    <col min="22" max="16384" width="9.1328125" style="148"/>
  </cols>
  <sheetData>
    <row r="1" spans="1:19" s="146" customFormat="1" ht="20.65">
      <c r="A1" s="265" t="s">
        <v>339</v>
      </c>
      <c r="B1" s="225"/>
      <c r="C1" s="225"/>
      <c r="D1" s="225"/>
      <c r="E1" s="225"/>
      <c r="F1" s="225"/>
      <c r="G1" s="225"/>
      <c r="H1" s="225"/>
      <c r="I1" s="225"/>
      <c r="J1" s="225"/>
      <c r="K1" s="225"/>
      <c r="L1" s="225"/>
      <c r="M1" s="225"/>
      <c r="N1" s="225"/>
      <c r="O1" s="225"/>
      <c r="P1" s="225"/>
      <c r="Q1" s="225"/>
      <c r="R1" s="225"/>
      <c r="S1" s="225"/>
    </row>
    <row r="2" spans="1:19" s="146" customFormat="1" ht="20.65">
      <c r="A2" s="265" t="str">
        <f>+'Pension Pack cover'!D12</f>
        <v xml:space="preserve">NWO Group Name </v>
      </c>
      <c r="B2" s="225"/>
      <c r="C2" s="225"/>
      <c r="D2" s="225"/>
      <c r="E2" s="225"/>
      <c r="F2" s="225"/>
      <c r="G2" s="225"/>
      <c r="H2" s="225"/>
      <c r="I2" s="225"/>
      <c r="J2" s="225"/>
      <c r="K2" s="225"/>
      <c r="L2" s="225"/>
      <c r="M2" s="225"/>
      <c r="N2" s="225"/>
      <c r="O2" s="225"/>
      <c r="P2" s="225"/>
      <c r="Q2" s="225"/>
      <c r="R2" s="225"/>
      <c r="S2" s="225"/>
    </row>
    <row r="3" spans="1:19" s="147" customFormat="1" ht="20.65">
      <c r="A3" s="385">
        <f>+'Pension Pack cover'!D24</f>
        <v>2020</v>
      </c>
      <c r="B3" s="225"/>
      <c r="C3" s="225"/>
      <c r="D3" s="225"/>
      <c r="E3" s="225"/>
      <c r="F3" s="225"/>
      <c r="G3" s="225"/>
      <c r="H3" s="225"/>
      <c r="I3" s="225"/>
      <c r="J3" s="225"/>
      <c r="K3" s="225"/>
      <c r="L3" s="225"/>
      <c r="M3" s="225"/>
      <c r="N3" s="225"/>
      <c r="O3" s="225"/>
      <c r="P3" s="225"/>
      <c r="Q3" s="225"/>
      <c r="R3" s="225"/>
      <c r="S3" s="225"/>
    </row>
    <row r="4" spans="1:19" ht="14.65">
      <c r="B4" s="149"/>
    </row>
    <row r="5" spans="1:19" ht="14.65">
      <c r="B5" s="149"/>
    </row>
    <row r="6" spans="1:19" ht="14.65">
      <c r="B6" s="149"/>
    </row>
    <row r="7" spans="1:19" ht="14.65">
      <c r="B7" s="149"/>
    </row>
    <row r="8" spans="1:19" ht="14.65">
      <c r="B8" s="149"/>
    </row>
    <row r="9" spans="1:19" ht="14.65">
      <c r="B9" s="149"/>
    </row>
    <row r="10" spans="1:19" ht="14.65">
      <c r="B10" s="149"/>
    </row>
    <row r="11" spans="1:19" ht="14.65">
      <c r="B11" s="149"/>
    </row>
    <row r="12" spans="1:19" ht="14.65">
      <c r="B12" s="149"/>
    </row>
    <row r="13" spans="1:19" s="150" customFormat="1" ht="14.65">
      <c r="B13" s="149"/>
      <c r="C13" s="151"/>
    </row>
    <row r="14" spans="1:19" s="150" customFormat="1" ht="14.65">
      <c r="B14" s="149"/>
      <c r="C14" s="151"/>
    </row>
    <row r="15" spans="1:19" s="150" customFormat="1" ht="14.65">
      <c r="B15" s="149"/>
      <c r="C15" s="151"/>
    </row>
    <row r="16" spans="1:19" s="150" customFormat="1" ht="14.65">
      <c r="B16" s="149"/>
      <c r="C16" s="151"/>
    </row>
    <row r="17" spans="2:3" s="150" customFormat="1" ht="14.65">
      <c r="B17" s="149"/>
      <c r="C17" s="151"/>
    </row>
    <row r="18" spans="2:3" s="150" customFormat="1" ht="14.65">
      <c r="B18" s="149"/>
      <c r="C18" s="151"/>
    </row>
    <row r="19" spans="2:3" s="150" customFormat="1" ht="14.65">
      <c r="B19" s="149"/>
      <c r="C19" s="151"/>
    </row>
    <row r="20" spans="2:3" s="150" customFormat="1" ht="14.65">
      <c r="B20" s="149"/>
      <c r="C20" s="151"/>
    </row>
    <row r="21" spans="2:3" s="150" customFormat="1" ht="14.65">
      <c r="B21" s="149"/>
      <c r="C21" s="151"/>
    </row>
    <row r="22" spans="2:3" ht="14.65">
      <c r="B22" s="149"/>
    </row>
    <row r="23" spans="2:3" ht="14.65">
      <c r="B23" s="149"/>
    </row>
    <row r="33" spans="1:26" s="152" customFormat="1">
      <c r="A33" s="148"/>
      <c r="B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row>
    <row r="34" spans="1:26" s="152" customFormat="1">
      <c r="A34" s="148"/>
      <c r="B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row>
    <row r="37" spans="1:26" s="152" customFormat="1">
      <c r="A37" s="148"/>
      <c r="B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row>
    <row r="38" spans="1:26" s="152" customFormat="1">
      <c r="A38" s="148"/>
      <c r="B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row>
  </sheetData>
  <sheetProtection insertRows="0"/>
  <dataConsolidate/>
  <phoneticPr fontId="43" type="noConversion"/>
  <pageMargins left="0.70866141732283472" right="0.70866141732283472" top="0.74803149606299213" bottom="0.74803149606299213" header="0.31496062992125984" footer="0.31496062992125984"/>
  <pageSetup paperSize="8" scale="8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pageSetUpPr fitToPage="1"/>
  </sheetPr>
  <dimension ref="A1:FM87"/>
  <sheetViews>
    <sheetView showGridLines="0" zoomScaleNormal="100" workbookViewId="0"/>
  </sheetViews>
  <sheetFormatPr defaultColWidth="9.1328125" defaultRowHeight="13.5"/>
  <cols>
    <col min="1" max="1" width="85" style="268" customWidth="1"/>
    <col min="2" max="2" width="10.53125" style="268" customWidth="1"/>
    <col min="3" max="6" width="10.6640625" style="268" customWidth="1"/>
    <col min="7" max="7" width="9.1328125" style="267"/>
    <col min="8" max="11" width="11.33203125" style="267" customWidth="1"/>
    <col min="12" max="166" width="9.1328125" style="267"/>
    <col min="167" max="16384" width="9.1328125" style="268"/>
  </cols>
  <sheetData>
    <row r="1" spans="1:18" s="146" customFormat="1" ht="19.899999999999999">
      <c r="A1" s="265" t="s">
        <v>248</v>
      </c>
      <c r="B1" s="265"/>
      <c r="C1" s="265"/>
      <c r="D1" s="265"/>
      <c r="E1" s="265"/>
      <c r="F1" s="265"/>
      <c r="G1" s="265"/>
      <c r="H1" s="265"/>
      <c r="I1" s="265"/>
      <c r="J1" s="265"/>
      <c r="K1" s="265"/>
      <c r="L1" s="265"/>
      <c r="M1" s="265"/>
      <c r="N1" s="265"/>
      <c r="O1" s="265"/>
      <c r="P1" s="265"/>
      <c r="Q1" s="265"/>
      <c r="R1" s="265"/>
    </row>
    <row r="2" spans="1:18" s="146" customFormat="1" ht="19.899999999999999">
      <c r="A2" s="265" t="str">
        <f>+'Pension Pack cover'!D12</f>
        <v xml:space="preserve">NWO Group Name </v>
      </c>
      <c r="B2" s="265"/>
      <c r="C2" s="265"/>
      <c r="D2" s="265"/>
      <c r="E2" s="265"/>
      <c r="F2" s="265"/>
      <c r="G2" s="265"/>
      <c r="H2" s="265"/>
      <c r="I2" s="265"/>
      <c r="J2" s="265"/>
      <c r="K2" s="265"/>
      <c r="L2" s="265"/>
      <c r="M2" s="265"/>
      <c r="N2" s="265"/>
      <c r="O2" s="265"/>
      <c r="P2" s="265"/>
      <c r="Q2" s="265"/>
      <c r="R2" s="265"/>
    </row>
    <row r="3" spans="1:18" s="147" customFormat="1" ht="19.899999999999999">
      <c r="A3" s="385">
        <f>+'Pension Pack cover'!D24</f>
        <v>2020</v>
      </c>
      <c r="B3" s="265"/>
      <c r="C3" s="265"/>
      <c r="D3" s="265"/>
      <c r="E3" s="265"/>
      <c r="F3" s="265"/>
      <c r="G3" s="265"/>
      <c r="H3" s="265"/>
      <c r="I3" s="265"/>
      <c r="J3" s="265"/>
      <c r="K3" s="265"/>
      <c r="L3" s="265"/>
      <c r="M3" s="265"/>
      <c r="N3" s="265"/>
      <c r="O3" s="265"/>
      <c r="P3" s="265"/>
      <c r="Q3" s="265"/>
      <c r="R3" s="265"/>
    </row>
    <row r="4" spans="1:18" s="147" customFormat="1" ht="19.899999999999999">
      <c r="A4" s="265" t="s">
        <v>525</v>
      </c>
      <c r="B4" s="265"/>
      <c r="C4" s="265"/>
      <c r="D4" s="265"/>
      <c r="E4" s="265"/>
      <c r="F4" s="265"/>
      <c r="G4" s="265"/>
      <c r="H4" s="265"/>
      <c r="I4" s="265"/>
      <c r="J4" s="265"/>
      <c r="K4" s="265"/>
      <c r="L4" s="265"/>
      <c r="M4" s="265"/>
      <c r="N4" s="265"/>
      <c r="O4" s="265"/>
      <c r="P4" s="265"/>
      <c r="Q4" s="265"/>
      <c r="R4" s="265"/>
    </row>
    <row r="5" spans="1:18">
      <c r="A5" s="75" t="s">
        <v>19</v>
      </c>
      <c r="B5" s="74"/>
      <c r="C5" s="148"/>
      <c r="D5" s="282" t="str">
        <f>+'P1.2 PDAM Actuary provided data'!D6:F6</f>
        <v>DB scheme 1</v>
      </c>
      <c r="E5" s="283"/>
      <c r="F5" s="277"/>
    </row>
    <row r="6" spans="1:18" ht="15" customHeight="1">
      <c r="A6" s="240" t="s">
        <v>242</v>
      </c>
      <c r="B6" s="285" t="s">
        <v>262</v>
      </c>
      <c r="C6" s="241">
        <v>2013</v>
      </c>
      <c r="D6" s="241">
        <f t="shared" ref="D6:J6" si="0">C6+1</f>
        <v>2014</v>
      </c>
      <c r="E6" s="241">
        <f t="shared" si="0"/>
        <v>2015</v>
      </c>
      <c r="F6" s="241">
        <f t="shared" si="0"/>
        <v>2016</v>
      </c>
      <c r="G6" s="241">
        <f t="shared" si="0"/>
        <v>2017</v>
      </c>
      <c r="H6" s="241">
        <f t="shared" si="0"/>
        <v>2018</v>
      </c>
      <c r="I6" s="241">
        <f t="shared" si="0"/>
        <v>2019</v>
      </c>
      <c r="J6" s="241">
        <f t="shared" si="0"/>
        <v>2020</v>
      </c>
    </row>
    <row r="7" spans="1:18" ht="15" customHeight="1">
      <c r="A7" s="242" t="s">
        <v>211</v>
      </c>
      <c r="B7" s="269"/>
      <c r="C7" s="243"/>
      <c r="D7" s="243"/>
      <c r="E7" s="243"/>
      <c r="F7" s="243"/>
      <c r="G7" s="243"/>
      <c r="H7" s="243"/>
      <c r="I7" s="243"/>
      <c r="J7" s="243"/>
    </row>
    <row r="8" spans="1:18" ht="15" customHeight="1">
      <c r="A8" s="240"/>
      <c r="B8" s="269"/>
      <c r="C8" s="266"/>
      <c r="D8" s="266"/>
      <c r="E8" s="266"/>
      <c r="F8" s="266"/>
      <c r="G8" s="266"/>
      <c r="H8" s="266"/>
      <c r="I8" s="266"/>
      <c r="J8" s="266"/>
    </row>
    <row r="9" spans="1:18">
      <c r="A9" s="242" t="s">
        <v>243</v>
      </c>
      <c r="B9" s="269"/>
      <c r="C9" s="269"/>
      <c r="D9" s="269"/>
      <c r="E9" s="269"/>
      <c r="F9" s="269"/>
      <c r="G9" s="269"/>
      <c r="H9" s="269"/>
      <c r="I9" s="269"/>
      <c r="J9" s="269"/>
    </row>
    <row r="10" spans="1:18">
      <c r="A10" s="244" t="s">
        <v>212</v>
      </c>
      <c r="B10" s="245" t="s">
        <v>0</v>
      </c>
      <c r="C10" s="243"/>
      <c r="D10" s="243"/>
      <c r="E10" s="243"/>
      <c r="F10" s="243"/>
      <c r="G10" s="243"/>
      <c r="H10" s="243"/>
      <c r="I10" s="243"/>
      <c r="J10" s="243"/>
    </row>
    <row r="11" spans="1:18">
      <c r="A11" s="246" t="s">
        <v>213</v>
      </c>
      <c r="B11" s="267"/>
      <c r="C11" s="267"/>
      <c r="D11" s="267"/>
      <c r="E11" s="267"/>
      <c r="F11" s="267"/>
    </row>
    <row r="12" spans="1:18">
      <c r="A12" s="270" t="str">
        <f>+'P1.1 PDAM Licensee provided'!$C$153</f>
        <v>Licensee 1</v>
      </c>
      <c r="B12" s="245" t="s">
        <v>0</v>
      </c>
      <c r="C12" s="243"/>
      <c r="D12" s="243"/>
      <c r="E12" s="243"/>
      <c r="F12" s="243"/>
      <c r="G12" s="243"/>
      <c r="H12" s="243"/>
      <c r="I12" s="243"/>
      <c r="J12" s="243"/>
    </row>
    <row r="13" spans="1:18">
      <c r="A13" s="270" t="str">
        <f>+'P1.1 PDAM Licensee provided'!$D$153</f>
        <v>Licensee 2</v>
      </c>
      <c r="B13" s="245" t="s">
        <v>0</v>
      </c>
      <c r="C13" s="243"/>
      <c r="D13" s="243"/>
      <c r="E13" s="243"/>
      <c r="F13" s="243"/>
      <c r="G13" s="243"/>
      <c r="H13" s="243"/>
      <c r="I13" s="243"/>
      <c r="J13" s="243"/>
    </row>
    <row r="14" spans="1:18">
      <c r="A14" s="270" t="str">
        <f>+'P1.1 PDAM Licensee provided'!$E$153</f>
        <v>Licensee 3</v>
      </c>
      <c r="B14" s="245" t="s">
        <v>0</v>
      </c>
      <c r="C14" s="243"/>
      <c r="D14" s="243"/>
      <c r="E14" s="243"/>
      <c r="F14" s="243"/>
      <c r="G14" s="243"/>
      <c r="H14" s="243"/>
      <c r="I14" s="243"/>
      <c r="J14" s="243"/>
    </row>
    <row r="15" spans="1:18">
      <c r="A15" s="270" t="str">
        <f>+'P1.1 PDAM Licensee provided'!$F$153</f>
        <v>Licensee 4</v>
      </c>
      <c r="B15" s="245" t="s">
        <v>0</v>
      </c>
      <c r="C15" s="243"/>
      <c r="D15" s="243"/>
      <c r="E15" s="243"/>
      <c r="F15" s="243"/>
      <c r="G15" s="243"/>
      <c r="H15" s="243"/>
      <c r="I15" s="243"/>
      <c r="J15" s="243"/>
    </row>
    <row r="16" spans="1:18">
      <c r="A16" s="270" t="str">
        <f>+'P1.1 PDAM Licensee provided'!$G$153</f>
        <v>Licensee 5</v>
      </c>
      <c r="B16" s="245" t="s">
        <v>0</v>
      </c>
      <c r="C16" s="243"/>
      <c r="D16" s="243"/>
      <c r="E16" s="243"/>
      <c r="F16" s="243"/>
      <c r="G16" s="243"/>
      <c r="H16" s="243"/>
      <c r="I16" s="243"/>
      <c r="J16" s="243"/>
    </row>
    <row r="17" spans="1:169">
      <c r="A17" s="270" t="str">
        <f>+'P1.1 PDAM Licensee provided'!$H$153</f>
        <v>Licensee 6</v>
      </c>
      <c r="B17" s="245" t="s">
        <v>0</v>
      </c>
      <c r="C17" s="243"/>
      <c r="D17" s="243"/>
      <c r="E17" s="243"/>
      <c r="F17" s="243"/>
      <c r="G17" s="243"/>
      <c r="H17" s="243"/>
      <c r="I17" s="243"/>
      <c r="J17" s="243"/>
    </row>
    <row r="18" spans="1:169">
      <c r="A18" s="247" t="s">
        <v>214</v>
      </c>
      <c r="B18" s="245" t="s">
        <v>0</v>
      </c>
      <c r="C18" s="248">
        <f>SUM(C10:C17)</f>
        <v>0</v>
      </c>
      <c r="D18" s="248">
        <f t="shared" ref="D18:F18" si="1">SUM(D10:D17)</f>
        <v>0</v>
      </c>
      <c r="E18" s="248">
        <f t="shared" si="1"/>
        <v>0</v>
      </c>
      <c r="F18" s="248">
        <f t="shared" si="1"/>
        <v>0</v>
      </c>
      <c r="G18" s="248">
        <f t="shared" ref="G18:H18" si="2">SUM(G10:G17)</f>
        <v>0</v>
      </c>
      <c r="H18" s="248">
        <f t="shared" si="2"/>
        <v>0</v>
      </c>
      <c r="I18" s="248">
        <f t="shared" ref="I18:J18" si="3">SUM(I10:I17)</f>
        <v>0</v>
      </c>
      <c r="J18" s="248">
        <f t="shared" si="3"/>
        <v>0</v>
      </c>
    </row>
    <row r="19" spans="1:169">
      <c r="B19" s="266"/>
      <c r="C19" s="266"/>
      <c r="D19" s="266"/>
      <c r="E19" s="266"/>
      <c r="F19" s="266"/>
      <c r="G19" s="266"/>
      <c r="H19" s="266"/>
      <c r="I19" s="266"/>
      <c r="J19" s="266"/>
    </row>
    <row r="20" spans="1:169" s="267" customFormat="1" ht="14.25" customHeight="1">
      <c r="A20" s="249" t="s">
        <v>244</v>
      </c>
      <c r="B20" s="269"/>
      <c r="C20" s="269"/>
      <c r="D20" s="269"/>
      <c r="E20" s="269"/>
      <c r="F20" s="269"/>
      <c r="G20" s="269"/>
      <c r="H20" s="269"/>
      <c r="I20" s="269"/>
      <c r="J20" s="269"/>
      <c r="FK20" s="268"/>
      <c r="FL20" s="268"/>
      <c r="FM20" s="268"/>
    </row>
    <row r="21" spans="1:169" s="267" customFormat="1">
      <c r="A21" s="244" t="s">
        <v>212</v>
      </c>
      <c r="B21" s="245" t="s">
        <v>0</v>
      </c>
      <c r="C21" s="243"/>
      <c r="D21" s="243"/>
      <c r="E21" s="243"/>
      <c r="F21" s="243"/>
      <c r="G21" s="243"/>
      <c r="H21" s="243"/>
      <c r="I21" s="243"/>
      <c r="J21" s="243"/>
      <c r="FK21" s="268"/>
      <c r="FL21" s="268"/>
      <c r="FM21" s="268"/>
    </row>
    <row r="22" spans="1:169" s="267" customFormat="1">
      <c r="A22" s="246" t="s">
        <v>213</v>
      </c>
      <c r="K22" s="321"/>
      <c r="L22" s="321"/>
      <c r="M22" s="321"/>
      <c r="N22" s="321"/>
      <c r="O22" s="321"/>
      <c r="P22" s="321"/>
      <c r="Q22" s="321"/>
      <c r="R22" s="321"/>
      <c r="FK22" s="268"/>
      <c r="FL22" s="268"/>
      <c r="FM22" s="268"/>
    </row>
    <row r="23" spans="1:169" s="267" customFormat="1">
      <c r="A23" s="270" t="str">
        <f>+'P1.1 PDAM Licensee provided'!$C$153</f>
        <v>Licensee 1</v>
      </c>
      <c r="B23" s="245" t="s">
        <v>0</v>
      </c>
      <c r="C23" s="243"/>
      <c r="D23" s="243"/>
      <c r="E23" s="243"/>
      <c r="F23" s="243"/>
      <c r="G23" s="243"/>
      <c r="H23" s="243"/>
      <c r="I23" s="243"/>
      <c r="J23" s="243"/>
      <c r="K23" s="321"/>
      <c r="L23" s="321"/>
      <c r="M23" s="321"/>
      <c r="N23" s="321"/>
      <c r="O23" s="321"/>
      <c r="P23" s="321"/>
      <c r="Q23" s="321"/>
      <c r="R23" s="321"/>
      <c r="FK23" s="268"/>
      <c r="FL23" s="268"/>
      <c r="FM23" s="268"/>
    </row>
    <row r="24" spans="1:169" s="267" customFormat="1">
      <c r="A24" s="270" t="str">
        <f>+'P1.1 PDAM Licensee provided'!$D$153</f>
        <v>Licensee 2</v>
      </c>
      <c r="B24" s="245" t="s">
        <v>0</v>
      </c>
      <c r="C24" s="243"/>
      <c r="D24" s="243"/>
      <c r="E24" s="243"/>
      <c r="F24" s="243"/>
      <c r="G24" s="243"/>
      <c r="H24" s="243"/>
      <c r="I24" s="243"/>
      <c r="J24" s="243"/>
      <c r="K24" s="321"/>
      <c r="L24" s="321"/>
      <c r="M24" s="321"/>
      <c r="N24" s="321"/>
      <c r="O24" s="321"/>
      <c r="P24" s="321"/>
      <c r="Q24" s="321"/>
      <c r="R24" s="321"/>
      <c r="FK24" s="268"/>
      <c r="FL24" s="268"/>
      <c r="FM24" s="268"/>
    </row>
    <row r="25" spans="1:169" s="267" customFormat="1">
      <c r="A25" s="270" t="str">
        <f>+'P1.1 PDAM Licensee provided'!$E$153</f>
        <v>Licensee 3</v>
      </c>
      <c r="B25" s="245" t="s">
        <v>0</v>
      </c>
      <c r="C25" s="243"/>
      <c r="D25" s="243"/>
      <c r="E25" s="243"/>
      <c r="F25" s="243"/>
      <c r="G25" s="243"/>
      <c r="H25" s="243"/>
      <c r="I25" s="243"/>
      <c r="J25" s="243"/>
      <c r="K25" s="321"/>
      <c r="L25" s="321"/>
      <c r="M25" s="321"/>
      <c r="N25" s="321"/>
      <c r="O25" s="321"/>
      <c r="P25" s="321"/>
      <c r="Q25" s="321"/>
      <c r="R25" s="321"/>
      <c r="FK25" s="268"/>
      <c r="FL25" s="268"/>
      <c r="FM25" s="268"/>
    </row>
    <row r="26" spans="1:169" s="267" customFormat="1">
      <c r="A26" s="270" t="str">
        <f>+'P1.1 PDAM Licensee provided'!$F$153</f>
        <v>Licensee 4</v>
      </c>
      <c r="B26" s="245" t="s">
        <v>0</v>
      </c>
      <c r="C26" s="243"/>
      <c r="D26" s="243"/>
      <c r="E26" s="243"/>
      <c r="F26" s="243"/>
      <c r="G26" s="243"/>
      <c r="H26" s="243"/>
      <c r="I26" s="243"/>
      <c r="J26" s="243"/>
      <c r="K26" s="321"/>
      <c r="L26" s="321"/>
      <c r="M26" s="321"/>
      <c r="N26" s="321"/>
      <c r="O26" s="321"/>
      <c r="P26" s="321"/>
      <c r="Q26" s="321"/>
      <c r="R26" s="321"/>
      <c r="FK26" s="268"/>
      <c r="FL26" s="268"/>
      <c r="FM26" s="268"/>
    </row>
    <row r="27" spans="1:169" s="267" customFormat="1" ht="14.25" customHeight="1">
      <c r="A27" s="270" t="str">
        <f>+'P1.1 PDAM Licensee provided'!$G$153</f>
        <v>Licensee 5</v>
      </c>
      <c r="B27" s="245" t="s">
        <v>0</v>
      </c>
      <c r="C27" s="243"/>
      <c r="D27" s="243"/>
      <c r="E27" s="243"/>
      <c r="F27" s="243"/>
      <c r="G27" s="243"/>
      <c r="H27" s="243"/>
      <c r="I27" s="243"/>
      <c r="J27" s="243"/>
      <c r="K27" s="444"/>
      <c r="L27" s="321"/>
      <c r="M27" s="471"/>
      <c r="N27" s="471"/>
      <c r="O27" s="471"/>
      <c r="P27" s="471"/>
      <c r="Q27" s="321"/>
      <c r="R27" s="321"/>
      <c r="FK27" s="268"/>
      <c r="FL27" s="268"/>
      <c r="FM27" s="268"/>
    </row>
    <row r="28" spans="1:169" s="267" customFormat="1">
      <c r="A28" s="270" t="str">
        <f>+'P1.1 PDAM Licensee provided'!$H$153</f>
        <v>Licensee 6</v>
      </c>
      <c r="B28" s="245" t="s">
        <v>0</v>
      </c>
      <c r="C28" s="243"/>
      <c r="D28" s="243"/>
      <c r="E28" s="243"/>
      <c r="F28" s="243"/>
      <c r="G28" s="243"/>
      <c r="H28" s="243"/>
      <c r="I28" s="243"/>
      <c r="J28" s="243"/>
      <c r="K28" s="444"/>
      <c r="L28" s="321"/>
      <c r="M28" s="471"/>
      <c r="N28" s="471"/>
      <c r="O28" s="471"/>
      <c r="P28" s="471"/>
      <c r="Q28" s="321"/>
      <c r="R28" s="321"/>
      <c r="FK28" s="268"/>
      <c r="FL28" s="268"/>
      <c r="FM28" s="268"/>
    </row>
    <row r="29" spans="1:169" s="267" customFormat="1">
      <c r="A29" s="247" t="s">
        <v>215</v>
      </c>
      <c r="B29" s="245" t="s">
        <v>0</v>
      </c>
      <c r="C29" s="248">
        <f>SUM(C21:C28)</f>
        <v>0</v>
      </c>
      <c r="D29" s="248">
        <f t="shared" ref="D29:F29" si="4">SUM(D21:D28)</f>
        <v>0</v>
      </c>
      <c r="E29" s="248">
        <f t="shared" si="4"/>
        <v>0</v>
      </c>
      <c r="F29" s="248">
        <f t="shared" si="4"/>
        <v>0</v>
      </c>
      <c r="G29" s="248">
        <f t="shared" ref="G29:H29" si="5">SUM(G21:G28)</f>
        <v>0</v>
      </c>
      <c r="H29" s="248">
        <f t="shared" si="5"/>
        <v>0</v>
      </c>
      <c r="I29" s="248">
        <f t="shared" ref="I29:J29" si="6">SUM(I21:I28)</f>
        <v>0</v>
      </c>
      <c r="J29" s="248">
        <f t="shared" si="6"/>
        <v>0</v>
      </c>
      <c r="K29" s="322"/>
      <c r="L29" s="321"/>
      <c r="M29" s="322"/>
      <c r="N29" s="322"/>
      <c r="O29" s="322"/>
      <c r="P29" s="322"/>
      <c r="Q29" s="321"/>
      <c r="R29" s="321"/>
      <c r="FK29" s="268"/>
      <c r="FL29" s="268"/>
      <c r="FM29" s="268"/>
    </row>
    <row r="30" spans="1:169" s="267" customFormat="1">
      <c r="A30" s="269" t="s">
        <v>3</v>
      </c>
      <c r="B30" s="269"/>
      <c r="C30" s="271" t="str">
        <f t="shared" ref="C30:J30" si="7">IF((C7-SUM(C18,C29)&gt;0.1),"Error", "OK")</f>
        <v>OK</v>
      </c>
      <c r="D30" s="271" t="str">
        <f t="shared" si="7"/>
        <v>OK</v>
      </c>
      <c r="E30" s="271" t="str">
        <f t="shared" si="7"/>
        <v>OK</v>
      </c>
      <c r="F30" s="271" t="str">
        <f t="shared" si="7"/>
        <v>OK</v>
      </c>
      <c r="G30" s="271" t="str">
        <f t="shared" si="7"/>
        <v>OK</v>
      </c>
      <c r="H30" s="271" t="str">
        <f t="shared" si="7"/>
        <v>OK</v>
      </c>
      <c r="I30" s="271" t="str">
        <f t="shared" si="7"/>
        <v>OK</v>
      </c>
      <c r="J30" s="271" t="str">
        <f t="shared" si="7"/>
        <v>OK</v>
      </c>
      <c r="K30" s="321"/>
      <c r="L30" s="321"/>
      <c r="M30" s="321"/>
      <c r="N30" s="321"/>
      <c r="O30" s="321"/>
      <c r="P30" s="321"/>
      <c r="Q30" s="321"/>
      <c r="R30" s="321"/>
      <c r="FK30" s="268"/>
      <c r="FL30" s="268"/>
      <c r="FM30" s="268"/>
    </row>
    <row r="31" spans="1:169" s="267" customFormat="1">
      <c r="A31" s="272"/>
      <c r="B31" s="269"/>
      <c r="C31" s="269"/>
      <c r="D31" s="269"/>
      <c r="E31" s="269"/>
      <c r="F31" s="269"/>
      <c r="G31" s="269"/>
      <c r="H31" s="269"/>
      <c r="I31" s="269"/>
      <c r="J31" s="269"/>
      <c r="K31" s="321"/>
      <c r="L31" s="321"/>
      <c r="M31" s="321"/>
      <c r="N31" s="321"/>
      <c r="O31" s="321"/>
      <c r="P31" s="321"/>
      <c r="Q31" s="321"/>
      <c r="R31" s="321"/>
      <c r="FK31" s="268"/>
      <c r="FL31" s="268"/>
      <c r="FM31" s="268"/>
    </row>
    <row r="32" spans="1:169" s="267" customFormat="1">
      <c r="A32" s="250" t="s">
        <v>216</v>
      </c>
      <c r="B32" s="273" t="s">
        <v>2</v>
      </c>
      <c r="C32" s="238">
        <v>0</v>
      </c>
      <c r="D32" s="238">
        <v>0</v>
      </c>
      <c r="E32" s="238">
        <v>0</v>
      </c>
      <c r="F32" s="238">
        <v>0</v>
      </c>
      <c r="G32" s="238">
        <v>0</v>
      </c>
      <c r="H32" s="238">
        <v>0</v>
      </c>
      <c r="I32" s="238">
        <v>0</v>
      </c>
      <c r="J32" s="238">
        <v>0</v>
      </c>
      <c r="FK32" s="268"/>
      <c r="FL32" s="268"/>
      <c r="FM32" s="268"/>
    </row>
    <row r="33" spans="1:169" s="267" customFormat="1">
      <c r="A33" s="269" t="s">
        <v>3</v>
      </c>
      <c r="B33" s="269"/>
      <c r="C33" s="271" t="str">
        <f t="shared" ref="C33:J33" si="8">IF(ABS(C29-SUM(C21:C28)&gt;0.1),"Error", "OK")</f>
        <v>OK</v>
      </c>
      <c r="D33" s="271" t="str">
        <f t="shared" si="8"/>
        <v>OK</v>
      </c>
      <c r="E33" s="271" t="str">
        <f t="shared" si="8"/>
        <v>OK</v>
      </c>
      <c r="F33" s="271" t="str">
        <f t="shared" si="8"/>
        <v>OK</v>
      </c>
      <c r="G33" s="271" t="str">
        <f t="shared" si="8"/>
        <v>OK</v>
      </c>
      <c r="H33" s="271" t="str">
        <f t="shared" si="8"/>
        <v>OK</v>
      </c>
      <c r="I33" s="271" t="str">
        <f t="shared" si="8"/>
        <v>OK</v>
      </c>
      <c r="J33" s="271" t="str">
        <f t="shared" si="8"/>
        <v>OK</v>
      </c>
      <c r="FK33" s="268"/>
      <c r="FL33" s="268"/>
      <c r="FM33" s="268"/>
    </row>
    <row r="34" spans="1:169" s="267" customFormat="1">
      <c r="A34" s="268"/>
      <c r="B34" s="266"/>
      <c r="C34" s="266"/>
      <c r="D34" s="266"/>
      <c r="E34" s="266"/>
      <c r="F34" s="266"/>
      <c r="G34" s="266"/>
      <c r="H34" s="266"/>
      <c r="I34" s="266"/>
      <c r="J34" s="266"/>
      <c r="FK34" s="268"/>
      <c r="FL34" s="268"/>
      <c r="FM34" s="268"/>
    </row>
    <row r="35" spans="1:169" s="267" customFormat="1">
      <c r="A35" s="251" t="s">
        <v>217</v>
      </c>
      <c r="B35" s="269"/>
      <c r="C35" s="269"/>
      <c r="D35" s="269"/>
      <c r="E35" s="269"/>
      <c r="F35" s="269"/>
      <c r="G35" s="269"/>
      <c r="H35" s="269"/>
      <c r="I35" s="269"/>
      <c r="J35" s="269"/>
      <c r="FK35" s="268"/>
      <c r="FL35" s="268"/>
      <c r="FM35" s="268"/>
    </row>
    <row r="36" spans="1:169" s="267" customFormat="1">
      <c r="A36" s="252" t="s">
        <v>218</v>
      </c>
      <c r="B36" s="245" t="s">
        <v>0</v>
      </c>
      <c r="C36" s="243"/>
      <c r="D36" s="243"/>
      <c r="E36" s="243"/>
      <c r="F36" s="243"/>
      <c r="G36" s="243"/>
      <c r="H36" s="243"/>
      <c r="I36" s="243"/>
      <c r="J36" s="243"/>
      <c r="FK36" s="268"/>
      <c r="FL36" s="268"/>
      <c r="FM36" s="268"/>
    </row>
    <row r="37" spans="1:169" s="267" customFormat="1">
      <c r="A37" s="253" t="s">
        <v>219</v>
      </c>
      <c r="B37" s="245" t="s">
        <v>0</v>
      </c>
      <c r="C37" s="243"/>
      <c r="D37" s="243"/>
      <c r="E37" s="243"/>
      <c r="F37" s="243"/>
      <c r="G37" s="243"/>
      <c r="H37" s="243"/>
      <c r="I37" s="243"/>
      <c r="J37" s="243"/>
      <c r="FK37" s="268"/>
      <c r="FL37" s="268"/>
      <c r="FM37" s="268"/>
    </row>
    <row r="38" spans="1:169" s="267" customFormat="1">
      <c r="A38" s="254" t="s">
        <v>220</v>
      </c>
      <c r="B38" s="245" t="s">
        <v>0</v>
      </c>
      <c r="C38" s="243"/>
      <c r="D38" s="243"/>
      <c r="E38" s="243"/>
      <c r="F38" s="243"/>
      <c r="G38" s="243"/>
      <c r="H38" s="243"/>
      <c r="I38" s="243"/>
      <c r="J38" s="243"/>
      <c r="FK38" s="268"/>
      <c r="FL38" s="268"/>
      <c r="FM38" s="268"/>
    </row>
    <row r="39" spans="1:169" s="267" customFormat="1">
      <c r="A39" s="254" t="s">
        <v>221</v>
      </c>
      <c r="B39" s="245" t="s">
        <v>0</v>
      </c>
      <c r="C39" s="243"/>
      <c r="D39" s="243"/>
      <c r="E39" s="243"/>
      <c r="F39" s="243"/>
      <c r="G39" s="243"/>
      <c r="H39" s="243"/>
      <c r="I39" s="243"/>
      <c r="J39" s="243"/>
      <c r="FK39" s="268"/>
      <c r="FL39" s="268"/>
      <c r="FM39" s="268"/>
    </row>
    <row r="40" spans="1:169" s="267" customFormat="1">
      <c r="A40" s="254" t="s">
        <v>222</v>
      </c>
      <c r="B40" s="245" t="s">
        <v>0</v>
      </c>
      <c r="C40" s="243"/>
      <c r="D40" s="243"/>
      <c r="E40" s="243"/>
      <c r="F40" s="243"/>
      <c r="G40" s="243"/>
      <c r="H40" s="243"/>
      <c r="I40" s="243"/>
      <c r="J40" s="243"/>
      <c r="FK40" s="268"/>
      <c r="FL40" s="268"/>
      <c r="FM40" s="268"/>
    </row>
    <row r="41" spans="1:169" s="267" customFormat="1">
      <c r="A41" s="255" t="s">
        <v>27</v>
      </c>
      <c r="B41" s="245" t="s">
        <v>0</v>
      </c>
      <c r="C41" s="248">
        <f t="shared" ref="C41:J41" si="9">SUM(C36:C40)</f>
        <v>0</v>
      </c>
      <c r="D41" s="248">
        <f t="shared" si="9"/>
        <v>0</v>
      </c>
      <c r="E41" s="248">
        <f t="shared" si="9"/>
        <v>0</v>
      </c>
      <c r="F41" s="248">
        <f t="shared" si="9"/>
        <v>0</v>
      </c>
      <c r="G41" s="248">
        <f t="shared" si="9"/>
        <v>0</v>
      </c>
      <c r="H41" s="248">
        <f t="shared" si="9"/>
        <v>0</v>
      </c>
      <c r="I41" s="248">
        <f t="shared" si="9"/>
        <v>0</v>
      </c>
      <c r="J41" s="248">
        <f t="shared" si="9"/>
        <v>0</v>
      </c>
      <c r="FK41" s="268"/>
      <c r="FL41" s="268"/>
      <c r="FM41" s="268"/>
    </row>
    <row r="42" spans="1:169" s="267" customFormat="1">
      <c r="A42" s="269" t="s">
        <v>3</v>
      </c>
      <c r="B42" s="269"/>
      <c r="C42" s="274" t="str">
        <f t="shared" ref="C42:J42" si="10">IF(C41&lt;&gt;SUM(C12,C23), "ERROR","OK")</f>
        <v>OK</v>
      </c>
      <c r="D42" s="274" t="str">
        <f t="shared" si="10"/>
        <v>OK</v>
      </c>
      <c r="E42" s="274" t="str">
        <f t="shared" si="10"/>
        <v>OK</v>
      </c>
      <c r="F42" s="274" t="str">
        <f t="shared" si="10"/>
        <v>OK</v>
      </c>
      <c r="G42" s="274" t="str">
        <f t="shared" si="10"/>
        <v>OK</v>
      </c>
      <c r="H42" s="274" t="str">
        <f t="shared" si="10"/>
        <v>OK</v>
      </c>
      <c r="I42" s="274" t="str">
        <f t="shared" si="10"/>
        <v>OK</v>
      </c>
      <c r="J42" s="274" t="str">
        <f t="shared" si="10"/>
        <v>OK</v>
      </c>
      <c r="FK42" s="268"/>
      <c r="FL42" s="268"/>
      <c r="FM42" s="268"/>
    </row>
    <row r="43" spans="1:169" s="267" customFormat="1">
      <c r="A43" s="269"/>
      <c r="B43" s="269"/>
      <c r="C43" s="269"/>
      <c r="D43" s="269"/>
      <c r="E43" s="269"/>
      <c r="F43" s="269"/>
      <c r="G43" s="269"/>
      <c r="H43" s="269"/>
      <c r="I43" s="269"/>
      <c r="J43" s="269"/>
      <c r="FK43" s="268"/>
      <c r="FL43" s="268"/>
      <c r="FM43" s="268"/>
    </row>
    <row r="44" spans="1:169" s="267" customFormat="1">
      <c r="A44" s="256" t="s">
        <v>241</v>
      </c>
      <c r="B44" s="239" t="s">
        <v>223</v>
      </c>
      <c r="C44" s="243"/>
      <c r="D44" s="243"/>
      <c r="E44" s="243"/>
      <c r="F44" s="243"/>
      <c r="G44" s="243"/>
      <c r="H44" s="243"/>
      <c r="I44" s="243"/>
      <c r="J44" s="243"/>
      <c r="FK44" s="268"/>
      <c r="FL44" s="268"/>
      <c r="FM44" s="268"/>
    </row>
    <row r="45" spans="1:169" s="267" customFormat="1">
      <c r="A45" s="256" t="s">
        <v>224</v>
      </c>
      <c r="B45" s="273" t="s">
        <v>103</v>
      </c>
      <c r="C45" s="257"/>
      <c r="D45" s="257"/>
      <c r="E45" s="257"/>
      <c r="F45" s="257"/>
      <c r="G45" s="257"/>
      <c r="H45" s="257"/>
      <c r="I45" s="257"/>
      <c r="J45" s="257"/>
      <c r="FK45" s="268"/>
      <c r="FL45" s="268"/>
      <c r="FM45" s="268"/>
    </row>
    <row r="46" spans="1:169" s="267" customFormat="1">
      <c r="A46" s="269"/>
      <c r="B46" s="269"/>
      <c r="C46" s="269"/>
      <c r="D46" s="269"/>
      <c r="E46" s="269"/>
      <c r="F46" s="269"/>
      <c r="G46" s="269"/>
      <c r="H46" s="269"/>
      <c r="I46" s="269"/>
      <c r="J46" s="269"/>
      <c r="FK46" s="268"/>
      <c r="FL46" s="268"/>
      <c r="FM46" s="268"/>
    </row>
    <row r="47" spans="1:169" s="267" customFormat="1">
      <c r="A47" s="258" t="s">
        <v>225</v>
      </c>
      <c r="B47" s="266"/>
      <c r="C47" s="241">
        <f t="shared" ref="C47:J47" si="11">+C6</f>
        <v>2013</v>
      </c>
      <c r="D47" s="241">
        <f t="shared" si="11"/>
        <v>2014</v>
      </c>
      <c r="E47" s="241">
        <f t="shared" si="11"/>
        <v>2015</v>
      </c>
      <c r="F47" s="241">
        <f t="shared" si="11"/>
        <v>2016</v>
      </c>
      <c r="G47" s="241">
        <f t="shared" si="11"/>
        <v>2017</v>
      </c>
      <c r="H47" s="241">
        <f t="shared" si="11"/>
        <v>2018</v>
      </c>
      <c r="I47" s="241">
        <f t="shared" si="11"/>
        <v>2019</v>
      </c>
      <c r="J47" s="241">
        <f t="shared" si="11"/>
        <v>2020</v>
      </c>
      <c r="FK47" s="268"/>
      <c r="FL47" s="268"/>
      <c r="FM47" s="268"/>
    </row>
    <row r="48" spans="1:169" s="267" customFormat="1">
      <c r="A48" s="242" t="s">
        <v>226</v>
      </c>
      <c r="B48" s="245" t="s">
        <v>0</v>
      </c>
      <c r="C48" s="243"/>
      <c r="D48" s="243"/>
      <c r="E48" s="243"/>
      <c r="F48" s="243"/>
      <c r="G48" s="243"/>
      <c r="H48" s="243"/>
      <c r="I48" s="243"/>
      <c r="J48" s="243"/>
      <c r="FK48" s="268"/>
      <c r="FL48" s="268"/>
      <c r="FM48" s="268"/>
    </row>
    <row r="49" spans="1:169" s="267" customFormat="1">
      <c r="A49" s="266"/>
      <c r="B49" s="266"/>
      <c r="C49" s="266"/>
      <c r="D49" s="266"/>
      <c r="E49" s="266"/>
      <c r="F49" s="266"/>
      <c r="G49" s="266"/>
      <c r="H49" s="266"/>
      <c r="I49" s="266"/>
      <c r="J49" s="266"/>
      <c r="FK49" s="268"/>
      <c r="FL49" s="268"/>
      <c r="FM49" s="268"/>
    </row>
    <row r="50" spans="1:169" s="267" customFormat="1">
      <c r="A50" s="242" t="s">
        <v>227</v>
      </c>
      <c r="B50" s="266"/>
      <c r="C50" s="269"/>
      <c r="D50" s="269"/>
      <c r="E50" s="269"/>
      <c r="F50" s="269"/>
      <c r="G50" s="269"/>
      <c r="H50" s="269"/>
      <c r="I50" s="269"/>
      <c r="J50" s="269"/>
      <c r="FK50" s="268"/>
      <c r="FL50" s="268"/>
      <c r="FM50" s="268"/>
    </row>
    <row r="51" spans="1:169" s="267" customFormat="1">
      <c r="A51" s="244" t="s">
        <v>212</v>
      </c>
      <c r="B51" s="245" t="s">
        <v>0</v>
      </c>
      <c r="C51" s="243"/>
      <c r="D51" s="243"/>
      <c r="E51" s="243"/>
      <c r="F51" s="243"/>
      <c r="G51" s="243"/>
      <c r="H51" s="243"/>
      <c r="I51" s="243"/>
      <c r="J51" s="243"/>
      <c r="FK51" s="268"/>
      <c r="FL51" s="268"/>
      <c r="FM51" s="268"/>
    </row>
    <row r="52" spans="1:169" s="267" customFormat="1">
      <c r="A52" s="246" t="s">
        <v>213</v>
      </c>
      <c r="FK52" s="268"/>
      <c r="FL52" s="268"/>
      <c r="FM52" s="268"/>
    </row>
    <row r="53" spans="1:169" s="267" customFormat="1">
      <c r="A53" s="270" t="str">
        <f>+'P1.1 PDAM Licensee provided'!$C$153</f>
        <v>Licensee 1</v>
      </c>
      <c r="B53" s="245" t="s">
        <v>0</v>
      </c>
      <c r="C53" s="243"/>
      <c r="D53" s="243"/>
      <c r="E53" s="243"/>
      <c r="F53" s="243"/>
      <c r="G53" s="243"/>
      <c r="H53" s="243"/>
      <c r="I53" s="243"/>
      <c r="J53" s="243"/>
      <c r="FK53" s="268"/>
      <c r="FL53" s="268"/>
      <c r="FM53" s="268"/>
    </row>
    <row r="54" spans="1:169" s="267" customFormat="1">
      <c r="A54" s="270" t="str">
        <f>+'P1.1 PDAM Licensee provided'!$D$153</f>
        <v>Licensee 2</v>
      </c>
      <c r="B54" s="245" t="s">
        <v>0</v>
      </c>
      <c r="C54" s="243"/>
      <c r="D54" s="243"/>
      <c r="E54" s="243"/>
      <c r="F54" s="243"/>
      <c r="G54" s="243"/>
      <c r="H54" s="243"/>
      <c r="I54" s="243"/>
      <c r="J54" s="243"/>
      <c r="FK54" s="268"/>
      <c r="FL54" s="268"/>
      <c r="FM54" s="268"/>
    </row>
    <row r="55" spans="1:169" s="267" customFormat="1">
      <c r="A55" s="270" t="str">
        <f>+'P1.1 PDAM Licensee provided'!$E$153</f>
        <v>Licensee 3</v>
      </c>
      <c r="B55" s="245" t="s">
        <v>0</v>
      </c>
      <c r="C55" s="243"/>
      <c r="D55" s="243"/>
      <c r="E55" s="243"/>
      <c r="F55" s="243"/>
      <c r="G55" s="243"/>
      <c r="H55" s="243"/>
      <c r="I55" s="243"/>
      <c r="J55" s="243"/>
      <c r="FK55" s="268"/>
      <c r="FL55" s="268"/>
      <c r="FM55" s="268"/>
    </row>
    <row r="56" spans="1:169" s="267" customFormat="1">
      <c r="A56" s="270" t="str">
        <f>+'P1.1 PDAM Licensee provided'!$F$153</f>
        <v>Licensee 4</v>
      </c>
      <c r="B56" s="245" t="s">
        <v>0</v>
      </c>
      <c r="C56" s="243"/>
      <c r="D56" s="243"/>
      <c r="E56" s="243"/>
      <c r="F56" s="243"/>
      <c r="G56" s="243"/>
      <c r="H56" s="243"/>
      <c r="I56" s="243"/>
      <c r="J56" s="243"/>
      <c r="FK56" s="268"/>
      <c r="FL56" s="268"/>
      <c r="FM56" s="268"/>
    </row>
    <row r="57" spans="1:169" s="267" customFormat="1">
      <c r="A57" s="270" t="str">
        <f>+'P1.1 PDAM Licensee provided'!$G$153</f>
        <v>Licensee 5</v>
      </c>
      <c r="B57" s="245" t="s">
        <v>0</v>
      </c>
      <c r="C57" s="243"/>
      <c r="D57" s="243"/>
      <c r="E57" s="243"/>
      <c r="F57" s="243"/>
      <c r="G57" s="243"/>
      <c r="H57" s="243"/>
      <c r="I57" s="243"/>
      <c r="J57" s="243"/>
      <c r="FK57" s="268"/>
      <c r="FL57" s="268"/>
      <c r="FM57" s="268"/>
    </row>
    <row r="58" spans="1:169" s="267" customFormat="1">
      <c r="A58" s="270" t="str">
        <f>+'P1.1 PDAM Licensee provided'!$H$153</f>
        <v>Licensee 6</v>
      </c>
      <c r="B58" s="245" t="s">
        <v>0</v>
      </c>
      <c r="C58" s="243"/>
      <c r="D58" s="243"/>
      <c r="E58" s="243"/>
      <c r="F58" s="243"/>
      <c r="G58" s="243"/>
      <c r="H58" s="243"/>
      <c r="I58" s="243"/>
      <c r="J58" s="243"/>
      <c r="FK58" s="268"/>
      <c r="FL58" s="268"/>
      <c r="FM58" s="268"/>
    </row>
    <row r="59" spans="1:169" s="267" customFormat="1">
      <c r="A59" s="247" t="s">
        <v>228</v>
      </c>
      <c r="B59" s="245" t="s">
        <v>0</v>
      </c>
      <c r="C59" s="248">
        <f>SUM(C51:C58)</f>
        <v>0</v>
      </c>
      <c r="D59" s="248">
        <f t="shared" ref="D59:E59" si="12">SUM(D51:D58)</f>
        <v>0</v>
      </c>
      <c r="E59" s="248">
        <f t="shared" si="12"/>
        <v>0</v>
      </c>
      <c r="F59" s="248">
        <f>SUM(F51:F58)</f>
        <v>0</v>
      </c>
      <c r="G59" s="248">
        <f>SUM(G51:G58)</f>
        <v>0</v>
      </c>
      <c r="H59" s="248">
        <f>SUM(H51:H58)</f>
        <v>0</v>
      </c>
      <c r="I59" s="248">
        <f>SUM(I51:I58)</f>
        <v>0</v>
      </c>
      <c r="J59" s="248">
        <f>SUM(J51:J58)</f>
        <v>0</v>
      </c>
      <c r="FK59" s="268"/>
      <c r="FL59" s="268"/>
      <c r="FM59" s="268"/>
    </row>
    <row r="60" spans="1:169" s="267" customFormat="1">
      <c r="A60" s="268"/>
      <c r="B60" s="266"/>
      <c r="C60" s="266"/>
      <c r="D60" s="266"/>
      <c r="E60" s="266"/>
      <c r="F60" s="266"/>
      <c r="G60" s="266"/>
      <c r="H60" s="266"/>
      <c r="I60" s="266"/>
      <c r="J60" s="266"/>
      <c r="FK60" s="268"/>
      <c r="FL60" s="268"/>
      <c r="FM60" s="268"/>
    </row>
    <row r="61" spans="1:169" s="267" customFormat="1">
      <c r="A61" s="249" t="s">
        <v>229</v>
      </c>
      <c r="B61" s="266"/>
      <c r="C61" s="269"/>
      <c r="D61" s="269"/>
      <c r="E61" s="269"/>
      <c r="F61" s="269"/>
      <c r="G61" s="269"/>
      <c r="H61" s="269"/>
      <c r="I61" s="269"/>
      <c r="J61" s="269"/>
      <c r="FK61" s="268"/>
      <c r="FL61" s="268"/>
      <c r="FM61" s="268"/>
    </row>
    <row r="62" spans="1:169" s="267" customFormat="1">
      <c r="A62" s="244" t="s">
        <v>212</v>
      </c>
      <c r="B62" s="245" t="s">
        <v>0</v>
      </c>
      <c r="C62" s="243"/>
      <c r="D62" s="243"/>
      <c r="E62" s="243"/>
      <c r="F62" s="243"/>
      <c r="G62" s="243"/>
      <c r="H62" s="243"/>
      <c r="I62" s="243"/>
      <c r="J62" s="243"/>
      <c r="FK62" s="268"/>
      <c r="FL62" s="268"/>
      <c r="FM62" s="268"/>
    </row>
    <row r="63" spans="1:169" s="267" customFormat="1">
      <c r="A63" s="246" t="s">
        <v>213</v>
      </c>
      <c r="FK63" s="268"/>
      <c r="FL63" s="268"/>
      <c r="FM63" s="268"/>
    </row>
    <row r="64" spans="1:169" s="267" customFormat="1">
      <c r="A64" s="270" t="str">
        <f>+'P1.1 PDAM Licensee provided'!$C$153</f>
        <v>Licensee 1</v>
      </c>
      <c r="B64" s="245" t="s">
        <v>0</v>
      </c>
      <c r="C64" s="243"/>
      <c r="D64" s="243"/>
      <c r="E64" s="243"/>
      <c r="F64" s="243"/>
      <c r="G64" s="243"/>
      <c r="H64" s="243"/>
      <c r="I64" s="243"/>
      <c r="J64" s="243"/>
      <c r="FK64" s="268"/>
      <c r="FL64" s="268"/>
      <c r="FM64" s="268"/>
    </row>
    <row r="65" spans="1:169" s="267" customFormat="1">
      <c r="A65" s="270" t="str">
        <f>+'P1.1 PDAM Licensee provided'!$D$153</f>
        <v>Licensee 2</v>
      </c>
      <c r="B65" s="245" t="s">
        <v>0</v>
      </c>
      <c r="C65" s="243"/>
      <c r="D65" s="243"/>
      <c r="E65" s="243"/>
      <c r="F65" s="243"/>
      <c r="G65" s="243"/>
      <c r="H65" s="243"/>
      <c r="I65" s="243"/>
      <c r="J65" s="243"/>
      <c r="FK65" s="268"/>
      <c r="FL65" s="268"/>
      <c r="FM65" s="268"/>
    </row>
    <row r="66" spans="1:169" s="267" customFormat="1">
      <c r="A66" s="270" t="str">
        <f>+'P1.1 PDAM Licensee provided'!$E$153</f>
        <v>Licensee 3</v>
      </c>
      <c r="B66" s="245" t="s">
        <v>0</v>
      </c>
      <c r="C66" s="243"/>
      <c r="D66" s="243"/>
      <c r="E66" s="243"/>
      <c r="F66" s="243"/>
      <c r="G66" s="243"/>
      <c r="H66" s="243"/>
      <c r="I66" s="243"/>
      <c r="J66" s="243"/>
      <c r="FK66" s="268"/>
      <c r="FL66" s="268"/>
      <c r="FM66" s="268"/>
    </row>
    <row r="67" spans="1:169" s="267" customFormat="1">
      <c r="A67" s="270" t="str">
        <f>+'P1.1 PDAM Licensee provided'!$F$153</f>
        <v>Licensee 4</v>
      </c>
      <c r="B67" s="245" t="s">
        <v>0</v>
      </c>
      <c r="C67" s="243"/>
      <c r="D67" s="243"/>
      <c r="E67" s="243"/>
      <c r="F67" s="243"/>
      <c r="G67" s="243"/>
      <c r="H67" s="243"/>
      <c r="I67" s="243"/>
      <c r="J67" s="243"/>
      <c r="FK67" s="268"/>
      <c r="FL67" s="268"/>
      <c r="FM67" s="268"/>
    </row>
    <row r="68" spans="1:169" s="267" customFormat="1">
      <c r="A68" s="270" t="str">
        <f>+'P1.1 PDAM Licensee provided'!$G$153</f>
        <v>Licensee 5</v>
      </c>
      <c r="B68" s="245" t="s">
        <v>0</v>
      </c>
      <c r="C68" s="243"/>
      <c r="D68" s="243"/>
      <c r="E68" s="243"/>
      <c r="F68" s="243"/>
      <c r="G68" s="243"/>
      <c r="H68" s="243"/>
      <c r="I68" s="243"/>
      <c r="J68" s="243"/>
      <c r="FK68" s="268"/>
      <c r="FL68" s="268"/>
      <c r="FM68" s="268"/>
    </row>
    <row r="69" spans="1:169" s="267" customFormat="1">
      <c r="A69" s="270" t="str">
        <f>+'P1.1 PDAM Licensee provided'!$H$153</f>
        <v>Licensee 6</v>
      </c>
      <c r="B69" s="245" t="s">
        <v>0</v>
      </c>
      <c r="C69" s="243"/>
      <c r="D69" s="243"/>
      <c r="E69" s="243"/>
      <c r="F69" s="243"/>
      <c r="G69" s="243"/>
      <c r="H69" s="243"/>
      <c r="I69" s="243"/>
      <c r="J69" s="243"/>
      <c r="FK69" s="268"/>
      <c r="FL69" s="268"/>
      <c r="FM69" s="268"/>
    </row>
    <row r="70" spans="1:169" s="267" customFormat="1">
      <c r="A70" s="247" t="s">
        <v>230</v>
      </c>
      <c r="B70" s="245" t="s">
        <v>0</v>
      </c>
      <c r="C70" s="248">
        <f>SUM(C62:C69)</f>
        <v>0</v>
      </c>
      <c r="D70" s="248">
        <f t="shared" ref="D70" si="13">SUM(D62:D69)</f>
        <v>0</v>
      </c>
      <c r="E70" s="248">
        <f t="shared" ref="E70:J70" si="14">SUM(E62:E69)</f>
        <v>0</v>
      </c>
      <c r="F70" s="248">
        <f t="shared" si="14"/>
        <v>0</v>
      </c>
      <c r="G70" s="248">
        <f t="shared" si="14"/>
        <v>0</v>
      </c>
      <c r="H70" s="248">
        <f t="shared" si="14"/>
        <v>0</v>
      </c>
      <c r="I70" s="248">
        <f t="shared" si="14"/>
        <v>0</v>
      </c>
      <c r="J70" s="248">
        <f t="shared" si="14"/>
        <v>0</v>
      </c>
      <c r="FK70" s="268"/>
      <c r="FL70" s="268"/>
      <c r="FM70" s="268"/>
    </row>
    <row r="71" spans="1:169" s="267" customFormat="1">
      <c r="A71" s="269" t="s">
        <v>3</v>
      </c>
      <c r="B71" s="266"/>
      <c r="C71" s="275" t="str">
        <f t="shared" ref="C71:J71" si="15">IF(ABS(C48-SUM(C59,C70)&gt;0.01),"Error", "OK")</f>
        <v>OK</v>
      </c>
      <c r="D71" s="275" t="str">
        <f t="shared" si="15"/>
        <v>OK</v>
      </c>
      <c r="E71" s="275" t="str">
        <f t="shared" si="15"/>
        <v>OK</v>
      </c>
      <c r="F71" s="275" t="str">
        <f t="shared" si="15"/>
        <v>OK</v>
      </c>
      <c r="G71" s="275" t="str">
        <f t="shared" si="15"/>
        <v>OK</v>
      </c>
      <c r="H71" s="275" t="str">
        <f t="shared" si="15"/>
        <v>OK</v>
      </c>
      <c r="I71" s="275" t="str">
        <f t="shared" si="15"/>
        <v>OK</v>
      </c>
      <c r="J71" s="275" t="str">
        <f t="shared" si="15"/>
        <v>OK</v>
      </c>
      <c r="FK71" s="268"/>
      <c r="FL71" s="268"/>
      <c r="FM71" s="268"/>
    </row>
    <row r="72" spans="1:169" s="267" customFormat="1">
      <c r="A72" s="280" t="s">
        <v>245</v>
      </c>
      <c r="B72" s="245" t="s">
        <v>0</v>
      </c>
      <c r="C72" s="243"/>
      <c r="D72" s="243"/>
      <c r="E72" s="243"/>
      <c r="F72" s="243"/>
      <c r="G72" s="243"/>
      <c r="H72" s="243"/>
      <c r="I72" s="243"/>
      <c r="J72" s="243"/>
      <c r="FK72" s="268"/>
      <c r="FL72" s="268"/>
      <c r="FM72" s="268"/>
    </row>
    <row r="73" spans="1:169" s="267" customFormat="1">
      <c r="A73" s="280"/>
      <c r="B73" s="245"/>
      <c r="C73" s="248">
        <f t="shared" ref="C73:J73" si="16">+C51-C72</f>
        <v>0</v>
      </c>
      <c r="D73" s="248">
        <f t="shared" si="16"/>
        <v>0</v>
      </c>
      <c r="E73" s="248">
        <f t="shared" si="16"/>
        <v>0</v>
      </c>
      <c r="F73" s="248">
        <f t="shared" si="16"/>
        <v>0</v>
      </c>
      <c r="G73" s="248">
        <f t="shared" si="16"/>
        <v>0</v>
      </c>
      <c r="H73" s="248">
        <f t="shared" si="16"/>
        <v>0</v>
      </c>
      <c r="I73" s="248">
        <f t="shared" si="16"/>
        <v>0</v>
      </c>
      <c r="J73" s="248">
        <f t="shared" si="16"/>
        <v>0</v>
      </c>
      <c r="FK73" s="268"/>
      <c r="FL73" s="268"/>
      <c r="FM73" s="268"/>
    </row>
    <row r="74" spans="1:169" s="267" customFormat="1">
      <c r="A74" s="276"/>
      <c r="B74" s="268"/>
      <c r="C74" s="272"/>
      <c r="D74" s="272"/>
      <c r="E74" s="272"/>
      <c r="F74" s="272"/>
      <c r="G74" s="272"/>
      <c r="H74" s="272"/>
      <c r="I74" s="272"/>
      <c r="J74" s="272"/>
      <c r="FK74" s="268"/>
      <c r="FL74" s="268"/>
      <c r="FM74" s="268"/>
    </row>
    <row r="75" spans="1:169" ht="13.5" customHeight="1">
      <c r="A75" s="258" t="s">
        <v>234</v>
      </c>
      <c r="C75" s="272"/>
      <c r="D75" s="272"/>
      <c r="E75" s="272"/>
      <c r="F75" s="272"/>
      <c r="G75" s="272"/>
      <c r="H75" s="272"/>
      <c r="I75" s="272"/>
      <c r="J75" s="272"/>
    </row>
    <row r="76" spans="1:169">
      <c r="A76" s="259" t="s">
        <v>231</v>
      </c>
      <c r="B76" s="245" t="s">
        <v>0</v>
      </c>
      <c r="D76" s="243"/>
      <c r="E76" s="243"/>
      <c r="F76" s="243"/>
      <c r="G76" s="243"/>
      <c r="H76" s="243"/>
      <c r="I76" s="243"/>
      <c r="J76" s="243"/>
    </row>
    <row r="77" spans="1:169">
      <c r="A77" s="259" t="s">
        <v>235</v>
      </c>
      <c r="B77" s="245" t="s">
        <v>0</v>
      </c>
      <c r="D77" s="243"/>
      <c r="E77" s="243"/>
      <c r="F77" s="243"/>
      <c r="G77" s="243"/>
      <c r="H77" s="243"/>
      <c r="I77" s="243"/>
      <c r="J77" s="243"/>
    </row>
    <row r="78" spans="1:169">
      <c r="A78" s="244" t="s">
        <v>236</v>
      </c>
      <c r="G78" s="268"/>
      <c r="H78" s="268"/>
      <c r="I78" s="268"/>
      <c r="J78" s="268"/>
    </row>
    <row r="79" spans="1:169">
      <c r="A79" s="244" t="s">
        <v>212</v>
      </c>
      <c r="B79" s="245" t="s">
        <v>0</v>
      </c>
      <c r="D79" s="243"/>
      <c r="E79" s="243"/>
      <c r="F79" s="243"/>
      <c r="G79" s="243"/>
      <c r="H79" s="243"/>
      <c r="I79" s="243"/>
      <c r="J79" s="243"/>
    </row>
    <row r="80" spans="1:169">
      <c r="A80" s="246" t="s">
        <v>213</v>
      </c>
      <c r="B80" s="267"/>
      <c r="D80" s="267"/>
      <c r="E80" s="267"/>
      <c r="F80" s="267"/>
    </row>
    <row r="81" spans="1:10">
      <c r="A81" s="270" t="str">
        <f>+'P1.1 PDAM Licensee provided'!$C$153</f>
        <v>Licensee 1</v>
      </c>
      <c r="B81" s="245" t="s">
        <v>0</v>
      </c>
      <c r="D81" s="243"/>
      <c r="E81" s="243"/>
      <c r="F81" s="243"/>
      <c r="G81" s="243"/>
      <c r="H81" s="243"/>
      <c r="I81" s="243"/>
      <c r="J81" s="243"/>
    </row>
    <row r="82" spans="1:10">
      <c r="A82" s="270" t="str">
        <f>+'P1.1 PDAM Licensee provided'!$D$153</f>
        <v>Licensee 2</v>
      </c>
      <c r="B82" s="245" t="s">
        <v>0</v>
      </c>
      <c r="D82" s="243"/>
      <c r="E82" s="243"/>
      <c r="F82" s="243"/>
      <c r="G82" s="243"/>
      <c r="H82" s="243"/>
      <c r="I82" s="243"/>
      <c r="J82" s="243"/>
    </row>
    <row r="83" spans="1:10">
      <c r="A83" s="270" t="str">
        <f>+'P1.1 PDAM Licensee provided'!$E$153</f>
        <v>Licensee 3</v>
      </c>
      <c r="B83" s="245" t="s">
        <v>0</v>
      </c>
      <c r="D83" s="243"/>
      <c r="E83" s="243"/>
      <c r="F83" s="243"/>
      <c r="G83" s="243"/>
      <c r="H83" s="243"/>
      <c r="I83" s="243"/>
      <c r="J83" s="243"/>
    </row>
    <row r="84" spans="1:10">
      <c r="A84" s="270" t="str">
        <f>+'P1.1 PDAM Licensee provided'!$F$153</f>
        <v>Licensee 4</v>
      </c>
      <c r="B84" s="245" t="s">
        <v>0</v>
      </c>
      <c r="D84" s="243"/>
      <c r="E84" s="243"/>
      <c r="F84" s="243"/>
      <c r="G84" s="243"/>
      <c r="H84" s="243"/>
      <c r="I84" s="243"/>
      <c r="J84" s="243"/>
    </row>
    <row r="85" spans="1:10">
      <c r="A85" s="270" t="str">
        <f>+'P1.1 PDAM Licensee provided'!$G$153</f>
        <v>Licensee 5</v>
      </c>
      <c r="B85" s="245" t="s">
        <v>0</v>
      </c>
      <c r="D85" s="243"/>
      <c r="E85" s="243"/>
      <c r="F85" s="243"/>
      <c r="G85" s="243"/>
      <c r="H85" s="243"/>
      <c r="I85" s="243"/>
      <c r="J85" s="243"/>
    </row>
    <row r="86" spans="1:10">
      <c r="A86" s="270" t="str">
        <f>+'P1.1 PDAM Licensee provided'!$H$153</f>
        <v>Licensee 6</v>
      </c>
      <c r="B86" s="245" t="s">
        <v>0</v>
      </c>
      <c r="D86" s="243"/>
      <c r="E86" s="243"/>
      <c r="F86" s="243"/>
      <c r="G86" s="243"/>
      <c r="H86" s="243"/>
      <c r="I86" s="243"/>
      <c r="J86" s="243"/>
    </row>
    <row r="87" spans="1:10">
      <c r="A87" s="247" t="s">
        <v>233</v>
      </c>
      <c r="B87" s="245" t="s">
        <v>0</v>
      </c>
      <c r="D87" s="248">
        <f>SUM(D79:D86)</f>
        <v>0</v>
      </c>
      <c r="E87" s="248">
        <f t="shared" ref="E87" si="17">SUM(E79:E86)</f>
        <v>0</v>
      </c>
      <c r="F87" s="248">
        <f>SUM(F79:F86)</f>
        <v>0</v>
      </c>
      <c r="G87" s="248">
        <f>SUM(G79:G86)</f>
        <v>0</v>
      </c>
      <c r="H87" s="248">
        <f>SUM(H79:H86)</f>
        <v>0</v>
      </c>
      <c r="I87" s="248">
        <f>SUM(I79:I86)</f>
        <v>0</v>
      </c>
      <c r="J87" s="248">
        <f>SUM(J79:J86)</f>
        <v>0</v>
      </c>
    </row>
  </sheetData>
  <mergeCells count="1">
    <mergeCell ref="M27:P28"/>
  </mergeCells>
  <phoneticPr fontId="43" type="noConversion"/>
  <pageMargins left="0.70866141732283472" right="0.70866141732283472" top="0.74803149606299213" bottom="0.74803149606299213" header="0.31496062992125984" footer="0.31496062992125984"/>
  <pageSetup paperSize="8" scale="88"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V97"/>
  <sheetViews>
    <sheetView showGridLines="0" showZeros="0" workbookViewId="0">
      <pane xSplit="3" ySplit="14" topLeftCell="D31" activePane="bottomRight" state="frozenSplit"/>
      <selection activeCell="C97" sqref="C97"/>
      <selection pane="topRight" activeCell="C97" sqref="C97"/>
      <selection pane="bottomLeft" activeCell="C97" sqref="C97"/>
      <selection pane="bottomRight" activeCell="E19" sqref="E19"/>
    </sheetView>
  </sheetViews>
  <sheetFormatPr defaultRowHeight="14.25"/>
  <cols>
    <col min="1" max="1" width="9.9296875" customWidth="1"/>
    <col min="2" max="2" width="29.86328125" customWidth="1"/>
    <col min="3" max="3" width="22" customWidth="1"/>
    <col min="4" max="4" width="11.33203125" customWidth="1"/>
    <col min="5" max="11" width="9.1328125" bestFit="1" customWidth="1"/>
    <col min="22" max="22" width="27.33203125" customWidth="1"/>
  </cols>
  <sheetData>
    <row r="1" spans="1:22" s="367" customFormat="1" ht="20.65">
      <c r="A1" s="265" t="s">
        <v>404</v>
      </c>
      <c r="B1" s="265"/>
      <c r="C1" s="225"/>
      <c r="D1" s="389" t="s">
        <v>512</v>
      </c>
      <c r="E1" s="389"/>
      <c r="F1" s="389"/>
      <c r="G1" s="225"/>
      <c r="H1" s="225"/>
      <c r="I1" s="225"/>
      <c r="J1" s="225"/>
      <c r="K1" s="225"/>
      <c r="L1" s="225"/>
      <c r="M1" s="225"/>
      <c r="N1" s="225"/>
      <c r="O1" s="225"/>
      <c r="P1" s="225"/>
      <c r="Q1" s="225"/>
      <c r="R1" s="225"/>
      <c r="S1" s="225"/>
      <c r="T1" s="439"/>
      <c r="U1" s="439"/>
      <c r="V1" s="440"/>
    </row>
    <row r="2" spans="1:22" s="367" customFormat="1" ht="20.65">
      <c r="A2" s="265" t="str">
        <f>+'Pension Pack cover'!D14</f>
        <v>Licensee 1</v>
      </c>
      <c r="B2" s="265"/>
      <c r="C2" s="225"/>
      <c r="D2" s="389" t="s">
        <v>513</v>
      </c>
      <c r="E2" s="389"/>
      <c r="F2" s="389"/>
      <c r="G2" s="225"/>
      <c r="H2" s="225"/>
      <c r="I2" s="225"/>
      <c r="J2" s="225"/>
      <c r="K2" s="225"/>
      <c r="L2" s="225"/>
      <c r="M2" s="225"/>
      <c r="N2" s="225"/>
      <c r="O2" s="225"/>
      <c r="P2" s="225"/>
      <c r="Q2" s="225"/>
      <c r="R2" s="225"/>
      <c r="S2" s="225"/>
      <c r="T2" s="439"/>
      <c r="U2" s="439"/>
      <c r="V2" s="440"/>
    </row>
    <row r="3" spans="1:22" s="366" customFormat="1" ht="20.65">
      <c r="A3" s="385">
        <f>+'Pension Pack cover'!D24</f>
        <v>2020</v>
      </c>
      <c r="B3" s="265"/>
      <c r="C3" s="225"/>
      <c r="D3" s="389" t="s">
        <v>514</v>
      </c>
      <c r="E3" s="389"/>
      <c r="F3" s="389"/>
      <c r="G3" s="225"/>
      <c r="H3" s="225"/>
      <c r="I3" s="225"/>
      <c r="J3" s="225"/>
      <c r="K3" s="225"/>
      <c r="L3" s="225"/>
      <c r="M3" s="225"/>
      <c r="N3" s="225"/>
      <c r="O3" s="225"/>
      <c r="P3" s="225"/>
      <c r="Q3" s="225"/>
      <c r="R3" s="225"/>
      <c r="S3" s="225"/>
      <c r="T3" s="439"/>
      <c r="U3" s="439"/>
      <c r="V3" s="440"/>
    </row>
    <row r="4" spans="1:22">
      <c r="F4" s="338"/>
      <c r="G4" s="338"/>
      <c r="S4" s="441"/>
      <c r="T4" s="439"/>
      <c r="U4" s="439"/>
      <c r="V4" s="440"/>
    </row>
    <row r="5" spans="1:22" ht="16.5" customHeight="1">
      <c r="B5" t="s">
        <v>403</v>
      </c>
      <c r="F5" s="338"/>
      <c r="S5" s="441"/>
      <c r="T5" s="439"/>
      <c r="U5" s="439"/>
      <c r="V5" s="440"/>
    </row>
    <row r="6" spans="1:22" ht="16.5" customHeight="1">
      <c r="B6" t="s">
        <v>402</v>
      </c>
      <c r="F6" s="338"/>
      <c r="T6" s="439"/>
      <c r="U6" s="439"/>
      <c r="V6" s="440"/>
    </row>
    <row r="7" spans="1:22">
      <c r="T7" s="439"/>
      <c r="U7" s="439"/>
      <c r="V7" s="440"/>
    </row>
    <row r="8" spans="1:22" hidden="1">
      <c r="B8" t="s">
        <v>401</v>
      </c>
      <c r="D8">
        <v>1</v>
      </c>
      <c r="E8">
        <v>2</v>
      </c>
      <c r="F8">
        <v>3</v>
      </c>
      <c r="G8">
        <v>4</v>
      </c>
      <c r="H8">
        <v>5</v>
      </c>
      <c r="I8">
        <v>6</v>
      </c>
      <c r="J8">
        <v>7</v>
      </c>
      <c r="K8">
        <v>8</v>
      </c>
      <c r="L8">
        <v>9</v>
      </c>
      <c r="M8">
        <v>10</v>
      </c>
      <c r="N8">
        <v>11</v>
      </c>
      <c r="O8">
        <v>12</v>
      </c>
      <c r="P8">
        <v>13</v>
      </c>
      <c r="Q8">
        <v>14</v>
      </c>
      <c r="R8">
        <v>15</v>
      </c>
      <c r="S8">
        <v>16</v>
      </c>
      <c r="T8">
        <v>17</v>
      </c>
      <c r="U8">
        <v>18</v>
      </c>
    </row>
    <row r="9" spans="1:22" hidden="1">
      <c r="B9" t="s">
        <v>400</v>
      </c>
      <c r="D9">
        <f t="shared" ref="D9:U9" si="0">pco1_num+D8-1</f>
        <v>2</v>
      </c>
      <c r="E9">
        <f t="shared" si="0"/>
        <v>3</v>
      </c>
      <c r="F9">
        <f t="shared" si="0"/>
        <v>4</v>
      </c>
      <c r="G9">
        <f t="shared" si="0"/>
        <v>5</v>
      </c>
      <c r="H9">
        <f t="shared" si="0"/>
        <v>6</v>
      </c>
      <c r="I9">
        <f t="shared" si="0"/>
        <v>7</v>
      </c>
      <c r="J9">
        <f t="shared" si="0"/>
        <v>8</v>
      </c>
      <c r="K9">
        <f t="shared" si="0"/>
        <v>9</v>
      </c>
      <c r="L9">
        <f t="shared" si="0"/>
        <v>10</v>
      </c>
      <c r="M9">
        <f t="shared" si="0"/>
        <v>11</v>
      </c>
      <c r="N9">
        <f t="shared" si="0"/>
        <v>12</v>
      </c>
      <c r="O9">
        <f t="shared" si="0"/>
        <v>13</v>
      </c>
      <c r="P9">
        <f t="shared" si="0"/>
        <v>14</v>
      </c>
      <c r="Q9">
        <f t="shared" si="0"/>
        <v>15</v>
      </c>
      <c r="R9">
        <f t="shared" si="0"/>
        <v>16</v>
      </c>
      <c r="S9">
        <f t="shared" si="0"/>
        <v>17</v>
      </c>
      <c r="T9">
        <f t="shared" si="0"/>
        <v>18</v>
      </c>
      <c r="U9">
        <f t="shared" si="0"/>
        <v>19</v>
      </c>
    </row>
    <row r="10" spans="1:22" ht="16.5">
      <c r="D10" s="365" t="str">
        <f t="shared" ref="D10:U10" si="1">INDEX(yearQ,D9)</f>
        <v>2010-11</v>
      </c>
      <c r="E10" s="365" t="str">
        <f t="shared" si="1"/>
        <v>2011-12</v>
      </c>
      <c r="F10" s="365" t="str">
        <f t="shared" si="1"/>
        <v>2012-13</v>
      </c>
      <c r="G10" s="365" t="str">
        <f t="shared" si="1"/>
        <v>2013-14</v>
      </c>
      <c r="H10" s="365" t="str">
        <f t="shared" si="1"/>
        <v>2014-15</v>
      </c>
      <c r="I10" s="365" t="str">
        <f t="shared" si="1"/>
        <v>2015-16</v>
      </c>
      <c r="J10" s="365" t="str">
        <f t="shared" si="1"/>
        <v>2016-17</v>
      </c>
      <c r="K10" s="365" t="str">
        <f t="shared" si="1"/>
        <v>2017-18</v>
      </c>
      <c r="L10" s="365" t="str">
        <f t="shared" si="1"/>
        <v>2018-19</v>
      </c>
      <c r="M10" s="365" t="str">
        <f t="shared" si="1"/>
        <v>2019-20</v>
      </c>
      <c r="N10" s="365" t="str">
        <f t="shared" si="1"/>
        <v>2020-21</v>
      </c>
      <c r="O10" s="365" t="str">
        <f t="shared" si="1"/>
        <v>2021-22</v>
      </c>
      <c r="P10" s="365" t="str">
        <f t="shared" si="1"/>
        <v>2022-23</v>
      </c>
      <c r="Q10" s="365" t="str">
        <f t="shared" si="1"/>
        <v>2023-24</v>
      </c>
      <c r="R10" s="365" t="str">
        <f t="shared" si="1"/>
        <v>2024-25</v>
      </c>
      <c r="S10" s="365" t="str">
        <f t="shared" si="1"/>
        <v>2025-26</v>
      </c>
      <c r="T10" s="365" t="str">
        <f t="shared" si="1"/>
        <v>2026-27</v>
      </c>
      <c r="U10" s="365" t="str">
        <f t="shared" si="1"/>
        <v>2027-28</v>
      </c>
    </row>
    <row r="11" spans="1:22">
      <c r="B11" t="s">
        <v>399</v>
      </c>
      <c r="D11" s="425" t="str">
        <f t="shared" ref="D11:U11" si="2">IF(D9=rr_num,1,"")</f>
        <v/>
      </c>
      <c r="E11" s="425" t="str">
        <f t="shared" si="2"/>
        <v/>
      </c>
      <c r="F11" s="425" t="str">
        <f t="shared" si="2"/>
        <v/>
      </c>
      <c r="G11" s="425" t="str">
        <f t="shared" si="2"/>
        <v/>
      </c>
      <c r="H11" s="425" t="str">
        <f t="shared" si="2"/>
        <v/>
      </c>
      <c r="I11" s="425" t="str">
        <f t="shared" si="2"/>
        <v/>
      </c>
      <c r="J11" s="425" t="str">
        <f t="shared" si="2"/>
        <v/>
      </c>
      <c r="K11" s="425" t="str">
        <f t="shared" si="2"/>
        <v/>
      </c>
      <c r="L11" s="425" t="str">
        <f t="shared" si="2"/>
        <v/>
      </c>
      <c r="M11" s="425" t="str">
        <f t="shared" si="2"/>
        <v/>
      </c>
      <c r="N11" s="425" t="str">
        <f t="shared" si="2"/>
        <v/>
      </c>
      <c r="O11" s="425" t="str">
        <f t="shared" si="2"/>
        <v/>
      </c>
      <c r="P11" s="425" t="str">
        <f t="shared" si="2"/>
        <v/>
      </c>
      <c r="Q11" s="425" t="str">
        <f t="shared" si="2"/>
        <v/>
      </c>
      <c r="R11" s="425" t="str">
        <f t="shared" si="2"/>
        <v/>
      </c>
      <c r="S11" s="425" t="str">
        <f t="shared" si="2"/>
        <v/>
      </c>
      <c r="T11" s="425">
        <f t="shared" si="2"/>
        <v>1</v>
      </c>
      <c r="U11" s="425" t="str">
        <f t="shared" si="2"/>
        <v/>
      </c>
    </row>
    <row r="12" spans="1:22">
      <c r="B12" t="s">
        <v>398</v>
      </c>
      <c r="D12" s="425">
        <f t="shared" ref="D12:U12" si="3">IF(D9&lt;=rr_num-2,1,0)</f>
        <v>1</v>
      </c>
      <c r="E12" s="425">
        <f t="shared" si="3"/>
        <v>1</v>
      </c>
      <c r="F12" s="425">
        <f t="shared" si="3"/>
        <v>1</v>
      </c>
      <c r="G12" s="425">
        <f t="shared" si="3"/>
        <v>1</v>
      </c>
      <c r="H12" s="425">
        <f t="shared" si="3"/>
        <v>1</v>
      </c>
      <c r="I12" s="425">
        <f t="shared" si="3"/>
        <v>1</v>
      </c>
      <c r="J12" s="425">
        <f t="shared" si="3"/>
        <v>1</v>
      </c>
      <c r="K12" s="425">
        <f t="shared" si="3"/>
        <v>1</v>
      </c>
      <c r="L12" s="425">
        <f t="shared" si="3"/>
        <v>1</v>
      </c>
      <c r="M12" s="425">
        <f t="shared" si="3"/>
        <v>1</v>
      </c>
      <c r="N12" s="425">
        <f t="shared" si="3"/>
        <v>1</v>
      </c>
      <c r="O12" s="425">
        <f t="shared" si="3"/>
        <v>1</v>
      </c>
      <c r="P12" s="425">
        <f t="shared" si="3"/>
        <v>1</v>
      </c>
      <c r="Q12" s="425">
        <f t="shared" si="3"/>
        <v>1</v>
      </c>
      <c r="R12" s="425">
        <f t="shared" si="3"/>
        <v>1</v>
      </c>
      <c r="S12" s="425">
        <f t="shared" si="3"/>
        <v>0</v>
      </c>
      <c r="T12" s="425">
        <f t="shared" si="3"/>
        <v>0</v>
      </c>
      <c r="U12" s="425">
        <f t="shared" si="3"/>
        <v>0</v>
      </c>
    </row>
    <row r="13" spans="1:22">
      <c r="B13" t="s">
        <v>397</v>
      </c>
      <c r="D13" s="425">
        <f t="shared" ref="D13:U13" si="4">IF(OR(D9=rr_num,D9=rr_num-1),1,0)</f>
        <v>0</v>
      </c>
      <c r="E13" s="425">
        <f t="shared" si="4"/>
        <v>0</v>
      </c>
      <c r="F13" s="425">
        <f t="shared" si="4"/>
        <v>0</v>
      </c>
      <c r="G13" s="425">
        <f t="shared" si="4"/>
        <v>0</v>
      </c>
      <c r="H13" s="425">
        <f t="shared" si="4"/>
        <v>0</v>
      </c>
      <c r="I13" s="425">
        <f t="shared" si="4"/>
        <v>0</v>
      </c>
      <c r="J13" s="425">
        <f t="shared" si="4"/>
        <v>0</v>
      </c>
      <c r="K13" s="425">
        <f t="shared" si="4"/>
        <v>0</v>
      </c>
      <c r="L13" s="425">
        <f t="shared" si="4"/>
        <v>0</v>
      </c>
      <c r="M13" s="425">
        <f t="shared" si="4"/>
        <v>0</v>
      </c>
      <c r="N13" s="425">
        <f t="shared" si="4"/>
        <v>0</v>
      </c>
      <c r="O13" s="425">
        <f t="shared" si="4"/>
        <v>0</v>
      </c>
      <c r="P13" s="425">
        <f t="shared" si="4"/>
        <v>0</v>
      </c>
      <c r="Q13" s="425">
        <f t="shared" si="4"/>
        <v>0</v>
      </c>
      <c r="R13" s="425">
        <f t="shared" si="4"/>
        <v>0</v>
      </c>
      <c r="S13" s="425">
        <f t="shared" si="4"/>
        <v>1</v>
      </c>
      <c r="T13" s="425">
        <f t="shared" si="4"/>
        <v>1</v>
      </c>
      <c r="U13" s="425">
        <f t="shared" si="4"/>
        <v>0</v>
      </c>
    </row>
    <row r="14" spans="1:22">
      <c r="B14" t="s">
        <v>396</v>
      </c>
      <c r="D14" s="425">
        <f t="shared" ref="D14:U14" si="5">IF(D9&gt;rr_num,1,0)</f>
        <v>0</v>
      </c>
      <c r="E14" s="425">
        <f t="shared" si="5"/>
        <v>0</v>
      </c>
      <c r="F14" s="425">
        <f t="shared" si="5"/>
        <v>0</v>
      </c>
      <c r="G14" s="425">
        <f t="shared" si="5"/>
        <v>0</v>
      </c>
      <c r="H14" s="425">
        <f t="shared" si="5"/>
        <v>0</v>
      </c>
      <c r="I14" s="425">
        <f t="shared" si="5"/>
        <v>0</v>
      </c>
      <c r="J14" s="425">
        <f t="shared" si="5"/>
        <v>0</v>
      </c>
      <c r="K14" s="425">
        <f t="shared" si="5"/>
        <v>0</v>
      </c>
      <c r="L14" s="425">
        <f t="shared" si="5"/>
        <v>0</v>
      </c>
      <c r="M14" s="425">
        <f t="shared" si="5"/>
        <v>0</v>
      </c>
      <c r="N14" s="425">
        <f t="shared" si="5"/>
        <v>0</v>
      </c>
      <c r="O14" s="425">
        <f t="shared" si="5"/>
        <v>0</v>
      </c>
      <c r="P14" s="425">
        <f t="shared" si="5"/>
        <v>0</v>
      </c>
      <c r="Q14" s="425">
        <f t="shared" si="5"/>
        <v>0</v>
      </c>
      <c r="R14" s="425">
        <f t="shared" si="5"/>
        <v>0</v>
      </c>
      <c r="S14" s="425">
        <f t="shared" si="5"/>
        <v>0</v>
      </c>
      <c r="T14" s="425">
        <f t="shared" si="5"/>
        <v>0</v>
      </c>
      <c r="U14" s="425">
        <f t="shared" si="5"/>
        <v>1</v>
      </c>
    </row>
    <row r="16" spans="1:22">
      <c r="B16" s="338" t="s">
        <v>395</v>
      </c>
    </row>
    <row r="17" spans="2:21">
      <c r="B17" t="s">
        <v>394</v>
      </c>
      <c r="D17" s="402"/>
      <c r="E17" s="402"/>
      <c r="F17" s="402"/>
      <c r="G17" s="402"/>
      <c r="H17" s="402"/>
      <c r="I17" s="402"/>
      <c r="J17" s="402"/>
      <c r="K17" s="402"/>
      <c r="L17" s="402"/>
      <c r="M17" s="402"/>
      <c r="N17" s="402"/>
      <c r="O17" s="402"/>
      <c r="P17" s="402"/>
      <c r="Q17" s="402"/>
      <c r="R17" s="402"/>
      <c r="S17" s="402"/>
      <c r="T17" s="402"/>
      <c r="U17" s="362"/>
    </row>
    <row r="18" spans="2:21">
      <c r="B18" t="s">
        <v>393</v>
      </c>
      <c r="D18" s="402"/>
      <c r="E18" s="402">
        <v>0</v>
      </c>
      <c r="F18" s="402"/>
      <c r="G18" s="402"/>
      <c r="H18" s="402"/>
      <c r="I18" s="402"/>
      <c r="J18" s="402"/>
      <c r="K18" s="402"/>
      <c r="L18" s="402"/>
      <c r="M18" s="402"/>
      <c r="N18" s="402"/>
      <c r="O18" s="402"/>
      <c r="P18" s="402"/>
      <c r="Q18" s="402"/>
      <c r="R18" s="402"/>
      <c r="S18" s="402"/>
      <c r="T18" s="402"/>
      <c r="U18" s="362"/>
    </row>
    <row r="19" spans="2:21">
      <c r="B19" s="364" t="s">
        <v>392</v>
      </c>
      <c r="C19" s="364"/>
      <c r="D19" s="406">
        <f t="shared" ref="D19:U19" si="6">SUM(D17:D18)</f>
        <v>0</v>
      </c>
      <c r="E19" s="406">
        <f t="shared" si="6"/>
        <v>0</v>
      </c>
      <c r="F19" s="406">
        <f t="shared" si="6"/>
        <v>0</v>
      </c>
      <c r="G19" s="406">
        <f t="shared" si="6"/>
        <v>0</v>
      </c>
      <c r="H19" s="406">
        <f t="shared" si="6"/>
        <v>0</v>
      </c>
      <c r="I19" s="406">
        <f t="shared" si="6"/>
        <v>0</v>
      </c>
      <c r="J19" s="406">
        <f t="shared" si="6"/>
        <v>0</v>
      </c>
      <c r="K19" s="406">
        <f t="shared" si="6"/>
        <v>0</v>
      </c>
      <c r="L19" s="406">
        <f t="shared" si="6"/>
        <v>0</v>
      </c>
      <c r="M19" s="406">
        <f t="shared" si="6"/>
        <v>0</v>
      </c>
      <c r="N19" s="406">
        <f t="shared" si="6"/>
        <v>0</v>
      </c>
      <c r="O19" s="406">
        <f t="shared" si="6"/>
        <v>0</v>
      </c>
      <c r="P19" s="406">
        <f t="shared" si="6"/>
        <v>0</v>
      </c>
      <c r="Q19" s="406">
        <f t="shared" si="6"/>
        <v>0</v>
      </c>
      <c r="R19" s="406">
        <f t="shared" si="6"/>
        <v>0</v>
      </c>
      <c r="S19" s="406">
        <f t="shared" si="6"/>
        <v>0</v>
      </c>
      <c r="T19" s="406">
        <f t="shared" si="6"/>
        <v>0</v>
      </c>
      <c r="U19" s="406">
        <f t="shared" si="6"/>
        <v>0</v>
      </c>
    </row>
    <row r="20" spans="2:21">
      <c r="B20" t="s">
        <v>391</v>
      </c>
      <c r="D20" s="402"/>
      <c r="E20" s="402"/>
      <c r="F20" s="402"/>
      <c r="G20" s="402"/>
      <c r="H20" s="402"/>
      <c r="I20" s="402"/>
      <c r="J20" s="402"/>
      <c r="K20" s="402"/>
      <c r="L20" s="402"/>
      <c r="M20" s="402"/>
      <c r="N20" s="402"/>
      <c r="O20" s="402"/>
      <c r="P20" s="402"/>
      <c r="Q20" s="402"/>
      <c r="R20" s="402"/>
      <c r="S20" s="402"/>
      <c r="T20" s="402"/>
      <c r="U20" s="362"/>
    </row>
    <row r="21" spans="2:21">
      <c r="B21" s="363" t="s">
        <v>390</v>
      </c>
      <c r="C21" s="363"/>
      <c r="D21" s="406">
        <f t="shared" ref="D21:U21" si="7">D19-D20</f>
        <v>0</v>
      </c>
      <c r="E21" s="406">
        <f t="shared" si="7"/>
        <v>0</v>
      </c>
      <c r="F21" s="406">
        <f t="shared" si="7"/>
        <v>0</v>
      </c>
      <c r="G21" s="406">
        <f t="shared" si="7"/>
        <v>0</v>
      </c>
      <c r="H21" s="406">
        <f t="shared" si="7"/>
        <v>0</v>
      </c>
      <c r="I21" s="406">
        <f t="shared" si="7"/>
        <v>0</v>
      </c>
      <c r="J21" s="406">
        <f t="shared" si="7"/>
        <v>0</v>
      </c>
      <c r="K21" s="406">
        <f t="shared" si="7"/>
        <v>0</v>
      </c>
      <c r="L21" s="406">
        <f t="shared" si="7"/>
        <v>0</v>
      </c>
      <c r="M21" s="406">
        <f t="shared" si="7"/>
        <v>0</v>
      </c>
      <c r="N21" s="406">
        <f t="shared" si="7"/>
        <v>0</v>
      </c>
      <c r="O21" s="406">
        <f t="shared" si="7"/>
        <v>0</v>
      </c>
      <c r="P21" s="406">
        <f t="shared" si="7"/>
        <v>0</v>
      </c>
      <c r="Q21" s="406">
        <f t="shared" si="7"/>
        <v>0</v>
      </c>
      <c r="R21" s="406">
        <f t="shared" si="7"/>
        <v>0</v>
      </c>
      <c r="S21" s="406">
        <f t="shared" si="7"/>
        <v>0</v>
      </c>
      <c r="T21" s="406">
        <f t="shared" si="7"/>
        <v>0</v>
      </c>
      <c r="U21" s="406">
        <f t="shared" si="7"/>
        <v>0</v>
      </c>
    </row>
    <row r="22" spans="2:21">
      <c r="B22" t="s">
        <v>389</v>
      </c>
      <c r="D22" s="402"/>
      <c r="E22" s="402"/>
      <c r="F22" s="402"/>
      <c r="G22" s="402"/>
      <c r="H22" s="402"/>
      <c r="I22" s="402"/>
      <c r="J22" s="402"/>
      <c r="K22" s="402"/>
      <c r="L22" s="402"/>
      <c r="M22" s="402"/>
      <c r="N22" s="402"/>
      <c r="O22" s="402"/>
      <c r="P22" s="402"/>
      <c r="Q22" s="402"/>
      <c r="R22" s="402"/>
      <c r="S22" s="362"/>
      <c r="T22" s="362"/>
      <c r="U22" s="362"/>
    </row>
    <row r="23" spans="2:21" s="359" customFormat="1">
      <c r="B23" s="359" t="s">
        <v>388</v>
      </c>
      <c r="C23" s="361"/>
      <c r="D23" s="360"/>
      <c r="E23" s="360"/>
      <c r="F23" s="360"/>
      <c r="G23" s="360"/>
      <c r="H23" s="360"/>
      <c r="I23" s="360"/>
      <c r="J23" s="360"/>
      <c r="K23" s="360"/>
      <c r="L23" s="360"/>
      <c r="M23" s="360"/>
      <c r="N23" s="360"/>
      <c r="O23" s="360"/>
      <c r="P23" s="360"/>
      <c r="Q23" s="360"/>
      <c r="R23" s="360"/>
      <c r="S23" s="360"/>
      <c r="T23" s="360"/>
      <c r="U23" s="360"/>
    </row>
    <row r="24" spans="2:21" ht="14.65" thickBot="1">
      <c r="B24" s="358" t="s">
        <v>387</v>
      </c>
      <c r="C24" s="358"/>
      <c r="D24" s="407">
        <f t="shared" ref="D24:U24" si="8">D22-D21</f>
        <v>0</v>
      </c>
      <c r="E24" s="407">
        <f t="shared" si="8"/>
        <v>0</v>
      </c>
      <c r="F24" s="407">
        <f t="shared" si="8"/>
        <v>0</v>
      </c>
      <c r="G24" s="407">
        <f t="shared" si="8"/>
        <v>0</v>
      </c>
      <c r="H24" s="407">
        <f t="shared" si="8"/>
        <v>0</v>
      </c>
      <c r="I24" s="407">
        <f t="shared" si="8"/>
        <v>0</v>
      </c>
      <c r="J24" s="407">
        <f t="shared" si="8"/>
        <v>0</v>
      </c>
      <c r="K24" s="407">
        <f t="shared" si="8"/>
        <v>0</v>
      </c>
      <c r="L24" s="407">
        <f t="shared" si="8"/>
        <v>0</v>
      </c>
      <c r="M24" s="407">
        <f t="shared" si="8"/>
        <v>0</v>
      </c>
      <c r="N24" s="407">
        <f t="shared" si="8"/>
        <v>0</v>
      </c>
      <c r="O24" s="407">
        <f t="shared" si="8"/>
        <v>0</v>
      </c>
      <c r="P24" s="407">
        <f t="shared" si="8"/>
        <v>0</v>
      </c>
      <c r="Q24" s="407">
        <f t="shared" si="8"/>
        <v>0</v>
      </c>
      <c r="R24" s="407">
        <f t="shared" si="8"/>
        <v>0</v>
      </c>
      <c r="S24" s="407">
        <f t="shared" si="8"/>
        <v>0</v>
      </c>
      <c r="T24" s="407">
        <f t="shared" si="8"/>
        <v>0</v>
      </c>
      <c r="U24" s="407">
        <f t="shared" si="8"/>
        <v>0</v>
      </c>
    </row>
    <row r="26" spans="2:21">
      <c r="B26" s="338" t="s">
        <v>386</v>
      </c>
    </row>
    <row r="27" spans="2:21">
      <c r="B27" t="s">
        <v>385</v>
      </c>
      <c r="D27" s="428">
        <f t="shared" ref="D27:U27" si="9">INDEX(CT,D9)</f>
        <v>0.28000000000000003</v>
      </c>
      <c r="E27" s="428">
        <f t="shared" si="9"/>
        <v>0.26</v>
      </c>
      <c r="F27" s="428">
        <f t="shared" si="9"/>
        <v>0.24</v>
      </c>
      <c r="G27" s="428">
        <f t="shared" si="9"/>
        <v>0.23</v>
      </c>
      <c r="H27" s="428">
        <f t="shared" si="9"/>
        <v>0.21</v>
      </c>
      <c r="I27" s="428">
        <f t="shared" si="9"/>
        <v>0.2</v>
      </c>
      <c r="J27" s="428">
        <f t="shared" si="9"/>
        <v>0.2</v>
      </c>
      <c r="K27" s="428">
        <f t="shared" si="9"/>
        <v>0.19</v>
      </c>
      <c r="L27" s="428">
        <f t="shared" si="9"/>
        <v>0.19</v>
      </c>
      <c r="M27" s="428">
        <f t="shared" si="9"/>
        <v>0.19</v>
      </c>
      <c r="N27" s="428">
        <f t="shared" si="9"/>
        <v>0.19</v>
      </c>
      <c r="O27" s="428">
        <f>INDEX(CT,O9)</f>
        <v>0</v>
      </c>
      <c r="P27" s="428">
        <f t="shared" si="9"/>
        <v>0</v>
      </c>
      <c r="Q27" s="428">
        <f t="shared" si="9"/>
        <v>0</v>
      </c>
      <c r="R27" s="428">
        <f t="shared" si="9"/>
        <v>0</v>
      </c>
      <c r="S27" s="428">
        <f t="shared" si="9"/>
        <v>0</v>
      </c>
      <c r="T27" s="428">
        <f t="shared" si="9"/>
        <v>0</v>
      </c>
      <c r="U27" s="428">
        <f t="shared" si="9"/>
        <v>0</v>
      </c>
    </row>
    <row r="28" spans="2:21">
      <c r="B28" t="s">
        <v>384</v>
      </c>
      <c r="D28" s="357">
        <v>0.17</v>
      </c>
      <c r="E28" s="357">
        <v>0.17</v>
      </c>
      <c r="F28" s="357">
        <v>0.17</v>
      </c>
      <c r="G28" s="357">
        <v>0.17</v>
      </c>
      <c r="H28" s="357">
        <v>0.17</v>
      </c>
      <c r="I28" s="357">
        <v>0.17</v>
      </c>
      <c r="J28" s="357">
        <v>0.17</v>
      </c>
      <c r="K28" s="357">
        <v>0.17</v>
      </c>
      <c r="L28" s="357">
        <v>0.17</v>
      </c>
      <c r="M28" s="357">
        <v>0.17</v>
      </c>
      <c r="N28" s="357">
        <v>0.17</v>
      </c>
      <c r="O28" s="399"/>
      <c r="P28" s="399"/>
      <c r="Q28" s="399"/>
      <c r="R28" s="399"/>
      <c r="S28" s="399"/>
      <c r="T28" s="399"/>
      <c r="U28" s="399"/>
    </row>
    <row r="29" spans="2:21" ht="14.65" thickBot="1">
      <c r="B29" s="344" t="s">
        <v>383</v>
      </c>
      <c r="C29" s="344"/>
      <c r="D29" s="408">
        <f t="shared" ref="D29:U29" si="10">IF(D27=0,D28,D27)</f>
        <v>0.28000000000000003</v>
      </c>
      <c r="E29" s="408">
        <f t="shared" si="10"/>
        <v>0.26</v>
      </c>
      <c r="F29" s="408">
        <f t="shared" si="10"/>
        <v>0.24</v>
      </c>
      <c r="G29" s="408">
        <f t="shared" si="10"/>
        <v>0.23</v>
      </c>
      <c r="H29" s="408">
        <f t="shared" si="10"/>
        <v>0.21</v>
      </c>
      <c r="I29" s="408">
        <f t="shared" si="10"/>
        <v>0.2</v>
      </c>
      <c r="J29" s="408">
        <f t="shared" si="10"/>
        <v>0.2</v>
      </c>
      <c r="K29" s="408">
        <f t="shared" si="10"/>
        <v>0.19</v>
      </c>
      <c r="L29" s="408">
        <f t="shared" si="10"/>
        <v>0.19</v>
      </c>
      <c r="M29" s="408">
        <f t="shared" si="10"/>
        <v>0.19</v>
      </c>
      <c r="N29" s="408">
        <f t="shared" si="10"/>
        <v>0.19</v>
      </c>
      <c r="O29" s="408">
        <f t="shared" si="10"/>
        <v>0</v>
      </c>
      <c r="P29" s="408">
        <f t="shared" si="10"/>
        <v>0</v>
      </c>
      <c r="Q29" s="408">
        <f t="shared" si="10"/>
        <v>0</v>
      </c>
      <c r="R29" s="408">
        <f t="shared" si="10"/>
        <v>0</v>
      </c>
      <c r="S29" s="408">
        <f t="shared" si="10"/>
        <v>0</v>
      </c>
      <c r="T29" s="408">
        <f t="shared" si="10"/>
        <v>0</v>
      </c>
      <c r="U29" s="408">
        <f t="shared" si="10"/>
        <v>0</v>
      </c>
    </row>
    <row r="30" spans="2:21" hidden="1"/>
    <row r="32" spans="2:21">
      <c r="B32" t="s">
        <v>382</v>
      </c>
      <c r="C32" s="434">
        <f>1-SUM(D32:U32)</f>
        <v>1</v>
      </c>
      <c r="D32" s="405"/>
      <c r="E32" s="433">
        <f t="shared" ref="E32:U32" si="11">IF(D11=1,E29,0)</f>
        <v>0</v>
      </c>
      <c r="F32" s="433">
        <f t="shared" si="11"/>
        <v>0</v>
      </c>
      <c r="G32" s="433">
        <f t="shared" si="11"/>
        <v>0</v>
      </c>
      <c r="H32" s="433">
        <f t="shared" si="11"/>
        <v>0</v>
      </c>
      <c r="I32" s="433">
        <f t="shared" si="11"/>
        <v>0</v>
      </c>
      <c r="J32" s="433">
        <f t="shared" si="11"/>
        <v>0</v>
      </c>
      <c r="K32" s="433">
        <f t="shared" si="11"/>
        <v>0</v>
      </c>
      <c r="L32" s="433">
        <f t="shared" si="11"/>
        <v>0</v>
      </c>
      <c r="M32" s="433">
        <f t="shared" si="11"/>
        <v>0</v>
      </c>
      <c r="N32" s="433">
        <f t="shared" si="11"/>
        <v>0</v>
      </c>
      <c r="O32" s="433">
        <f t="shared" si="11"/>
        <v>0</v>
      </c>
      <c r="P32" s="433">
        <f t="shared" si="11"/>
        <v>0</v>
      </c>
      <c r="Q32" s="433">
        <f t="shared" si="11"/>
        <v>0</v>
      </c>
      <c r="R32" s="433">
        <f t="shared" si="11"/>
        <v>0</v>
      </c>
      <c r="S32" s="433">
        <f t="shared" si="11"/>
        <v>0</v>
      </c>
      <c r="T32" s="433">
        <f t="shared" si="11"/>
        <v>0</v>
      </c>
      <c r="U32" s="433">
        <f t="shared" si="11"/>
        <v>0</v>
      </c>
    </row>
    <row r="34" spans="2:21">
      <c r="B34" s="338" t="s">
        <v>381</v>
      </c>
    </row>
    <row r="35" spans="2:21">
      <c r="B35" t="s">
        <v>380</v>
      </c>
      <c r="D35" s="400"/>
      <c r="E35" s="400"/>
      <c r="F35" s="400"/>
      <c r="G35" s="400"/>
      <c r="H35" s="400"/>
      <c r="I35" s="400"/>
      <c r="J35" s="400"/>
      <c r="K35" s="400"/>
      <c r="L35" s="400"/>
      <c r="M35" s="400"/>
      <c r="N35" s="400"/>
      <c r="O35" s="400"/>
      <c r="P35" s="400"/>
      <c r="Q35" s="400"/>
      <c r="R35" s="400"/>
      <c r="S35" s="400"/>
      <c r="T35" s="400"/>
      <c r="U35" s="356"/>
    </row>
    <row r="36" spans="2:21">
      <c r="B36" t="s">
        <v>379</v>
      </c>
      <c r="D36" s="409">
        <f t="shared" ref="D36:U36" si="12">1/(2+D35)</f>
        <v>0.5</v>
      </c>
      <c r="E36" s="409">
        <f t="shared" si="12"/>
        <v>0.5</v>
      </c>
      <c r="F36" s="409">
        <f t="shared" si="12"/>
        <v>0.5</v>
      </c>
      <c r="G36" s="409">
        <f t="shared" si="12"/>
        <v>0.5</v>
      </c>
      <c r="H36" s="409">
        <f t="shared" si="12"/>
        <v>0.5</v>
      </c>
      <c r="I36" s="409">
        <f t="shared" si="12"/>
        <v>0.5</v>
      </c>
      <c r="J36" s="409">
        <f t="shared" si="12"/>
        <v>0.5</v>
      </c>
      <c r="K36" s="409">
        <f t="shared" si="12"/>
        <v>0.5</v>
      </c>
      <c r="L36" s="409">
        <f t="shared" si="12"/>
        <v>0.5</v>
      </c>
      <c r="M36" s="409">
        <f t="shared" si="12"/>
        <v>0.5</v>
      </c>
      <c r="N36" s="409">
        <f t="shared" si="12"/>
        <v>0.5</v>
      </c>
      <c r="O36" s="409">
        <f t="shared" si="12"/>
        <v>0.5</v>
      </c>
      <c r="P36" s="409">
        <f t="shared" si="12"/>
        <v>0.5</v>
      </c>
      <c r="Q36" s="409">
        <f t="shared" si="12"/>
        <v>0.5</v>
      </c>
      <c r="R36" s="409">
        <f t="shared" si="12"/>
        <v>0.5</v>
      </c>
      <c r="S36" s="409">
        <f t="shared" si="12"/>
        <v>0.5</v>
      </c>
      <c r="T36" s="409">
        <f t="shared" si="12"/>
        <v>0.5</v>
      </c>
      <c r="U36" s="409">
        <f t="shared" si="12"/>
        <v>0.5</v>
      </c>
    </row>
    <row r="37" spans="2:21" ht="14.65" thickBot="1">
      <c r="B37" s="344" t="s">
        <v>378</v>
      </c>
      <c r="C37" s="344"/>
      <c r="D37" s="410">
        <f t="shared" ref="D37:U37" si="13">1+D36*D35</f>
        <v>1</v>
      </c>
      <c r="E37" s="410">
        <f t="shared" si="13"/>
        <v>1</v>
      </c>
      <c r="F37" s="410">
        <f t="shared" si="13"/>
        <v>1</v>
      </c>
      <c r="G37" s="410">
        <f t="shared" si="13"/>
        <v>1</v>
      </c>
      <c r="H37" s="410">
        <f t="shared" si="13"/>
        <v>1</v>
      </c>
      <c r="I37" s="410">
        <f t="shared" si="13"/>
        <v>1</v>
      </c>
      <c r="J37" s="410">
        <f t="shared" si="13"/>
        <v>1</v>
      </c>
      <c r="K37" s="410">
        <f t="shared" si="13"/>
        <v>1</v>
      </c>
      <c r="L37" s="410">
        <f t="shared" si="13"/>
        <v>1</v>
      </c>
      <c r="M37" s="410">
        <f t="shared" si="13"/>
        <v>1</v>
      </c>
      <c r="N37" s="410">
        <f t="shared" si="13"/>
        <v>1</v>
      </c>
      <c r="O37" s="410">
        <f t="shared" si="13"/>
        <v>1</v>
      </c>
      <c r="P37" s="410">
        <f t="shared" si="13"/>
        <v>1</v>
      </c>
      <c r="Q37" s="410">
        <f t="shared" si="13"/>
        <v>1</v>
      </c>
      <c r="R37" s="410">
        <f t="shared" si="13"/>
        <v>1</v>
      </c>
      <c r="S37" s="410">
        <f t="shared" si="13"/>
        <v>1</v>
      </c>
      <c r="T37" s="410">
        <f t="shared" si="13"/>
        <v>1</v>
      </c>
      <c r="U37" s="410">
        <f t="shared" si="13"/>
        <v>1</v>
      </c>
    </row>
    <row r="43" spans="2:21">
      <c r="B43" s="338" t="s">
        <v>377</v>
      </c>
    </row>
    <row r="44" spans="2:21" s="354" customFormat="1" ht="42.5" customHeight="1">
      <c r="D44" s="429">
        <f t="shared" ref="D44:U44" si="14">IF(D9&gt;rr_num,0,IF(D9=rr_num,1+D35,(1+D35)*E44))</f>
        <v>1</v>
      </c>
      <c r="E44" s="429">
        <f t="shared" si="14"/>
        <v>1</v>
      </c>
      <c r="F44" s="429">
        <f t="shared" si="14"/>
        <v>1</v>
      </c>
      <c r="G44" s="429">
        <f t="shared" si="14"/>
        <v>1</v>
      </c>
      <c r="H44" s="429">
        <f t="shared" si="14"/>
        <v>1</v>
      </c>
      <c r="I44" s="429">
        <f t="shared" si="14"/>
        <v>1</v>
      </c>
      <c r="J44" s="429">
        <f t="shared" si="14"/>
        <v>1</v>
      </c>
      <c r="K44" s="429">
        <f t="shared" si="14"/>
        <v>1</v>
      </c>
      <c r="L44" s="429">
        <f t="shared" si="14"/>
        <v>1</v>
      </c>
      <c r="M44" s="429">
        <f t="shared" si="14"/>
        <v>1</v>
      </c>
      <c r="N44" s="429">
        <f t="shared" si="14"/>
        <v>1</v>
      </c>
      <c r="O44" s="429">
        <f t="shared" si="14"/>
        <v>1</v>
      </c>
      <c r="P44" s="429">
        <f t="shared" si="14"/>
        <v>1</v>
      </c>
      <c r="Q44" s="429">
        <f t="shared" si="14"/>
        <v>1</v>
      </c>
      <c r="R44" s="429">
        <f t="shared" si="14"/>
        <v>1</v>
      </c>
      <c r="S44" s="429">
        <f t="shared" si="14"/>
        <v>1</v>
      </c>
      <c r="T44" s="429">
        <f t="shared" si="14"/>
        <v>1</v>
      </c>
      <c r="U44" s="429">
        <f t="shared" si="14"/>
        <v>0</v>
      </c>
    </row>
    <row r="45" spans="2:21" s="354" customFormat="1">
      <c r="B45"/>
      <c r="D45" s="355"/>
      <c r="E45" s="355"/>
      <c r="F45" s="355"/>
      <c r="G45" s="355"/>
      <c r="H45" s="355"/>
      <c r="I45" s="353"/>
      <c r="J45" s="355"/>
      <c r="K45" s="355"/>
      <c r="L45" s="355"/>
      <c r="M45" s="355"/>
      <c r="N45" s="355"/>
      <c r="O45" s="355"/>
      <c r="P45" s="355"/>
      <c r="Q45" s="355"/>
      <c r="R45" s="355"/>
      <c r="S45" s="355"/>
      <c r="T45" s="355"/>
      <c r="U45" s="355"/>
    </row>
    <row r="46" spans="2:21">
      <c r="B46" s="338" t="s">
        <v>376</v>
      </c>
    </row>
    <row r="47" spans="2:21">
      <c r="B47" t="s">
        <v>375</v>
      </c>
      <c r="C47" s="401"/>
    </row>
    <row r="48" spans="2:21">
      <c r="B48" t="s">
        <v>374</v>
      </c>
      <c r="C48" s="401">
        <f t="array" ref="C48">-SUM(D12:U12*D20:U20*D44:U44*(1-D29:U29)/D37:U37)/C32</f>
        <v>0</v>
      </c>
    </row>
    <row r="49" spans="2:21" ht="14.65" thickBot="1">
      <c r="B49" s="324" t="s">
        <v>373</v>
      </c>
      <c r="C49" s="426">
        <f>SUM(C47:C48)</f>
        <v>0</v>
      </c>
    </row>
    <row r="50" spans="2:21" s="354" customFormat="1">
      <c r="B50"/>
      <c r="D50" s="355"/>
      <c r="E50" s="355"/>
      <c r="F50" s="355"/>
      <c r="G50" s="355"/>
      <c r="H50" s="355"/>
      <c r="I50" s="353"/>
      <c r="J50" s="355"/>
      <c r="K50" s="355"/>
      <c r="L50" s="355"/>
      <c r="M50" s="355"/>
      <c r="N50" s="355"/>
      <c r="O50" s="355"/>
      <c r="P50" s="355"/>
      <c r="Q50" s="355"/>
      <c r="R50" s="355"/>
      <c r="S50" s="355"/>
      <c r="T50" s="355"/>
      <c r="U50" s="355"/>
    </row>
    <row r="51" spans="2:21" s="354" customFormat="1" ht="21">
      <c r="B51" s="352" t="s">
        <v>372</v>
      </c>
      <c r="C51" s="351">
        <f>C49</f>
        <v>0</v>
      </c>
      <c r="D51" s="355"/>
      <c r="E51" s="355"/>
      <c r="F51" s="355"/>
      <c r="G51" s="355"/>
      <c r="H51" s="355"/>
      <c r="I51" s="355"/>
      <c r="J51" s="355"/>
      <c r="K51" s="355"/>
      <c r="L51" s="355"/>
      <c r="M51" s="355"/>
      <c r="N51" s="355"/>
      <c r="O51" s="355"/>
      <c r="P51" s="355"/>
      <c r="Q51" s="355"/>
      <c r="R51" s="355"/>
      <c r="S51" s="355"/>
      <c r="T51" s="355"/>
      <c r="U51" s="355"/>
    </row>
    <row r="52" spans="2:21" s="354" customFormat="1">
      <c r="B52"/>
      <c r="D52" s="355"/>
      <c r="E52" s="355"/>
      <c r="F52" s="355"/>
      <c r="G52" s="355"/>
      <c r="H52" s="355"/>
      <c r="I52" s="355"/>
      <c r="J52" s="355"/>
      <c r="K52" s="355"/>
      <c r="L52" s="355"/>
      <c r="M52" s="355"/>
      <c r="N52" s="355"/>
      <c r="O52" s="355"/>
      <c r="P52" s="355"/>
      <c r="Q52" s="355"/>
      <c r="R52" s="355"/>
      <c r="S52" s="355"/>
      <c r="T52" s="355"/>
      <c r="U52" s="355"/>
    </row>
    <row r="53" spans="2:21" ht="36.5" customHeight="1">
      <c r="D53" s="411">
        <f t="shared" ref="D53:U53" si="15">IF(D12=1,D24*(1-D29)/(D37*$C$32),0)</f>
        <v>0</v>
      </c>
      <c r="E53" s="411">
        <f t="shared" si="15"/>
        <v>0</v>
      </c>
      <c r="F53" s="411">
        <f t="shared" si="15"/>
        <v>0</v>
      </c>
      <c r="G53" s="411">
        <f t="shared" si="15"/>
        <v>0</v>
      </c>
      <c r="H53" s="411">
        <f t="shared" si="15"/>
        <v>0</v>
      </c>
      <c r="I53" s="411">
        <f t="shared" si="15"/>
        <v>0</v>
      </c>
      <c r="J53" s="411">
        <f t="shared" si="15"/>
        <v>0</v>
      </c>
      <c r="K53" s="411">
        <f t="shared" si="15"/>
        <v>0</v>
      </c>
      <c r="L53" s="411">
        <f t="shared" si="15"/>
        <v>0</v>
      </c>
      <c r="M53" s="411">
        <f t="shared" si="15"/>
        <v>0</v>
      </c>
      <c r="N53" s="411">
        <f t="shared" si="15"/>
        <v>0</v>
      </c>
      <c r="O53" s="411">
        <f t="shared" si="15"/>
        <v>0</v>
      </c>
      <c r="P53" s="411">
        <f t="shared" si="15"/>
        <v>0</v>
      </c>
      <c r="Q53" s="411">
        <f t="shared" si="15"/>
        <v>0</v>
      </c>
      <c r="R53" s="411">
        <f t="shared" si="15"/>
        <v>0</v>
      </c>
      <c r="S53" s="411">
        <f t="shared" si="15"/>
        <v>0</v>
      </c>
      <c r="T53" s="411">
        <f t="shared" si="15"/>
        <v>0</v>
      </c>
      <c r="U53" s="411">
        <f t="shared" si="15"/>
        <v>0</v>
      </c>
    </row>
    <row r="54" spans="2:21" ht="48.5" customHeight="1">
      <c r="D54" s="411">
        <f t="shared" ref="D54:U54" si="16">IF(D12=1,D53*D44,0)</f>
        <v>0</v>
      </c>
      <c r="E54" s="411">
        <f t="shared" si="16"/>
        <v>0</v>
      </c>
      <c r="F54" s="411">
        <f t="shared" si="16"/>
        <v>0</v>
      </c>
      <c r="G54" s="411">
        <f t="shared" si="16"/>
        <v>0</v>
      </c>
      <c r="H54" s="411">
        <f t="shared" si="16"/>
        <v>0</v>
      </c>
      <c r="I54" s="411">
        <f t="shared" si="16"/>
        <v>0</v>
      </c>
      <c r="J54" s="411">
        <f t="shared" si="16"/>
        <v>0</v>
      </c>
      <c r="K54" s="411">
        <f t="shared" si="16"/>
        <v>0</v>
      </c>
      <c r="L54" s="411">
        <f t="shared" si="16"/>
        <v>0</v>
      </c>
      <c r="M54" s="411">
        <f t="shared" si="16"/>
        <v>0</v>
      </c>
      <c r="N54" s="411">
        <f t="shared" si="16"/>
        <v>0</v>
      </c>
      <c r="O54" s="411">
        <f t="shared" si="16"/>
        <v>0</v>
      </c>
      <c r="P54" s="411">
        <f t="shared" si="16"/>
        <v>0</v>
      </c>
      <c r="Q54" s="411">
        <f t="shared" si="16"/>
        <v>0</v>
      </c>
      <c r="R54" s="411">
        <f t="shared" si="16"/>
        <v>0</v>
      </c>
      <c r="S54" s="411">
        <f t="shared" si="16"/>
        <v>0</v>
      </c>
      <c r="T54" s="411">
        <f t="shared" si="16"/>
        <v>0</v>
      </c>
      <c r="U54" s="411">
        <f t="shared" si="16"/>
        <v>0</v>
      </c>
    </row>
    <row r="56" spans="2:21" ht="21">
      <c r="B56" s="352" t="s">
        <v>371</v>
      </c>
      <c r="C56" s="351">
        <f>SUM(D54:U54)</f>
        <v>0</v>
      </c>
    </row>
    <row r="58" spans="2:21" ht="35" customHeight="1">
      <c r="D58" s="411">
        <f t="shared" ref="D58:U58" si="17">IF(D13=1,D18*(1-D29)/(D37*$C$32),0)</f>
        <v>0</v>
      </c>
      <c r="E58" s="411">
        <f t="shared" si="17"/>
        <v>0</v>
      </c>
      <c r="F58" s="411">
        <f t="shared" si="17"/>
        <v>0</v>
      </c>
      <c r="G58" s="411">
        <f t="shared" si="17"/>
        <v>0</v>
      </c>
      <c r="H58" s="411">
        <f t="shared" si="17"/>
        <v>0</v>
      </c>
      <c r="I58" s="411">
        <f t="shared" si="17"/>
        <v>0</v>
      </c>
      <c r="J58" s="411">
        <f t="shared" si="17"/>
        <v>0</v>
      </c>
      <c r="K58" s="411">
        <f t="shared" si="17"/>
        <v>0</v>
      </c>
      <c r="L58" s="411">
        <f t="shared" si="17"/>
        <v>0</v>
      </c>
      <c r="M58" s="411">
        <f t="shared" si="17"/>
        <v>0</v>
      </c>
      <c r="N58" s="411">
        <f t="shared" si="17"/>
        <v>0</v>
      </c>
      <c r="O58" s="411">
        <f t="shared" si="17"/>
        <v>0</v>
      </c>
      <c r="P58" s="411">
        <f t="shared" si="17"/>
        <v>0</v>
      </c>
      <c r="Q58" s="411">
        <f t="shared" si="17"/>
        <v>0</v>
      </c>
      <c r="R58" s="411">
        <f t="shared" si="17"/>
        <v>0</v>
      </c>
      <c r="S58" s="411">
        <f t="shared" si="17"/>
        <v>0</v>
      </c>
      <c r="T58" s="411">
        <f t="shared" si="17"/>
        <v>0</v>
      </c>
      <c r="U58" s="411">
        <f t="shared" si="17"/>
        <v>0</v>
      </c>
    </row>
    <row r="59" spans="2:21" ht="48.5" customHeight="1">
      <c r="D59" s="411">
        <f t="shared" ref="D59:U59" si="18">IF(D13=1,-D58*D44,0)</f>
        <v>0</v>
      </c>
      <c r="E59" s="411">
        <f t="shared" si="18"/>
        <v>0</v>
      </c>
      <c r="F59" s="411">
        <f t="shared" si="18"/>
        <v>0</v>
      </c>
      <c r="G59" s="411">
        <f t="shared" si="18"/>
        <v>0</v>
      </c>
      <c r="H59" s="411">
        <f t="shared" si="18"/>
        <v>0</v>
      </c>
      <c r="I59" s="411">
        <f t="shared" si="18"/>
        <v>0</v>
      </c>
      <c r="J59" s="411">
        <f t="shared" si="18"/>
        <v>0</v>
      </c>
      <c r="K59" s="411">
        <f t="shared" si="18"/>
        <v>0</v>
      </c>
      <c r="L59" s="411">
        <f t="shared" si="18"/>
        <v>0</v>
      </c>
      <c r="M59" s="411">
        <f t="shared" si="18"/>
        <v>0</v>
      </c>
      <c r="N59" s="411">
        <f t="shared" si="18"/>
        <v>0</v>
      </c>
      <c r="O59" s="411">
        <f t="shared" si="18"/>
        <v>0</v>
      </c>
      <c r="P59" s="411">
        <f t="shared" si="18"/>
        <v>0</v>
      </c>
      <c r="Q59" s="411">
        <f t="shared" si="18"/>
        <v>0</v>
      </c>
      <c r="R59" s="411">
        <f t="shared" si="18"/>
        <v>0</v>
      </c>
      <c r="S59" s="411">
        <f t="shared" si="18"/>
        <v>0</v>
      </c>
      <c r="T59" s="411">
        <f t="shared" si="18"/>
        <v>0</v>
      </c>
      <c r="U59" s="411">
        <f t="shared" si="18"/>
        <v>0</v>
      </c>
    </row>
    <row r="61" spans="2:21" ht="21">
      <c r="B61" s="352" t="s">
        <v>370</v>
      </c>
      <c r="C61" s="412">
        <f>SUM(D59:U59)</f>
        <v>0</v>
      </c>
    </row>
    <row r="63" spans="2:21" ht="21.4" thickBot="1">
      <c r="B63" s="350" t="s">
        <v>369</v>
      </c>
      <c r="C63" s="413">
        <f>C51+C56+C61</f>
        <v>0</v>
      </c>
    </row>
    <row r="67" spans="1:22" ht="21">
      <c r="A67" s="329" t="s">
        <v>368</v>
      </c>
      <c r="B67" s="328"/>
      <c r="C67" s="328"/>
    </row>
    <row r="69" spans="1:22">
      <c r="B69" t="s">
        <v>367</v>
      </c>
      <c r="D69" s="349"/>
      <c r="E69" s="349"/>
      <c r="F69" s="349"/>
      <c r="G69" s="349"/>
      <c r="H69" s="349"/>
      <c r="I69" s="349"/>
      <c r="J69" s="349"/>
      <c r="K69" s="349"/>
      <c r="L69" s="420"/>
      <c r="M69" s="420"/>
      <c r="N69" s="420"/>
      <c r="O69" s="420"/>
      <c r="P69" s="420"/>
      <c r="Q69" s="420"/>
      <c r="R69" s="420"/>
      <c r="S69" s="420"/>
      <c r="T69" s="420"/>
      <c r="U69" s="420"/>
    </row>
    <row r="70" spans="1:22">
      <c r="B70" t="s">
        <v>366</v>
      </c>
      <c r="D70" s="409">
        <f t="shared" ref="D70:U70" si="19">1/(2+D69)</f>
        <v>0.5</v>
      </c>
      <c r="E70" s="409">
        <f t="shared" si="19"/>
        <v>0.5</v>
      </c>
      <c r="F70" s="409">
        <f t="shared" si="19"/>
        <v>0.5</v>
      </c>
      <c r="G70" s="409">
        <f t="shared" si="19"/>
        <v>0.5</v>
      </c>
      <c r="H70" s="409">
        <f t="shared" si="19"/>
        <v>0.5</v>
      </c>
      <c r="I70" s="409">
        <f t="shared" si="19"/>
        <v>0.5</v>
      </c>
      <c r="J70" s="409">
        <f t="shared" si="19"/>
        <v>0.5</v>
      </c>
      <c r="K70" s="409">
        <f t="shared" si="19"/>
        <v>0.5</v>
      </c>
      <c r="L70" s="409">
        <f t="shared" si="19"/>
        <v>0.5</v>
      </c>
      <c r="M70" s="409">
        <f t="shared" si="19"/>
        <v>0.5</v>
      </c>
      <c r="N70" s="409">
        <f t="shared" si="19"/>
        <v>0.5</v>
      </c>
      <c r="O70" s="409">
        <f t="shared" si="19"/>
        <v>0.5</v>
      </c>
      <c r="P70" s="409">
        <f t="shared" si="19"/>
        <v>0.5</v>
      </c>
      <c r="Q70" s="409">
        <f t="shared" si="19"/>
        <v>0.5</v>
      </c>
      <c r="R70" s="409">
        <f t="shared" si="19"/>
        <v>0.5</v>
      </c>
      <c r="S70" s="409">
        <f t="shared" si="19"/>
        <v>0.5</v>
      </c>
      <c r="T70" s="409">
        <f t="shared" si="19"/>
        <v>0.5</v>
      </c>
      <c r="U70" s="409">
        <f t="shared" si="19"/>
        <v>0.5</v>
      </c>
    </row>
    <row r="71" spans="1:22" ht="42.75" customHeight="1">
      <c r="D71" s="432">
        <f t="shared" ref="D71:U71" si="20">IF(D9=rr_num+1,1/(1+D69),IF(D9&lt;=rr_num,0,C71/(1+D69)))</f>
        <v>0</v>
      </c>
      <c r="E71" s="432">
        <f t="shared" si="20"/>
        <v>0</v>
      </c>
      <c r="F71" s="432">
        <f t="shared" si="20"/>
        <v>0</v>
      </c>
      <c r="G71" s="432">
        <f t="shared" si="20"/>
        <v>0</v>
      </c>
      <c r="H71" s="432">
        <f t="shared" si="20"/>
        <v>0</v>
      </c>
      <c r="I71" s="432">
        <f t="shared" si="20"/>
        <v>0</v>
      </c>
      <c r="J71" s="432">
        <f t="shared" si="20"/>
        <v>0</v>
      </c>
      <c r="K71" s="432">
        <f t="shared" si="20"/>
        <v>0</v>
      </c>
      <c r="L71" s="432">
        <f t="shared" si="20"/>
        <v>0</v>
      </c>
      <c r="M71" s="432">
        <f t="shared" si="20"/>
        <v>0</v>
      </c>
      <c r="N71" s="432">
        <f t="shared" si="20"/>
        <v>0</v>
      </c>
      <c r="O71" s="432">
        <f t="shared" si="20"/>
        <v>0</v>
      </c>
      <c r="P71" s="432">
        <f t="shared" si="20"/>
        <v>0</v>
      </c>
      <c r="Q71" s="432">
        <f t="shared" si="20"/>
        <v>0</v>
      </c>
      <c r="R71" s="432">
        <f t="shared" si="20"/>
        <v>0</v>
      </c>
      <c r="S71" s="432">
        <f t="shared" si="20"/>
        <v>0</v>
      </c>
      <c r="T71" s="432">
        <f t="shared" si="20"/>
        <v>0</v>
      </c>
      <c r="U71" s="432">
        <f t="shared" si="20"/>
        <v>1</v>
      </c>
    </row>
    <row r="72" spans="1:22" ht="42.75" customHeight="1">
      <c r="D72" s="414">
        <f t="shared" ref="D72:U72" si="21">(1+D70*D69)*D71</f>
        <v>0</v>
      </c>
      <c r="E72" s="414">
        <f t="shared" si="21"/>
        <v>0</v>
      </c>
      <c r="F72" s="414">
        <f t="shared" si="21"/>
        <v>0</v>
      </c>
      <c r="G72" s="414">
        <f t="shared" si="21"/>
        <v>0</v>
      </c>
      <c r="H72" s="414">
        <f t="shared" si="21"/>
        <v>0</v>
      </c>
      <c r="I72" s="414">
        <f t="shared" si="21"/>
        <v>0</v>
      </c>
      <c r="J72" s="414">
        <f t="shared" si="21"/>
        <v>0</v>
      </c>
      <c r="K72" s="414">
        <f t="shared" si="21"/>
        <v>0</v>
      </c>
      <c r="L72" s="414">
        <f t="shared" si="21"/>
        <v>0</v>
      </c>
      <c r="M72" s="414">
        <f t="shared" si="21"/>
        <v>0</v>
      </c>
      <c r="N72" s="414">
        <f t="shared" si="21"/>
        <v>0</v>
      </c>
      <c r="O72" s="414">
        <f t="shared" si="21"/>
        <v>0</v>
      </c>
      <c r="P72" s="414">
        <f t="shared" si="21"/>
        <v>0</v>
      </c>
      <c r="Q72" s="414">
        <f t="shared" si="21"/>
        <v>0</v>
      </c>
      <c r="R72" s="414">
        <f t="shared" si="21"/>
        <v>0</v>
      </c>
      <c r="S72" s="414">
        <f t="shared" si="21"/>
        <v>0</v>
      </c>
      <c r="T72" s="414">
        <f t="shared" si="21"/>
        <v>0</v>
      </c>
      <c r="U72" s="414">
        <f t="shared" si="21"/>
        <v>1</v>
      </c>
    </row>
    <row r="73" spans="1:22" s="346" customFormat="1" ht="22.5" customHeight="1">
      <c r="B73" s="346" t="s">
        <v>365</v>
      </c>
      <c r="D73" s="347"/>
      <c r="E73" s="347"/>
      <c r="F73" s="347"/>
      <c r="G73" s="347"/>
      <c r="H73" s="347"/>
      <c r="I73" s="347"/>
      <c r="J73" s="347"/>
      <c r="K73" s="347"/>
      <c r="L73" s="421"/>
      <c r="M73" s="421"/>
      <c r="N73" s="421"/>
      <c r="O73" s="421"/>
      <c r="P73" s="421"/>
      <c r="Q73" s="421"/>
      <c r="R73" s="421"/>
      <c r="S73" s="421"/>
      <c r="T73" s="421"/>
      <c r="U73" s="421">
        <f t="array" ref="U73">(C87-SUM(D73:T73*D72:T72))/U72</f>
        <v>0</v>
      </c>
      <c r="V73" s="472" t="s">
        <v>364</v>
      </c>
    </row>
    <row r="74" spans="1:22" ht="14.65" thickBot="1">
      <c r="B74" t="s">
        <v>363</v>
      </c>
      <c r="D74" s="345">
        <f t="shared" ref="D74:U74" si="22">D73*D72</f>
        <v>0</v>
      </c>
      <c r="E74" s="345">
        <f t="shared" si="22"/>
        <v>0</v>
      </c>
      <c r="F74" s="345">
        <f t="shared" si="22"/>
        <v>0</v>
      </c>
      <c r="G74" s="345">
        <f t="shared" si="22"/>
        <v>0</v>
      </c>
      <c r="H74" s="345">
        <f t="shared" si="22"/>
        <v>0</v>
      </c>
      <c r="I74" s="345">
        <f t="shared" si="22"/>
        <v>0</v>
      </c>
      <c r="J74" s="345">
        <f t="shared" si="22"/>
        <v>0</v>
      </c>
      <c r="K74" s="345">
        <f t="shared" si="22"/>
        <v>0</v>
      </c>
      <c r="L74" s="345">
        <f t="shared" si="22"/>
        <v>0</v>
      </c>
      <c r="M74" s="345">
        <f t="shared" si="22"/>
        <v>0</v>
      </c>
      <c r="N74" s="345">
        <f t="shared" si="22"/>
        <v>0</v>
      </c>
      <c r="O74" s="345">
        <f t="shared" si="22"/>
        <v>0</v>
      </c>
      <c r="P74" s="345">
        <f t="shared" si="22"/>
        <v>0</v>
      </c>
      <c r="Q74" s="345">
        <f t="shared" si="22"/>
        <v>0</v>
      </c>
      <c r="R74" s="345">
        <f t="shared" si="22"/>
        <v>0</v>
      </c>
      <c r="S74" s="345">
        <f t="shared" si="22"/>
        <v>0</v>
      </c>
      <c r="T74" s="345">
        <f t="shared" si="22"/>
        <v>0</v>
      </c>
      <c r="U74" s="345">
        <f t="shared" si="22"/>
        <v>0</v>
      </c>
      <c r="V74" s="472"/>
    </row>
    <row r="75" spans="1:22" ht="14.65" thickBot="1">
      <c r="B75" s="344" t="s">
        <v>362</v>
      </c>
      <c r="C75" s="417">
        <f>SUM(D74:U74)</f>
        <v>0</v>
      </c>
      <c r="D75" s="332"/>
      <c r="E75" s="332"/>
      <c r="F75" s="332"/>
      <c r="G75" s="332"/>
      <c r="H75" s="332"/>
      <c r="I75" s="332"/>
      <c r="J75" s="332"/>
      <c r="K75" s="332"/>
      <c r="L75" s="332"/>
      <c r="M75" s="332"/>
      <c r="N75" s="332"/>
      <c r="O75" s="332"/>
      <c r="P75" s="332"/>
      <c r="Q75" s="332"/>
      <c r="R75" s="332"/>
      <c r="S75" s="332"/>
      <c r="T75" s="332"/>
      <c r="U75" s="332"/>
      <c r="V75" s="472"/>
    </row>
    <row r="76" spans="1:22">
      <c r="B76" s="4"/>
      <c r="C76" s="343"/>
      <c r="D76" s="332"/>
      <c r="E76" s="332"/>
      <c r="F76" s="332"/>
      <c r="G76" s="332"/>
      <c r="H76" s="332"/>
      <c r="I76" s="332"/>
      <c r="J76" s="332"/>
      <c r="K76" s="332"/>
      <c r="L76" s="332"/>
      <c r="M76" s="332"/>
      <c r="N76" s="332"/>
      <c r="O76" s="332"/>
      <c r="P76" s="332"/>
      <c r="Q76" s="332"/>
      <c r="R76" s="332"/>
      <c r="S76" s="332"/>
      <c r="T76" s="332"/>
      <c r="U76" s="332"/>
      <c r="V76" s="472"/>
    </row>
    <row r="77" spans="1:22" s="341" customFormat="1">
      <c r="B77" s="341" t="s">
        <v>361</v>
      </c>
      <c r="C77" s="342"/>
      <c r="D77" s="431" t="e">
        <f>D73+INDEX('P1.6 IBAPA and PBAPA - L1'!9:9,MATCH(D10,'P1.6 IBAPA and PBAPA - L1'!4:4,0))</f>
        <v>#N/A</v>
      </c>
      <c r="E77" s="431" t="e">
        <f>E73+INDEX('P1.6 IBAPA and PBAPA - L1'!9:9,MATCH(E10,'P1.6 IBAPA and PBAPA - L1'!4:4,0))</f>
        <v>#N/A</v>
      </c>
      <c r="F77" s="431" t="e">
        <f>F73+INDEX('P1.6 IBAPA and PBAPA - L1'!9:9,MATCH(F10,'P1.6 IBAPA and PBAPA - L1'!4:4,0))</f>
        <v>#N/A</v>
      </c>
      <c r="G77" s="431" t="e">
        <f>G73+INDEX('P1.6 IBAPA and PBAPA - L1'!9:9,MATCH(G10,'P1.6 IBAPA and PBAPA - L1'!4:4,0))</f>
        <v>#N/A</v>
      </c>
      <c r="H77" s="431" t="e">
        <f>H73+INDEX('P1.6 IBAPA and PBAPA - L1'!9:9,MATCH(H10,'P1.6 IBAPA and PBAPA - L1'!4:4,0))</f>
        <v>#N/A</v>
      </c>
      <c r="I77" s="431" t="e">
        <f>I73+INDEX('P1.6 IBAPA and PBAPA - L1'!9:9,MATCH(I10,'P1.6 IBAPA and PBAPA - L1'!4:4,0))</f>
        <v>#N/A</v>
      </c>
      <c r="J77" s="431" t="e">
        <f>J73+INDEX('P1.6 IBAPA and PBAPA - L1'!9:9,MATCH(J10,'P1.6 IBAPA and PBAPA - L1'!4:4,0))</f>
        <v>#N/A</v>
      </c>
      <c r="K77" s="431" t="e">
        <f>K73+INDEX('P1.6 IBAPA and PBAPA - L1'!9:9,MATCH(K10,'P1.6 IBAPA and PBAPA - L1'!4:4,0))</f>
        <v>#N/A</v>
      </c>
      <c r="L77" s="431" t="e">
        <f>L73+INDEX('P1.6 IBAPA and PBAPA - L1'!9:9,MATCH(L10,'P1.6 IBAPA and PBAPA - L1'!4:4,0))</f>
        <v>#N/A</v>
      </c>
      <c r="M77" s="431" t="e">
        <f>M73+INDEX('P1.6 IBAPA and PBAPA - L1'!9:9,MATCH(M10,'P1.6 IBAPA and PBAPA - L1'!4:4,0))</f>
        <v>#N/A</v>
      </c>
      <c r="N77" s="431" t="e">
        <f>N73+INDEX('P1.6 IBAPA and PBAPA - L1'!9:9,MATCH(N10,'P1.6 IBAPA and PBAPA - L1'!4:4,0))</f>
        <v>#N/A</v>
      </c>
      <c r="O77" s="431" t="e">
        <f>O73+INDEX('P1.6 IBAPA and PBAPA - L1'!9:9,MATCH(O10,'P1.6 IBAPA and PBAPA - L1'!4:4,0))</f>
        <v>#N/A</v>
      </c>
      <c r="P77" s="431" t="e">
        <f>P73+INDEX('P1.6 IBAPA and PBAPA - L1'!9:9,MATCH(P10,'P1.6 IBAPA and PBAPA - L1'!4:4,0))</f>
        <v>#N/A</v>
      </c>
      <c r="Q77" s="431" t="e">
        <f>Q73+INDEX('P1.6 IBAPA and PBAPA - L1'!9:9,MATCH(Q10,'P1.6 IBAPA and PBAPA - L1'!4:4,0))</f>
        <v>#N/A</v>
      </c>
      <c r="R77" s="431" t="e">
        <f>R73+INDEX('P1.6 IBAPA and PBAPA - L1'!9:9,MATCH(R10,'P1.6 IBAPA and PBAPA - L1'!4:4,0))</f>
        <v>#N/A</v>
      </c>
      <c r="S77" s="431">
        <f ca="1">S73+INDEX('P1.6 IBAPA and PBAPA - L1'!9:9,MATCH(S10,'P1.6 IBAPA and PBAPA - L1'!4:4,0))</f>
        <v>0</v>
      </c>
      <c r="T77" s="431">
        <f ca="1">T73+INDEX('P1.6 IBAPA and PBAPA - L1'!9:9,MATCH(T10,'P1.6 IBAPA and PBAPA - L1'!4:4,0))</f>
        <v>0</v>
      </c>
      <c r="U77" s="431">
        <f>U73+INDEX('P1.6 IBAPA and PBAPA - L1'!9:9,MATCH(U10,'P1.6 IBAPA and PBAPA - L1'!4:4,0))</f>
        <v>0</v>
      </c>
      <c r="V77" s="472"/>
    </row>
    <row r="78" spans="1:22" s="338" customFormat="1">
      <c r="B78" s="338" t="s">
        <v>360</v>
      </c>
      <c r="C78" s="339"/>
      <c r="D78" s="340"/>
      <c r="E78" s="340"/>
      <c r="F78" s="340"/>
      <c r="G78" s="340"/>
      <c r="H78" s="340"/>
      <c r="I78" s="340"/>
      <c r="J78" s="340"/>
      <c r="K78" s="340"/>
      <c r="L78" s="340"/>
      <c r="M78" s="340"/>
      <c r="N78" s="340"/>
      <c r="O78" s="340"/>
      <c r="P78" s="340"/>
      <c r="Q78" s="340"/>
      <c r="R78" s="340"/>
      <c r="S78" s="340"/>
      <c r="T78" s="340"/>
      <c r="U78" s="340"/>
      <c r="V78" s="472"/>
    </row>
    <row r="79" spans="1:22" s="338" customFormat="1" ht="14.65" thickBot="1">
      <c r="B79" s="338" t="s">
        <v>359</v>
      </c>
      <c r="C79" s="339"/>
      <c r="D79" s="427" t="e">
        <f t="shared" ref="D79:U79" si="23">SUM(D77:D78)</f>
        <v>#N/A</v>
      </c>
      <c r="E79" s="427" t="e">
        <f t="shared" si="23"/>
        <v>#N/A</v>
      </c>
      <c r="F79" s="427" t="e">
        <f t="shared" si="23"/>
        <v>#N/A</v>
      </c>
      <c r="G79" s="427" t="e">
        <f t="shared" si="23"/>
        <v>#N/A</v>
      </c>
      <c r="H79" s="427" t="e">
        <f t="shared" si="23"/>
        <v>#N/A</v>
      </c>
      <c r="I79" s="427" t="e">
        <f t="shared" si="23"/>
        <v>#N/A</v>
      </c>
      <c r="J79" s="427" t="e">
        <f t="shared" si="23"/>
        <v>#N/A</v>
      </c>
      <c r="K79" s="427" t="e">
        <f t="shared" si="23"/>
        <v>#N/A</v>
      </c>
      <c r="L79" s="427" t="e">
        <f t="shared" si="23"/>
        <v>#N/A</v>
      </c>
      <c r="M79" s="427" t="e">
        <f t="shared" si="23"/>
        <v>#N/A</v>
      </c>
      <c r="N79" s="427" t="e">
        <f t="shared" si="23"/>
        <v>#N/A</v>
      </c>
      <c r="O79" s="427" t="e">
        <f t="shared" si="23"/>
        <v>#N/A</v>
      </c>
      <c r="P79" s="427" t="e">
        <f t="shared" si="23"/>
        <v>#N/A</v>
      </c>
      <c r="Q79" s="427" t="e">
        <f t="shared" si="23"/>
        <v>#N/A</v>
      </c>
      <c r="R79" s="427" t="e">
        <f t="shared" si="23"/>
        <v>#N/A</v>
      </c>
      <c r="S79" s="427">
        <f t="shared" ca="1" si="23"/>
        <v>0</v>
      </c>
      <c r="T79" s="427">
        <f t="shared" ca="1" si="23"/>
        <v>0</v>
      </c>
      <c r="U79" s="427">
        <f t="shared" si="23"/>
        <v>0</v>
      </c>
      <c r="V79" s="472"/>
    </row>
    <row r="80" spans="1:22">
      <c r="C80" s="337"/>
      <c r="D80" s="327"/>
      <c r="E80" s="327"/>
      <c r="F80" s="327"/>
      <c r="G80" s="327"/>
      <c r="H80" s="327"/>
      <c r="I80" s="327"/>
      <c r="J80" s="327"/>
      <c r="K80" s="327"/>
      <c r="L80" s="327"/>
      <c r="M80" s="327"/>
      <c r="N80" s="327"/>
      <c r="O80" s="327"/>
      <c r="P80" s="327"/>
      <c r="Q80" s="327"/>
      <c r="R80" s="327"/>
      <c r="S80" s="327"/>
      <c r="T80" s="327"/>
      <c r="U80" s="327"/>
      <c r="V80" s="472"/>
    </row>
    <row r="81" spans="1:22">
      <c r="B81" t="s">
        <v>358</v>
      </c>
      <c r="C81" s="335">
        <f>'P1.6 IBAPA and PBAPA - L1'!C16</f>
        <v>0</v>
      </c>
      <c r="D81" s="327"/>
      <c r="E81" s="327"/>
      <c r="F81" s="327"/>
      <c r="G81" s="327"/>
      <c r="H81" s="327"/>
      <c r="I81" s="327"/>
      <c r="J81" s="327"/>
      <c r="K81" s="327"/>
      <c r="L81" s="327"/>
      <c r="M81" s="327"/>
      <c r="N81" s="327"/>
      <c r="O81" s="327"/>
      <c r="P81" s="327"/>
      <c r="Q81" s="327"/>
      <c r="R81" s="327"/>
      <c r="S81" s="327"/>
      <c r="T81" s="327"/>
      <c r="U81" s="327"/>
      <c r="V81" s="336"/>
    </row>
    <row r="82" spans="1:22">
      <c r="B82" t="s">
        <v>357</v>
      </c>
      <c r="C82" s="430">
        <f>INDEX($D$44:$U$44,MATCH(rr_num-1,$D$9:$U$9,0))</f>
        <v>1</v>
      </c>
      <c r="D82" s="327"/>
      <c r="E82" s="327"/>
      <c r="F82" s="327"/>
      <c r="G82" s="327"/>
      <c r="H82" s="327"/>
      <c r="I82" s="327"/>
      <c r="J82" s="327"/>
      <c r="K82" s="327"/>
      <c r="L82" s="327"/>
      <c r="M82" s="327"/>
      <c r="N82" s="327"/>
      <c r="O82" s="327"/>
      <c r="P82" s="327"/>
      <c r="Q82" s="327"/>
      <c r="R82" s="327"/>
      <c r="S82" s="327"/>
      <c r="T82" s="327"/>
      <c r="U82" s="327"/>
      <c r="V82" s="336"/>
    </row>
    <row r="83" spans="1:22">
      <c r="B83" t="s">
        <v>356</v>
      </c>
      <c r="C83" s="415">
        <f>C81*C82</f>
        <v>0</v>
      </c>
      <c r="D83" s="327"/>
      <c r="E83" s="327"/>
      <c r="F83" s="327"/>
      <c r="G83" s="327"/>
      <c r="H83" s="327"/>
      <c r="I83" s="327"/>
      <c r="J83" s="327"/>
      <c r="K83" s="327"/>
      <c r="L83" s="327"/>
      <c r="M83" s="327"/>
      <c r="N83" s="327"/>
      <c r="O83" s="327"/>
      <c r="P83" s="327"/>
      <c r="Q83" s="327"/>
      <c r="R83" s="327"/>
      <c r="S83" s="327"/>
      <c r="T83" s="327"/>
      <c r="U83" s="327"/>
      <c r="V83" s="336"/>
    </row>
    <row r="84" spans="1:22">
      <c r="B84" t="s">
        <v>355</v>
      </c>
      <c r="C84" s="401"/>
      <c r="D84" s="327"/>
      <c r="E84" s="327"/>
      <c r="F84" s="327"/>
      <c r="G84" s="327"/>
      <c r="H84" s="327"/>
      <c r="I84" s="327"/>
      <c r="J84" s="327"/>
      <c r="K84" s="327"/>
      <c r="L84" s="327"/>
      <c r="M84" s="327"/>
      <c r="N84" s="327"/>
      <c r="O84" s="327"/>
      <c r="P84" s="327"/>
      <c r="Q84" s="327"/>
      <c r="R84" s="327"/>
      <c r="S84" s="327"/>
      <c r="T84" s="327"/>
      <c r="U84" s="327"/>
      <c r="V84" s="336"/>
    </row>
    <row r="85" spans="1:22">
      <c r="B85" t="s">
        <v>354</v>
      </c>
      <c r="C85" s="415">
        <f>C83+C84</f>
        <v>0</v>
      </c>
      <c r="D85" s="327"/>
      <c r="E85" s="327"/>
      <c r="F85" s="327"/>
      <c r="G85" s="327"/>
      <c r="H85" s="327"/>
      <c r="I85" s="327"/>
      <c r="J85" s="327"/>
      <c r="K85" s="327"/>
      <c r="L85" s="327"/>
      <c r="M85" s="327"/>
      <c r="N85" s="327"/>
      <c r="O85" s="327"/>
      <c r="P85" s="327"/>
      <c r="Q85" s="327"/>
      <c r="R85" s="327"/>
      <c r="S85" s="327"/>
      <c r="T85" s="327"/>
      <c r="U85" s="327"/>
    </row>
    <row r="86" spans="1:22">
      <c r="B86" t="s">
        <v>353</v>
      </c>
      <c r="C86" s="416">
        <f>C63</f>
        <v>0</v>
      </c>
      <c r="D86" s="327"/>
      <c r="E86" s="327"/>
      <c r="F86" s="327"/>
      <c r="G86" s="327"/>
      <c r="H86" s="327"/>
      <c r="I86" s="327"/>
      <c r="J86" s="327"/>
      <c r="K86" s="327"/>
      <c r="L86" s="327"/>
      <c r="M86" s="327"/>
      <c r="N86" s="327"/>
      <c r="O86" s="327"/>
      <c r="P86" s="327"/>
      <c r="Q86" s="327"/>
      <c r="R86" s="327"/>
      <c r="S86" s="327"/>
      <c r="T86" s="327"/>
      <c r="U86" s="327"/>
    </row>
    <row r="87" spans="1:22" ht="14.65" thickBot="1">
      <c r="B87" s="334" t="s">
        <v>352</v>
      </c>
      <c r="C87" s="417">
        <f>C85+C86</f>
        <v>0</v>
      </c>
      <c r="D87" s="327"/>
      <c r="E87" s="327"/>
      <c r="F87" s="327"/>
      <c r="G87" s="327"/>
      <c r="H87" s="327"/>
      <c r="I87" s="327"/>
      <c r="J87" s="327"/>
      <c r="K87" s="327"/>
      <c r="L87" s="327"/>
      <c r="M87" s="327"/>
      <c r="N87" s="327"/>
      <c r="O87" s="327"/>
      <c r="P87" s="327"/>
      <c r="Q87" s="327"/>
      <c r="R87" s="327"/>
      <c r="S87" s="327"/>
      <c r="T87" s="327"/>
      <c r="U87" s="327"/>
    </row>
    <row r="88" spans="1:22">
      <c r="B88" s="4"/>
      <c r="C88" s="332"/>
      <c r="D88" s="327"/>
      <c r="E88" s="327"/>
      <c r="F88" s="327"/>
      <c r="G88" s="327"/>
      <c r="H88" s="327"/>
      <c r="I88" s="327"/>
      <c r="J88" s="327"/>
      <c r="K88" s="327"/>
      <c r="L88" s="327"/>
      <c r="M88" s="327"/>
      <c r="N88" s="327"/>
      <c r="O88" s="327"/>
      <c r="P88" s="327"/>
      <c r="Q88" s="327"/>
      <c r="R88" s="327"/>
      <c r="S88" s="327"/>
      <c r="T88" s="327"/>
      <c r="U88" s="327"/>
    </row>
    <row r="89" spans="1:22">
      <c r="B89" s="4"/>
      <c r="C89" s="332"/>
      <c r="D89" s="327"/>
      <c r="E89" s="327"/>
      <c r="F89" s="327"/>
      <c r="G89" s="327"/>
      <c r="H89" s="327"/>
      <c r="I89" s="327"/>
      <c r="J89" s="327"/>
      <c r="K89" s="327"/>
      <c r="L89" s="327"/>
      <c r="M89" s="327"/>
      <c r="N89" s="327"/>
      <c r="O89" s="327"/>
      <c r="P89" s="327"/>
      <c r="Q89" s="327"/>
      <c r="R89" s="327"/>
      <c r="S89" s="327"/>
      <c r="T89" s="327"/>
      <c r="U89" s="327"/>
    </row>
    <row r="90" spans="1:22">
      <c r="B90" s="333" t="s">
        <v>351</v>
      </c>
      <c r="C90" s="332"/>
      <c r="D90" s="327"/>
      <c r="E90" s="327"/>
      <c r="F90" s="327"/>
      <c r="G90" s="327"/>
      <c r="H90" s="327"/>
      <c r="I90" s="327"/>
      <c r="J90" s="327"/>
      <c r="K90" s="327"/>
      <c r="L90" s="327"/>
      <c r="M90" s="327"/>
      <c r="N90" s="327"/>
      <c r="O90" s="327"/>
      <c r="P90" s="327"/>
      <c r="Q90" s="327"/>
      <c r="R90" s="327"/>
      <c r="S90" s="327"/>
      <c r="T90" s="327"/>
      <c r="U90" s="327"/>
    </row>
    <row r="91" spans="1:22" ht="21.4" thickBot="1">
      <c r="B91" s="331">
        <f>C75</f>
        <v>0</v>
      </c>
      <c r="C91" s="330">
        <f>C87</f>
        <v>0</v>
      </c>
    </row>
    <row r="94" spans="1:22" ht="21">
      <c r="A94" s="329" t="s">
        <v>350</v>
      </c>
      <c r="B94" s="328"/>
      <c r="C94" s="328"/>
    </row>
    <row r="96" spans="1:22">
      <c r="B96" t="s">
        <v>349</v>
      </c>
      <c r="C96" s="418">
        <f>C51</f>
        <v>0</v>
      </c>
    </row>
    <row r="97" spans="2:3" ht="14.65" thickBot="1">
      <c r="B97" s="326" t="s">
        <v>348</v>
      </c>
      <c r="C97" s="419">
        <f>C56</f>
        <v>0</v>
      </c>
    </row>
  </sheetData>
  <mergeCells count="1">
    <mergeCell ref="V73:V80"/>
  </mergeCells>
  <conditionalFormatting sqref="D11:U11">
    <cfRule type="cellIs" dxfId="43" priority="22" operator="equal">
      <formula>1</formula>
    </cfRule>
  </conditionalFormatting>
  <conditionalFormatting sqref="D12:U12">
    <cfRule type="cellIs" dxfId="42" priority="21" operator="equal">
      <formula>1</formula>
    </cfRule>
  </conditionalFormatting>
  <conditionalFormatting sqref="D28:U28">
    <cfRule type="expression" dxfId="41" priority="20">
      <formula>D27&gt;0</formula>
    </cfRule>
  </conditionalFormatting>
  <conditionalFormatting sqref="D32:U32">
    <cfRule type="cellIs" dxfId="40" priority="19" operator="equal">
      <formula>0</formula>
    </cfRule>
  </conditionalFormatting>
  <conditionalFormatting sqref="D54:U54 I50">
    <cfRule type="expression" dxfId="39" priority="18">
      <formula>D8=1</formula>
    </cfRule>
  </conditionalFormatting>
  <conditionalFormatting sqref="D13:U14">
    <cfRule type="cellIs" dxfId="38" priority="17" operator="equal">
      <formula>1</formula>
    </cfRule>
  </conditionalFormatting>
  <conditionalFormatting sqref="I45">
    <cfRule type="expression" dxfId="37" priority="16">
      <formula>#REF!=1</formula>
    </cfRule>
  </conditionalFormatting>
  <conditionalFormatting sqref="D59:U59">
    <cfRule type="expression" dxfId="36" priority="15">
      <formula>OR(D12=1,D13=1)</formula>
    </cfRule>
  </conditionalFormatting>
  <conditionalFormatting sqref="D14:U14">
    <cfRule type="cellIs" dxfId="35" priority="14" operator="equal">
      <formula>1</formula>
    </cfRule>
  </conditionalFormatting>
  <conditionalFormatting sqref="D69:D70">
    <cfRule type="expression" dxfId="34" priority="13">
      <formula>D$14=0</formula>
    </cfRule>
  </conditionalFormatting>
  <conditionalFormatting sqref="E69:U70">
    <cfRule type="expression" dxfId="33" priority="12">
      <formula>E$14=0</formula>
    </cfRule>
  </conditionalFormatting>
  <conditionalFormatting sqref="D73">
    <cfRule type="expression" dxfId="32" priority="11">
      <formula>D$14=0</formula>
    </cfRule>
  </conditionalFormatting>
  <conditionalFormatting sqref="E73:U73">
    <cfRule type="expression" dxfId="31" priority="10">
      <formula>E$14=0</formula>
    </cfRule>
  </conditionalFormatting>
  <conditionalFormatting sqref="L35:U37">
    <cfRule type="expression" dxfId="30" priority="9">
      <formula>L$14=1</formula>
    </cfRule>
  </conditionalFormatting>
  <conditionalFormatting sqref="D35:K37">
    <cfRule type="expression" dxfId="29" priority="8">
      <formula>D$14=1</formula>
    </cfRule>
  </conditionalFormatting>
  <conditionalFormatting sqref="D17:D20 E19:U20">
    <cfRule type="expression" dxfId="28" priority="7">
      <formula>D$9&gt;rr_num</formula>
    </cfRule>
  </conditionalFormatting>
  <conditionalFormatting sqref="E17:U18">
    <cfRule type="expression" dxfId="27" priority="6">
      <formula>E$9&gt;rr_num</formula>
    </cfRule>
  </conditionalFormatting>
  <conditionalFormatting sqref="D22:D23">
    <cfRule type="expression" dxfId="26" priority="5">
      <formula>D$9&gt;=rr_num-1</formula>
    </cfRule>
  </conditionalFormatting>
  <conditionalFormatting sqref="E22:U23">
    <cfRule type="expression" dxfId="25" priority="4">
      <formula>E$9&gt;=rr_num-1</formula>
    </cfRule>
  </conditionalFormatting>
  <conditionalFormatting sqref="D24:U24">
    <cfRule type="expression" dxfId="24" priority="3">
      <formula>D$9&gt;=rr_num-1</formula>
    </cfRule>
  </conditionalFormatting>
  <conditionalFormatting sqref="D77:U79">
    <cfRule type="expression" dxfId="23" priority="2">
      <formula>D$14=0</formula>
    </cfRule>
  </conditionalFormatting>
  <conditionalFormatting sqref="D21:U21">
    <cfRule type="expression" dxfId="22" priority="1">
      <formula>D$9&gt;rr_num</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8" r:id="rId4" name="Drop Down 2">
              <controlPr defaultSize="0" autoLine="0" autoPict="0">
                <anchor moveWithCells="1">
                  <from>
                    <xdr:col>2</xdr:col>
                    <xdr:colOff>0</xdr:colOff>
                    <xdr:row>3</xdr:row>
                    <xdr:rowOff>176213</xdr:rowOff>
                  </from>
                  <to>
                    <xdr:col>3</xdr:col>
                    <xdr:colOff>0</xdr:colOff>
                    <xdr:row>4</xdr:row>
                    <xdr:rowOff>200025</xdr:rowOff>
                  </to>
                </anchor>
              </controlPr>
            </control>
          </mc:Choice>
        </mc:AlternateContent>
        <mc:AlternateContent xmlns:mc="http://schemas.openxmlformats.org/markup-compatibility/2006">
          <mc:Choice Requires="x14">
            <control shapeId="14339" r:id="rId5" name="Drop Down 3">
              <controlPr defaultSize="0" autoLine="0" autoPict="0">
                <anchor moveWithCells="1">
                  <from>
                    <xdr:col>2</xdr:col>
                    <xdr:colOff>0</xdr:colOff>
                    <xdr:row>4</xdr:row>
                    <xdr:rowOff>200025</xdr:rowOff>
                  </from>
                  <to>
                    <xdr:col>3</xdr:col>
                    <xdr:colOff>0</xdr:colOff>
                    <xdr:row>5</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AM50"/>
  <sheetViews>
    <sheetView showGridLines="0" zoomScaleNormal="100" workbookViewId="0">
      <pane xSplit="4" topLeftCell="AD1" activePane="topRight" state="frozenSplit"/>
      <selection activeCell="J7" sqref="J7"/>
      <selection pane="topRight" activeCell="AH8" sqref="AH8"/>
    </sheetView>
  </sheetViews>
  <sheetFormatPr defaultRowHeight="14.25"/>
  <cols>
    <col min="1" max="1" width="10.19921875" customWidth="1"/>
    <col min="2" max="2" width="28.86328125" customWidth="1"/>
    <col min="3" max="3" width="15.1328125" customWidth="1"/>
    <col min="4" max="4" width="3.6640625" customWidth="1"/>
    <col min="5" max="5" width="35.59765625" customWidth="1"/>
    <col min="8" max="8" width="17.3984375" bestFit="1" customWidth="1"/>
    <col min="9" max="9" width="14.1328125" customWidth="1"/>
    <col min="10" max="24" width="11.59765625" bestFit="1" customWidth="1"/>
    <col min="25" max="39" width="10.6640625" bestFit="1" customWidth="1"/>
  </cols>
  <sheetData>
    <row r="1" spans="1:39" s="367" customFormat="1" ht="20.65">
      <c r="A1" s="265" t="s">
        <v>467</v>
      </c>
      <c r="B1" s="265"/>
      <c r="C1" s="225"/>
      <c r="D1" s="389" t="s">
        <v>512</v>
      </c>
      <c r="E1" s="225"/>
      <c r="F1" s="225"/>
      <c r="G1" s="225"/>
      <c r="H1" s="225"/>
      <c r="I1" s="225"/>
      <c r="J1" s="225"/>
      <c r="K1" s="225"/>
      <c r="L1" s="225"/>
      <c r="M1" s="225"/>
      <c r="N1" s="225"/>
      <c r="O1" s="225"/>
      <c r="P1" s="225"/>
      <c r="Q1" s="225"/>
      <c r="R1" s="225"/>
      <c r="S1" s="225"/>
    </row>
    <row r="2" spans="1:39" s="367" customFormat="1" ht="20.65">
      <c r="A2" s="265" t="str">
        <f>+'Pension Pack cover'!D14</f>
        <v>Licensee 1</v>
      </c>
      <c r="B2" s="265"/>
      <c r="C2" s="225"/>
      <c r="D2" s="389" t="s">
        <v>513</v>
      </c>
      <c r="E2" s="225"/>
      <c r="F2" s="225"/>
      <c r="G2" s="225"/>
      <c r="H2" s="225"/>
      <c r="I2" s="225"/>
      <c r="J2" s="225"/>
      <c r="K2" s="225"/>
      <c r="L2" s="225"/>
      <c r="M2" s="225"/>
      <c r="N2" s="225"/>
      <c r="O2" s="225"/>
      <c r="P2" s="225"/>
      <c r="Q2" s="225"/>
      <c r="R2" s="225"/>
      <c r="S2" s="225"/>
    </row>
    <row r="3" spans="1:39" s="366" customFormat="1" ht="20.65">
      <c r="A3" s="385">
        <f>+'Pension Pack cover'!D24</f>
        <v>2020</v>
      </c>
      <c r="B3" s="385"/>
      <c r="C3" s="225"/>
      <c r="D3" s="389" t="s">
        <v>514</v>
      </c>
      <c r="E3" s="225"/>
      <c r="F3" s="225"/>
      <c r="G3" s="225"/>
      <c r="H3" s="225"/>
      <c r="I3" s="225"/>
      <c r="J3" s="225"/>
      <c r="K3" s="225"/>
      <c r="L3" s="225"/>
      <c r="M3" s="225"/>
      <c r="N3" s="225"/>
      <c r="O3" s="225"/>
      <c r="P3" s="225"/>
      <c r="Q3" s="225"/>
      <c r="R3" s="225"/>
      <c r="S3" s="225"/>
    </row>
    <row r="4" spans="1:39" ht="16.5">
      <c r="J4" s="365" t="str">
        <f t="shared" ref="J4:AM4" si="0">INDEX(yearQ,J6+rr_num-2)</f>
        <v>2025-26</v>
      </c>
      <c r="K4" s="365" t="str">
        <f t="shared" si="0"/>
        <v>2026-27</v>
      </c>
      <c r="L4" s="365" t="str">
        <f t="shared" si="0"/>
        <v>2027-28</v>
      </c>
      <c r="M4" s="365" t="str">
        <f t="shared" si="0"/>
        <v>2028-29</v>
      </c>
      <c r="N4" s="365" t="str">
        <f t="shared" si="0"/>
        <v>2029-30</v>
      </c>
      <c r="O4" s="365" t="str">
        <f t="shared" si="0"/>
        <v>2030-31</v>
      </c>
      <c r="P4" s="365" t="str">
        <f t="shared" si="0"/>
        <v>2031-32</v>
      </c>
      <c r="Q4" s="365" t="str">
        <f t="shared" si="0"/>
        <v>2032-33</v>
      </c>
      <c r="R4" s="365" t="str">
        <f t="shared" si="0"/>
        <v>2033-34</v>
      </c>
      <c r="S4" s="365" t="str">
        <f t="shared" si="0"/>
        <v>2034-35</v>
      </c>
      <c r="T4" s="365" t="str">
        <f t="shared" si="0"/>
        <v>2035-36</v>
      </c>
      <c r="U4" s="365" t="str">
        <f t="shared" si="0"/>
        <v>2036-37</v>
      </c>
      <c r="V4" s="365" t="str">
        <f t="shared" si="0"/>
        <v>2037-38</v>
      </c>
      <c r="W4" s="365" t="str">
        <f t="shared" si="0"/>
        <v>2038-39</v>
      </c>
      <c r="X4" s="365" t="str">
        <f t="shared" si="0"/>
        <v>2039-40</v>
      </c>
      <c r="Y4" s="365" t="str">
        <f t="shared" si="0"/>
        <v>2040-41</v>
      </c>
      <c r="Z4" s="365" t="str">
        <f t="shared" si="0"/>
        <v>2041-42</v>
      </c>
      <c r="AA4" s="365" t="str">
        <f t="shared" si="0"/>
        <v>2042-43</v>
      </c>
      <c r="AB4" s="365" t="str">
        <f t="shared" si="0"/>
        <v>2043-44</v>
      </c>
      <c r="AC4" s="365" t="str">
        <f t="shared" si="0"/>
        <v>2044-45</v>
      </c>
      <c r="AD4" s="365" t="str">
        <f t="shared" si="0"/>
        <v>2045-46</v>
      </c>
      <c r="AE4" s="365" t="str">
        <f t="shared" si="0"/>
        <v>2046-47</v>
      </c>
      <c r="AF4" s="365" t="str">
        <f t="shared" si="0"/>
        <v>2047-48</v>
      </c>
      <c r="AG4" s="365" t="str">
        <f t="shared" si="0"/>
        <v>2048-49</v>
      </c>
      <c r="AH4" s="365" t="str">
        <f t="shared" si="0"/>
        <v>2049-50</v>
      </c>
      <c r="AI4" s="365" t="str">
        <f t="shared" si="0"/>
        <v>2050-51</v>
      </c>
      <c r="AJ4" s="365" t="str">
        <f t="shared" si="0"/>
        <v>2051-52</v>
      </c>
      <c r="AK4" s="365" t="str">
        <f t="shared" si="0"/>
        <v>2052-53</v>
      </c>
      <c r="AL4" s="365" t="str">
        <f t="shared" si="0"/>
        <v>2053-54</v>
      </c>
      <c r="AM4" s="365" t="str">
        <f t="shared" si="0"/>
        <v>2054-55</v>
      </c>
    </row>
    <row r="5" spans="1:39" ht="16.5">
      <c r="B5" s="378" t="s">
        <v>466</v>
      </c>
      <c r="C5" s="365" t="s">
        <v>465</v>
      </c>
      <c r="E5" s="377" t="s">
        <v>464</v>
      </c>
      <c r="H5" s="378" t="s">
        <v>463</v>
      </c>
      <c r="I5" s="378"/>
      <c r="J5" s="365" t="s">
        <v>462</v>
      </c>
      <c r="K5" s="365" t="s">
        <v>461</v>
      </c>
      <c r="L5" s="365" t="s">
        <v>460</v>
      </c>
      <c r="M5" s="365" t="s">
        <v>459</v>
      </c>
      <c r="N5" s="365" t="s">
        <v>458</v>
      </c>
      <c r="O5" s="365" t="s">
        <v>457</v>
      </c>
      <c r="P5" s="365" t="s">
        <v>456</v>
      </c>
      <c r="Q5" s="365" t="s">
        <v>455</v>
      </c>
      <c r="R5" s="365" t="s">
        <v>454</v>
      </c>
      <c r="S5" s="365" t="s">
        <v>453</v>
      </c>
      <c r="T5" s="365" t="s">
        <v>452</v>
      </c>
      <c r="U5" s="365" t="s">
        <v>451</v>
      </c>
      <c r="V5" s="365" t="s">
        <v>450</v>
      </c>
      <c r="W5" s="365" t="s">
        <v>449</v>
      </c>
      <c r="X5" s="365" t="s">
        <v>448</v>
      </c>
      <c r="Y5" s="365" t="s">
        <v>447</v>
      </c>
      <c r="Z5" s="365" t="s">
        <v>446</v>
      </c>
      <c r="AA5" s="365" t="s">
        <v>445</v>
      </c>
      <c r="AB5" s="365" t="s">
        <v>444</v>
      </c>
      <c r="AC5" s="365" t="s">
        <v>443</v>
      </c>
      <c r="AD5" s="365" t="s">
        <v>442</v>
      </c>
      <c r="AE5" s="365" t="s">
        <v>441</v>
      </c>
      <c r="AF5" s="365" t="s">
        <v>440</v>
      </c>
      <c r="AG5" s="365" t="s">
        <v>439</v>
      </c>
      <c r="AH5" s="365" t="s">
        <v>438</v>
      </c>
      <c r="AI5" s="365" t="s">
        <v>437</v>
      </c>
      <c r="AJ5" s="365" t="s">
        <v>436</v>
      </c>
      <c r="AK5" s="365" t="s">
        <v>435</v>
      </c>
      <c r="AL5" s="365" t="s">
        <v>434</v>
      </c>
      <c r="AM5" s="365" t="s">
        <v>433</v>
      </c>
    </row>
    <row r="6" spans="1:39" ht="16.5" hidden="1">
      <c r="B6" s="378"/>
      <c r="C6" s="365"/>
      <c r="E6" s="377"/>
      <c r="H6" s="378"/>
      <c r="I6" s="378"/>
      <c r="J6" s="379">
        <v>1</v>
      </c>
      <c r="K6" s="379">
        <v>2</v>
      </c>
      <c r="L6" s="379">
        <v>3</v>
      </c>
      <c r="M6" s="379">
        <v>4</v>
      </c>
      <c r="N6" s="379">
        <v>5</v>
      </c>
      <c r="O6" s="379">
        <v>6</v>
      </c>
      <c r="P6" s="379">
        <v>7</v>
      </c>
      <c r="Q6" s="379">
        <v>8</v>
      </c>
      <c r="R6" s="379">
        <v>9</v>
      </c>
      <c r="S6" s="379">
        <v>10</v>
      </c>
      <c r="T6" s="379">
        <v>11</v>
      </c>
      <c r="U6" s="379">
        <v>12</v>
      </c>
      <c r="V6" s="379">
        <v>13</v>
      </c>
      <c r="W6" s="379">
        <v>14</v>
      </c>
      <c r="X6" s="379">
        <v>15</v>
      </c>
      <c r="Y6" s="379">
        <v>16</v>
      </c>
      <c r="Z6" s="379">
        <v>17</v>
      </c>
      <c r="AA6" s="379">
        <v>18</v>
      </c>
      <c r="AB6" s="379">
        <v>19</v>
      </c>
      <c r="AC6" s="379">
        <v>20</v>
      </c>
      <c r="AD6" s="379">
        <v>21</v>
      </c>
      <c r="AE6" s="379">
        <v>22</v>
      </c>
      <c r="AF6" s="379">
        <v>23</v>
      </c>
      <c r="AG6" s="379">
        <v>24</v>
      </c>
      <c r="AH6" s="379">
        <v>25</v>
      </c>
      <c r="AI6" s="379">
        <v>26</v>
      </c>
      <c r="AJ6" s="379">
        <v>27</v>
      </c>
      <c r="AK6" s="379">
        <v>28</v>
      </c>
      <c r="AL6" s="379">
        <v>29</v>
      </c>
      <c r="AM6" s="379">
        <v>30</v>
      </c>
    </row>
    <row r="7" spans="1:39" ht="16.5">
      <c r="B7" t="s">
        <v>402</v>
      </c>
      <c r="E7" s="377"/>
      <c r="H7" t="s">
        <v>432</v>
      </c>
      <c r="J7" s="435">
        <f t="array" aca="1" ref="J7" ca="1">IF(J6&lt;=$C$23,flatBAPA1,IF(J6&gt;$C$23,(PSEDA-SUM($I7:I7*$I16:I16))/J16,0))</f>
        <v>0.6</v>
      </c>
      <c r="K7" s="435">
        <f t="array" aca="1" ref="K7" ca="1">IF(K6&lt;=$C$23,flatBAPA1,IF(K6&gt;$C$23,(PSEDA-SUM($I7:J7*$I16:J16))/K16,0))</f>
        <v>0.6</v>
      </c>
      <c r="L7" s="435">
        <f t="array" aca="1" ref="L7" ca="1">IF(L6&lt;=$C$23,flatBAPA1,IF(L6&gt;$C$23,(PSEDA-SUM($I7:K7*$I16:K16))/L16,0))</f>
        <v>0.6</v>
      </c>
      <c r="M7" s="435">
        <f t="array" aca="1" ref="M7" ca="1">IF(M6&lt;=$C$23,flatBAPA1,IF(M6&gt;$C$23,(PSEDA-SUM($I7:L7*$I16:L16))/M16,0))</f>
        <v>0.6</v>
      </c>
      <c r="N7" s="435">
        <f t="array" aca="1" ref="N7" ca="1">IF(N6&lt;=$C$23,flatBAPA1,IF(N6&gt;$C$23,(PSEDA-SUM($I7:M7*$I16:M16))/N16,0))</f>
        <v>0.6</v>
      </c>
      <c r="O7" s="435">
        <f t="array" aca="1" ref="O7" ca="1">IF(O6&lt;=$C$23,flatBAPA1,IF(O6&gt;$C$23,(PSEDA-SUM($I7:N7*$I16:N16))/O16,0))</f>
        <v>0.6</v>
      </c>
      <c r="P7" s="435">
        <f t="array" aca="1" ref="P7" ca="1">IF(P6&lt;=$C$23,flatBAPA1,IF(P6&gt;$C$23,(PSEDA-SUM($I7:O7*$I16:O16))/P16,0))</f>
        <v>0.6</v>
      </c>
      <c r="Q7" s="435">
        <f t="array" aca="1" ref="Q7" ca="1">IF(Q6&lt;=$C$23,flatBAPA1,IF(Q6&gt;$C$23,(PSEDA-SUM($I7:P7*$I16:P16))/Q16,0))</f>
        <v>0.6</v>
      </c>
      <c r="R7" s="435">
        <f t="array" aca="1" ref="R7" ca="1">IF(R6&lt;=$C$23,flatBAPA1,IF(R6&gt;$C$23,(PSEDA-SUM($I7:Q7*$I16:Q16))/R16,0))</f>
        <v>0.6</v>
      </c>
      <c r="S7" s="435">
        <f t="array" aca="1" ref="S7" ca="1">IF(S6&lt;=$C$23,flatBAPA1,IF(S6&gt;$C$23,(PSEDA-SUM($I7:R7*$I16:R16))/S16,0))</f>
        <v>0.6</v>
      </c>
      <c r="T7" s="435">
        <f t="array" aca="1" ref="T7" ca="1">IF(T6&lt;=$C$23,flatBAPA1,IF(T6&gt;$C$23,(PSEDA-SUM($I7:S7*$I16:S16))/T16,0))</f>
        <v>0.6</v>
      </c>
      <c r="U7" s="435">
        <f t="array" aca="1" ref="U7" ca="1">IF(U6&lt;=$C$23,flatBAPA1,IF(U6&gt;$C$23,(PSEDA-SUM($I7:T7*$I16:T16))/U16,0))</f>
        <v>0.6</v>
      </c>
      <c r="V7" s="435">
        <f t="array" aca="1" ref="V7" ca="1">IF(V6&lt;=$C$23,flatBAPA1,IF(V6&gt;$C$23,(PSEDA-SUM($I7:U7*$I16:U16))/V16,0))</f>
        <v>0.6</v>
      </c>
      <c r="W7" s="435">
        <f t="array" aca="1" ref="W7" ca="1">IF(W6&lt;=$C$23,flatBAPA1,IF(W6&gt;$C$23,(PSEDA-SUM($I7:V7*$I16:V16))/W16,0))</f>
        <v>0.6</v>
      </c>
      <c r="X7" s="435">
        <f t="array" aca="1" ref="X7" ca="1">IF(X6&lt;=$C$23,flatBAPA1,IF(X6&gt;$C$23,(PSEDA-SUM($I7:W7*$I16:W16))/X16,0))</f>
        <v>0.6</v>
      </c>
      <c r="Y7" s="435">
        <f t="array" aca="1" ref="Y7" ca="1">IF(Y6&lt;=$C$23,flatBAPA1,IF(Y6&gt;$C$23,(PSEDA-SUM($I7:X7*$I16:X16))/Y16,0))</f>
        <v>1.7763568394002505E-15</v>
      </c>
      <c r="Z7" s="435">
        <f t="array" aca="1" ref="Z7" ca="1">IF(Z6&lt;=$C$23,flatBAPA1,IF(Z6&gt;$C$23,(PSEDA-SUM($I7:Y7*$I16:Y16))/Z16,0))</f>
        <v>0</v>
      </c>
      <c r="AA7" s="435">
        <f t="array" aca="1" ref="AA7" ca="1">IF(AA6&lt;=$C$23,flatBAPA1,IF(AA6&gt;$C$23,(PSEDA-SUM($I7:Z7*$I16:Z16))/AA16,0))</f>
        <v>0</v>
      </c>
      <c r="AB7" s="435">
        <f t="array" aca="1" ref="AB7" ca="1">IF(AB6&lt;=$C$23,flatBAPA1,IF(AB6&gt;$C$23,(PSEDA-SUM($I7:AA7*$I16:AA16))/AB16,0))</f>
        <v>0</v>
      </c>
      <c r="AC7" s="435">
        <f t="array" aca="1" ref="AC7" ca="1">IF(AC6&lt;=$C$23,flatBAPA1,IF(AC6&gt;$C$23,(PSEDA-SUM($I7:AB7*$I16:AB16))/AC16,0))</f>
        <v>0</v>
      </c>
      <c r="AD7" s="435">
        <f t="array" aca="1" ref="AD7" ca="1">IF(AD6&lt;=$C$23,flatBAPA1,IF(AD6&gt;$C$23,(PSEDA-SUM($I7:AC7*$I16:AC16))/AD16,0))</f>
        <v>0</v>
      </c>
      <c r="AE7" s="435">
        <f t="array" aca="1" ref="AE7" ca="1">IF(AE6&lt;=$C$23,flatBAPA1,IF(AE6&gt;$C$23,(PSEDA-SUM($I7:AD7*$I16:AD16))/AE16,0))</f>
        <v>0</v>
      </c>
      <c r="AF7" s="435">
        <f t="array" aca="1" ref="AF7" ca="1">IF(AF6&lt;=$C$23,flatBAPA1,IF(AF6&gt;$C$23,(PSEDA-SUM($I7:AE7*$I16:AE16))/AF16,0))</f>
        <v>0</v>
      </c>
      <c r="AG7" s="435">
        <f t="array" aca="1" ref="AG7" ca="1">IF(AG6&lt;=$C$23,flatBAPA1,IF(AG6&gt;$C$23,(PSEDA-SUM($I7:AF7*$I16:AF16))/AG16,0))</f>
        <v>0</v>
      </c>
      <c r="AH7" s="435">
        <f t="array" aca="1" ref="AH7" ca="1">IF(AH6&lt;=$C$23,flatBAPA1,IF(AH6&gt;$C$23,(PSEDA-SUM($I7:AG7*$I16:AG16))/AH16,0))</f>
        <v>0</v>
      </c>
      <c r="AI7" s="435">
        <f t="array" aca="1" ref="AI7" ca="1">IF(AI6&lt;=$C$23,flatBAPA1,IF(AI6&gt;$C$23,(PSEDA-SUM($I7:AH7*$I16:AH16))/AI16,0))</f>
        <v>0</v>
      </c>
      <c r="AJ7" s="435">
        <f t="array" aca="1" ref="AJ7" ca="1">IF(AJ6&lt;=$C$23,flatBAPA1,IF(AJ6&gt;$C$23,(PSEDA-SUM($I7:AI7*$I16:AI16))/AJ16,0))</f>
        <v>0</v>
      </c>
      <c r="AK7" s="435">
        <f t="array" aca="1" ref="AK7" ca="1">IF(AK6&lt;=$C$23,flatBAPA1,IF(AK6&gt;$C$23,(PSEDA-SUM($I7:AJ7*$I16:AJ16))/AK16,0))</f>
        <v>0</v>
      </c>
      <c r="AL7" s="435">
        <f t="array" aca="1" ref="AL7" ca="1">IF(AL6&lt;=$C$23,flatBAPA1,IF(AL6&gt;$C$23,(PSEDA-SUM($I7:AK7*$I16:AK16))/AL16,0))</f>
        <v>0</v>
      </c>
      <c r="AM7" s="435">
        <f t="array" aca="1" ref="AM7" ca="1">IF(AM6&lt;=$C$23,flatBAPA1,IF(AM6&gt;$C$23,(PSEDA-SUM($I7:AL7*$I16:AL16))/AM16,0))</f>
        <v>0</v>
      </c>
    </row>
    <row r="8" spans="1:39" ht="16.5">
      <c r="B8" s="378"/>
      <c r="C8" s="365"/>
      <c r="E8" s="377"/>
      <c r="H8" t="s">
        <v>431</v>
      </c>
      <c r="J8" s="435">
        <f ca="1">IF(J6&lt;=y_1,flatPBAPA1,IF(J6&gt;C28,($C$17-SUM($I8:I8*$I16:I16))/J16,0))</f>
        <v>9.0009000900090005E-4</v>
      </c>
      <c r="K8" s="435">
        <f ca="1">IF(K6&lt;=y_1,flatPBAPA1,IF(K6&gt;D28,($C$17-SUM($I8:J8*$I16:J16))/K16,0))</f>
        <v>9.0009000900090005E-4</v>
      </c>
      <c r="L8" s="435">
        <f ca="1">IF(L6&lt;=y_1,flatPBAPA1,IF(L6&gt;E28,($C$17-SUM($I8:K8*$I16:K16))/L16,0))</f>
        <v>9.0009000900090005E-4</v>
      </c>
      <c r="M8" s="435">
        <f ca="1">IF(M6&lt;=y_1,flatPBAPA1,IF(M6&gt;F28,($C$17-SUM($I8:L8*$I16:L16))/M16,0))</f>
        <v>9.0009000900090005E-4</v>
      </c>
      <c r="N8" s="435">
        <f ca="1">IF(N6&lt;=y_1,flatPBAPA1,IF(N6&gt;G28,($C$17-SUM($I8:M8*$I16:M16))/N16,0))</f>
        <v>9.0009000900090005E-4</v>
      </c>
      <c r="O8" s="435">
        <f ca="1">IF(O6&lt;=y_1,flatPBAPA1,IF(O6&gt;H28,($C$17-SUM($I8:N8*$I16:N16))/O16,0))</f>
        <v>9.0009000900090005E-4</v>
      </c>
      <c r="P8" s="435">
        <f ca="1">IF(P6&lt;=y_1,flatPBAPA1,IF(P6&gt;I28,($C$17-SUM($I8:O8*$I16:O16))/P16,0))</f>
        <v>9.0009000900090005E-4</v>
      </c>
      <c r="Q8" s="435">
        <f ca="1">IF(Q6&lt;=y_1,flatPBAPA1,IF(Q6&gt;J28,($C$17-SUM($I8:P8*$I16:P16))/Q16,0))</f>
        <v>9.0009000900090005E-4</v>
      </c>
      <c r="R8" s="435">
        <f ca="1">IF(R6&lt;=y_1,flatPBAPA1,IF(R6&gt;K28,($C$17-SUM($I8:Q8*$I16:Q16))/R16,0))</f>
        <v>9.0009000900090005E-4</v>
      </c>
      <c r="S8" s="435">
        <f ca="1">IF(S6&lt;=y_1,flatPBAPA1,IF(S6&gt;L28,($C$17-SUM($I8:R8*$I16:R16))/S16,0))</f>
        <v>9.0009000900090005E-4</v>
      </c>
      <c r="T8" s="435">
        <f ca="1">IF(T6&lt;=y_1,flatPBAPA1,IF(T6&gt;M28,($C$17-SUM($I8:S8*$I16:S16))/T16,0))</f>
        <v>9.0009000900090005E-4</v>
      </c>
      <c r="U8" s="435">
        <f ca="1">IF(U6&lt;=y_1,flatPBAPA1,IF(U6&gt;N28,($C$17-SUM($I8:T8*$I16:T16))/U16,0))</f>
        <v>9.0009000900090005E-4</v>
      </c>
      <c r="V8" s="435">
        <f ca="1">IF(V6&lt;=y_1,flatPBAPA1,IF(V6&gt;O28,($C$17-SUM($I8:U8*$I16:U16))/V16,0))</f>
        <v>9.0009000900090005E-4</v>
      </c>
      <c r="W8" s="435">
        <f ca="1">IF(W6&lt;=y_1,flatPBAPA1,IF(W6&gt;P28,($C$17-SUM($I8:V8*$I16:V16))/W16,0))</f>
        <v>9.0009000900090005E-4</v>
      </c>
      <c r="X8" s="435">
        <f ca="1">IF(X6&lt;=y_1,flatPBAPA1,IF(X6&gt;Q28,($C$17-SUM($I8:W8*$I16:W16))/X16,0))</f>
        <v>9.0009000900090005E-4</v>
      </c>
      <c r="Y8" s="435">
        <f ca="1">IF(Y6&lt;=y_1,flatPBAPA1,IF(Y6&gt;R28,($C$17-SUM($I8:X8*$I16:X16))/Y16,0))</f>
        <v>9.0009000900090005E-4</v>
      </c>
      <c r="Z8" s="435">
        <f ca="1">IF(Z6&lt;=y_1,flatPBAPA1,IF(Z6&gt;S28,($C$17-SUM($I8:Y8*$I16:Y16))/Z16,0))</f>
        <v>9.0009000900090005E-4</v>
      </c>
      <c r="AA8" s="435">
        <f ca="1">IF(AA6&lt;=y_1,flatPBAPA1,IF(AA6&gt;T28,($C$17-SUM($I8:Z8*$I16:Z16))/AA16,0))</f>
        <v>9.0009000900090005E-4</v>
      </c>
      <c r="AB8" s="435">
        <f ca="1">IF(AB6&lt;=y_1,flatPBAPA1,IF(AB6&gt;U28,($C$17-SUM($I8:AA8*$I16:AA16))/AB16,0))</f>
        <v>9.0009000900090005E-4</v>
      </c>
      <c r="AC8" s="435">
        <f ca="1">IF(AC6&lt;=y_1,flatPBAPA1,IF(AC6&gt;V28,($C$17-SUM($I8:AB8*$I16:AB16))/AC16,0))</f>
        <v>9.0009000900090005E-4</v>
      </c>
      <c r="AD8" s="435">
        <f ca="1">IF(AD6&lt;=y_1,flatPBAPA1,IF(AD6&gt;W28,($C$17-SUM($I8:AC8*$I16:AC16))/AD16,0))</f>
        <v>9.0009000900090005E-4</v>
      </c>
      <c r="AE8" s="435">
        <f ca="1">IF(AE6&lt;=y_1,flatPBAPA1,IF(AE6&gt;X28,($C$17-SUM($I8:AD8*$I16:AD16))/AE16,0))</f>
        <v>9.0009000900090005E-4</v>
      </c>
      <c r="AF8" s="435">
        <f ca="1">IF(AF6&lt;=y_1,flatPBAPA1,IF(AF6&gt;Y28,($C$17-SUM($I8:AE8*$I16:AE16))/AF16,0))</f>
        <v>9.0009000900090005E-4</v>
      </c>
      <c r="AG8" s="435">
        <f ca="1">IF(AG6&lt;=y_1,flatPBAPA1,IF(AG6&gt;Z28,($C$17-SUM($I8:AF8*$I16:AF16))/AG16,0))</f>
        <v>9.0009000900090005E-4</v>
      </c>
      <c r="AH8" s="435">
        <f ca="1">IF(AH6&lt;=y_1,flatPBAPA1,IF(AH6&gt;AA28,($C$17-SUM($I8:AG8*$I16:AG16))/AH16,0))</f>
        <v>9.0009000900090005E-4</v>
      </c>
      <c r="AI8" s="435">
        <f ca="1">IF(AI6&lt;=y_1,flatPBAPA1,IF(AI6&gt;AB28,($C$17-SUM($I8:AH8*$I16:AH16))/AI16,0))</f>
        <v>9.0009000900090005E-4</v>
      </c>
      <c r="AJ8" s="435">
        <f ca="1">IF(AJ6&lt;=y_1,flatPBAPA1,IF(AJ6&gt;AC28,($C$17-SUM($I8:AI8*$I16:AI16))/AJ16,0))</f>
        <v>9.0009000900090005E-4</v>
      </c>
      <c r="AK8" s="435">
        <f ca="1">IF(AK6&lt;=y_1,flatPBAPA1,IF(AK6&gt;AD28,($C$17-SUM($I8:AJ8*$I16:AJ16))/AK16,0))</f>
        <v>9.0009000900090005E-4</v>
      </c>
      <c r="AL8" s="435">
        <f ca="1">IF(AL6&lt;=y_1,flatPBAPA1,IF(AL6&gt;AE28,($C$17-SUM($I8:AK8*$I16:AK16))/AL16,0))</f>
        <v>9.0009000900090005E-4</v>
      </c>
      <c r="AM8" s="435">
        <f ca="1">IF(AM6&lt;=y_1,flatPBAPA1,IF(AM6&gt;AF28,($C$17-SUM($I8:AL8*$I16:AL16))/AM16,0))</f>
        <v>9.0009000900090005E-4</v>
      </c>
    </row>
    <row r="9" spans="1:39">
      <c r="B9" s="473" t="s">
        <v>430</v>
      </c>
      <c r="C9" s="474"/>
      <c r="H9" t="s">
        <v>429</v>
      </c>
      <c r="J9" s="437">
        <f ca="1">OFFSET('P1.5 Calculation of Vrr - L1'!$D$17,,rr_num-2+J6-'P1.5 Calculation of Vrr - L1'!$D$9)</f>
        <v>0</v>
      </c>
      <c r="K9" s="437">
        <f ca="1">OFFSET('P1.5 Calculation of Vrr - L1'!$D$17,,rr_num-2+K6-'P1.5 Calculation of Vrr - L1'!$D$9)</f>
        <v>0</v>
      </c>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row>
    <row r="10" spans="1:39">
      <c r="B10" s="475"/>
      <c r="C10" s="476"/>
      <c r="J10" s="376" t="s">
        <v>428</v>
      </c>
      <c r="K10" s="374"/>
    </row>
    <row r="11" spans="1:39">
      <c r="B11" s="475"/>
      <c r="C11" s="476"/>
      <c r="J11" s="375"/>
      <c r="K11" s="374"/>
    </row>
    <row r="12" spans="1:39">
      <c r="B12" s="475"/>
      <c r="C12" s="476"/>
      <c r="J12" s="375"/>
      <c r="K12" s="374"/>
    </row>
    <row r="13" spans="1:39">
      <c r="B13" s="475"/>
      <c r="C13" s="476"/>
      <c r="J13" s="375"/>
      <c r="K13" s="374"/>
    </row>
    <row r="14" spans="1:39">
      <c r="B14" s="477"/>
      <c r="C14" s="478"/>
      <c r="J14" s="375"/>
      <c r="K14" s="374"/>
    </row>
    <row r="15" spans="1:39">
      <c r="B15" t="s">
        <v>427</v>
      </c>
      <c r="C15" s="403">
        <v>9</v>
      </c>
      <c r="J15" s="375"/>
      <c r="K15" s="374"/>
    </row>
    <row r="16" spans="1:39">
      <c r="B16" t="s">
        <v>426</v>
      </c>
      <c r="C16" s="403"/>
      <c r="D16" s="373"/>
      <c r="H16" t="s">
        <v>408</v>
      </c>
      <c r="I16" s="435">
        <f>(1+DRA*f_1)/(1+DRA)^I5</f>
        <v>1</v>
      </c>
      <c r="J16" s="435">
        <f>(1+DRA*f_1)/(1+DRA)^J6</f>
        <v>1</v>
      </c>
      <c r="K16" s="435">
        <f>(1+DRA*f_1)/(1+DRA)^K6</f>
        <v>1</v>
      </c>
      <c r="L16" s="435">
        <f t="shared" ref="L16:AM16" si="1">(1+DRA*f_1)/(1+DRA)^L6</f>
        <v>1</v>
      </c>
      <c r="M16" s="435">
        <f t="shared" si="1"/>
        <v>1</v>
      </c>
      <c r="N16" s="435">
        <f t="shared" si="1"/>
        <v>1</v>
      </c>
      <c r="O16" s="435">
        <f t="shared" si="1"/>
        <v>1</v>
      </c>
      <c r="P16" s="435">
        <f t="shared" si="1"/>
        <v>1</v>
      </c>
      <c r="Q16" s="435">
        <f t="shared" si="1"/>
        <v>1</v>
      </c>
      <c r="R16" s="435">
        <f t="shared" si="1"/>
        <v>1</v>
      </c>
      <c r="S16" s="435">
        <f t="shared" si="1"/>
        <v>1</v>
      </c>
      <c r="T16" s="435">
        <f t="shared" si="1"/>
        <v>1</v>
      </c>
      <c r="U16" s="435">
        <f t="shared" si="1"/>
        <v>1</v>
      </c>
      <c r="V16" s="435">
        <f t="shared" si="1"/>
        <v>1</v>
      </c>
      <c r="W16" s="435">
        <f t="shared" si="1"/>
        <v>1</v>
      </c>
      <c r="X16" s="435">
        <f t="shared" si="1"/>
        <v>1</v>
      </c>
      <c r="Y16" s="435">
        <f t="shared" si="1"/>
        <v>1</v>
      </c>
      <c r="Z16" s="435">
        <f t="shared" si="1"/>
        <v>1</v>
      </c>
      <c r="AA16" s="435">
        <f t="shared" si="1"/>
        <v>1</v>
      </c>
      <c r="AB16" s="435">
        <f t="shared" si="1"/>
        <v>1</v>
      </c>
      <c r="AC16" s="435">
        <f t="shared" si="1"/>
        <v>1</v>
      </c>
      <c r="AD16" s="435">
        <f t="shared" si="1"/>
        <v>1</v>
      </c>
      <c r="AE16" s="435">
        <f t="shared" si="1"/>
        <v>1</v>
      </c>
      <c r="AF16" s="435">
        <f t="shared" si="1"/>
        <v>1</v>
      </c>
      <c r="AG16" s="435">
        <f t="shared" si="1"/>
        <v>1</v>
      </c>
      <c r="AH16" s="435">
        <f t="shared" si="1"/>
        <v>1</v>
      </c>
      <c r="AI16" s="435">
        <f t="shared" si="1"/>
        <v>1</v>
      </c>
      <c r="AJ16" s="435">
        <f t="shared" si="1"/>
        <v>1</v>
      </c>
      <c r="AK16" s="435">
        <f t="shared" si="1"/>
        <v>1</v>
      </c>
      <c r="AL16" s="435">
        <f t="shared" si="1"/>
        <v>1</v>
      </c>
      <c r="AM16" s="435">
        <f t="shared" si="1"/>
        <v>1</v>
      </c>
    </row>
    <row r="17" spans="2:39" ht="14.65" thickBot="1">
      <c r="B17" s="344" t="s">
        <v>425</v>
      </c>
      <c r="C17" s="438">
        <f>PSEDA-C16</f>
        <v>9</v>
      </c>
      <c r="H17" t="s">
        <v>424</v>
      </c>
      <c r="J17" s="409">
        <f t="shared" ref="J17:AM17" ca="1" si="2">J9*J16</f>
        <v>0</v>
      </c>
      <c r="K17" s="409">
        <f t="shared" ca="1" si="2"/>
        <v>0</v>
      </c>
      <c r="L17" s="409">
        <f t="shared" si="2"/>
        <v>0</v>
      </c>
      <c r="M17" s="409">
        <f t="shared" si="2"/>
        <v>0</v>
      </c>
      <c r="N17" s="409">
        <f t="shared" si="2"/>
        <v>0</v>
      </c>
      <c r="O17" s="409">
        <f t="shared" si="2"/>
        <v>0</v>
      </c>
      <c r="P17" s="409">
        <f t="shared" si="2"/>
        <v>0</v>
      </c>
      <c r="Q17" s="409">
        <f t="shared" si="2"/>
        <v>0</v>
      </c>
      <c r="R17" s="409">
        <f t="shared" si="2"/>
        <v>0</v>
      </c>
      <c r="S17" s="409">
        <f t="shared" si="2"/>
        <v>0</v>
      </c>
      <c r="T17" s="409">
        <f t="shared" si="2"/>
        <v>0</v>
      </c>
      <c r="U17" s="409">
        <f t="shared" si="2"/>
        <v>0</v>
      </c>
      <c r="V17" s="409">
        <f t="shared" si="2"/>
        <v>0</v>
      </c>
      <c r="W17" s="409">
        <f t="shared" si="2"/>
        <v>0</v>
      </c>
      <c r="X17" s="409">
        <f t="shared" si="2"/>
        <v>0</v>
      </c>
      <c r="Y17" s="409">
        <f t="shared" si="2"/>
        <v>0</v>
      </c>
      <c r="Z17" s="409">
        <f t="shared" si="2"/>
        <v>0</v>
      </c>
      <c r="AA17" s="409">
        <f t="shared" si="2"/>
        <v>0</v>
      </c>
      <c r="AB17" s="409">
        <f t="shared" si="2"/>
        <v>0</v>
      </c>
      <c r="AC17" s="409">
        <f t="shared" si="2"/>
        <v>0</v>
      </c>
      <c r="AD17" s="409">
        <f t="shared" si="2"/>
        <v>0</v>
      </c>
      <c r="AE17" s="409">
        <f t="shared" si="2"/>
        <v>0</v>
      </c>
      <c r="AF17" s="409">
        <f t="shared" si="2"/>
        <v>0</v>
      </c>
      <c r="AG17" s="409">
        <f t="shared" si="2"/>
        <v>0</v>
      </c>
      <c r="AH17" s="409">
        <f t="shared" si="2"/>
        <v>0</v>
      </c>
      <c r="AI17" s="409">
        <f t="shared" si="2"/>
        <v>0</v>
      </c>
      <c r="AJ17" s="409">
        <f t="shared" si="2"/>
        <v>0</v>
      </c>
      <c r="AK17" s="409">
        <f t="shared" si="2"/>
        <v>0</v>
      </c>
      <c r="AL17" s="409">
        <f t="shared" si="2"/>
        <v>0</v>
      </c>
      <c r="AM17" s="409">
        <f t="shared" si="2"/>
        <v>0</v>
      </c>
    </row>
    <row r="18" spans="2:39">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row>
    <row r="19" spans="2:39">
      <c r="B19" t="s">
        <v>423</v>
      </c>
      <c r="C19" s="424">
        <f ca="1">AVERAGE(J9:K9)</f>
        <v>0</v>
      </c>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row>
    <row r="20" spans="2:39">
      <c r="B20" t="s">
        <v>422</v>
      </c>
      <c r="C20" s="404"/>
    </row>
    <row r="21" spans="2:39" ht="14.65" thickBot="1"/>
    <row r="22" spans="2:39">
      <c r="B22" t="s">
        <v>421</v>
      </c>
      <c r="C22" s="435">
        <f ca="1">IF(PSEDA&lt;0,0,IF(EBAPA1=0,9999,IF(DRA=0,PSEDA/EBAPA1,-LN(1-LN(1+DRA)*PSEDA/C19)/LN(1+DRA))))</f>
        <v>9999</v>
      </c>
      <c r="H22" s="371" t="s">
        <v>420</v>
      </c>
      <c r="I22" s="422">
        <f ca="1">SUM(J17:AM17)</f>
        <v>0</v>
      </c>
    </row>
    <row r="23" spans="2:39" ht="14.65" thickBot="1">
      <c r="B23" t="s">
        <v>419</v>
      </c>
      <c r="C23" s="409">
        <f ca="1">MIN(C22,15)</f>
        <v>15</v>
      </c>
      <c r="H23" s="370" t="s">
        <v>418</v>
      </c>
      <c r="I23" s="423">
        <f ca="1">I22-C17</f>
        <v>-9</v>
      </c>
    </row>
    <row r="24" spans="2:39" ht="14.65" thickBot="1">
      <c r="B24" s="344" t="s">
        <v>417</v>
      </c>
      <c r="C24" s="436">
        <f ca="1">IF(DRA=0,PSEDA/C23,PSEDA*LN(1+DRA)/(1-(1+DRA)^-C23))</f>
        <v>0.6</v>
      </c>
      <c r="E24" s="369" t="s">
        <v>416</v>
      </c>
    </row>
    <row r="25" spans="2:39">
      <c r="E25" s="369"/>
    </row>
    <row r="26" spans="2:39">
      <c r="E26" s="369" t="s">
        <v>415</v>
      </c>
    </row>
    <row r="27" spans="2:39">
      <c r="B27" t="s">
        <v>414</v>
      </c>
      <c r="C27" s="348">
        <f ca="1">IF(EBAPA1=0,9999,MIN(IF(DRA=0,C17/EBAPA1,-LN(1-LN(1+DRA)*C17/C19)/LN(1+DRA)),15))</f>
        <v>9999</v>
      </c>
    </row>
    <row r="28" spans="2:39">
      <c r="B28" t="s">
        <v>413</v>
      </c>
      <c r="C28" s="403">
        <f ca="1">C27</f>
        <v>9999</v>
      </c>
      <c r="E28" s="369" t="s">
        <v>412</v>
      </c>
    </row>
    <row r="29" spans="2:39" ht="14.65" thickBot="1">
      <c r="B29" s="344" t="s">
        <v>411</v>
      </c>
      <c r="C29" s="436">
        <f ca="1">IF(DRA=0,C17/C28,C17*LN(1+DRA)/(1-(1+DRA)^-C28))</f>
        <v>9.0009000900090005E-4</v>
      </c>
      <c r="E29" s="369"/>
    </row>
    <row r="31" spans="2:39">
      <c r="B31" t="s">
        <v>410</v>
      </c>
      <c r="C31" s="435">
        <f>IF(DRA=0,0.5,1/LN(1+DRA)-1/DRA)</f>
        <v>0.5</v>
      </c>
      <c r="E31" s="369" t="s">
        <v>409</v>
      </c>
    </row>
    <row r="32" spans="2:39">
      <c r="B32" t="s">
        <v>408</v>
      </c>
      <c r="E32" s="369" t="s">
        <v>407</v>
      </c>
    </row>
    <row r="34" spans="5:5">
      <c r="E34" s="369" t="s">
        <v>406</v>
      </c>
    </row>
    <row r="35" spans="5:5">
      <c r="E35" s="369" t="s">
        <v>405</v>
      </c>
    </row>
    <row r="50" spans="5:5">
      <c r="E50" s="368"/>
    </row>
  </sheetData>
  <mergeCells count="1">
    <mergeCell ref="B9:C14"/>
  </mergeCells>
  <dataValidations count="4">
    <dataValidation type="decimal" operator="equal" allowBlank="1" showInputMessage="1" showErrorMessage="1" sqref="I17:I19 I5:I8">
      <formula1>0</formula1>
    </dataValidation>
    <dataValidation type="decimal" operator="notEqual" allowBlank="1" showInputMessage="1" showErrorMessage="1" sqref="C20">
      <formula1>-1</formula1>
    </dataValidation>
    <dataValidation type="decimal" operator="notEqual" allowBlank="1" showInputMessage="1" showErrorMessage="1" sqref="C27 C23 C15:C17">
      <formula1>0</formula1>
    </dataValidation>
    <dataValidation type="decimal" allowBlank="1" showInputMessage="1" showErrorMessage="1" sqref="C28">
      <formula1>0.001</formula1>
      <formula2>30</formula2>
    </dataValidation>
  </dataValidations>
  <pageMargins left="0.70866141732283472" right="0.70866141732283472" top="0.74803149606299213" bottom="0.74803149606299213" header="0.31496062992125984" footer="0.31496062992125984"/>
  <pageSetup paperSize="9" scale="1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2" r:id="rId4" name="Drop Down 2">
              <controlPr defaultSize="0" autoLine="0" autoPict="0">
                <anchor moveWithCells="1">
                  <from>
                    <xdr:col>2</xdr:col>
                    <xdr:colOff>0</xdr:colOff>
                    <xdr:row>6</xdr:row>
                    <xdr:rowOff>9525</xdr:rowOff>
                  </from>
                  <to>
                    <xdr:col>4</xdr:col>
                    <xdr:colOff>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D13" sqref="D13"/>
    </sheetView>
  </sheetViews>
  <sheetFormatPr defaultRowHeight="14.25"/>
  <sheetData>
    <row r="1" spans="1:10">
      <c r="A1" t="s">
        <v>501</v>
      </c>
      <c r="B1" t="s">
        <v>500</v>
      </c>
      <c r="C1" t="s">
        <v>499</v>
      </c>
      <c r="D1" t="s">
        <v>498</v>
      </c>
      <c r="E1" t="s">
        <v>497</v>
      </c>
    </row>
    <row r="2" spans="1:10">
      <c r="A2" t="s">
        <v>496</v>
      </c>
      <c r="B2" t="s">
        <v>495</v>
      </c>
      <c r="C2" t="s">
        <v>489</v>
      </c>
      <c r="D2" s="380">
        <v>0.28000000000000003</v>
      </c>
      <c r="E2">
        <f>MATCH(A8,yearQ,0)</f>
        <v>7</v>
      </c>
      <c r="F2" s="382"/>
      <c r="G2" s="382"/>
      <c r="H2" s="383"/>
      <c r="I2" s="382"/>
      <c r="J2" s="381"/>
    </row>
    <row r="3" spans="1:10">
      <c r="A3" t="s">
        <v>495</v>
      </c>
      <c r="B3" t="s">
        <v>176</v>
      </c>
      <c r="C3" t="s">
        <v>486</v>
      </c>
      <c r="D3" s="380">
        <v>0.28000000000000003</v>
      </c>
      <c r="F3" s="382"/>
      <c r="G3" s="382"/>
      <c r="H3" s="383"/>
      <c r="I3" s="382"/>
      <c r="J3" s="381"/>
    </row>
    <row r="4" spans="1:10">
      <c r="A4" t="s">
        <v>494</v>
      </c>
      <c r="B4" t="s">
        <v>493</v>
      </c>
      <c r="C4" t="s">
        <v>483</v>
      </c>
      <c r="D4" s="380">
        <v>0.26</v>
      </c>
      <c r="F4" s="382"/>
      <c r="G4" s="382"/>
      <c r="H4" s="383"/>
      <c r="I4" s="382"/>
      <c r="J4" s="381"/>
    </row>
    <row r="5" spans="1:10">
      <c r="A5" t="s">
        <v>176</v>
      </c>
      <c r="C5" t="s">
        <v>480</v>
      </c>
      <c r="D5" s="380">
        <v>0.24</v>
      </c>
      <c r="F5" s="382"/>
      <c r="G5" s="382"/>
      <c r="H5" s="383"/>
      <c r="I5" s="382"/>
      <c r="J5" s="381"/>
    </row>
    <row r="6" spans="1:10">
      <c r="A6" t="s">
        <v>493</v>
      </c>
      <c r="D6" s="380">
        <v>0.23</v>
      </c>
      <c r="F6" s="382"/>
      <c r="G6" s="382"/>
      <c r="H6" s="383"/>
      <c r="I6" s="382"/>
      <c r="J6" s="381"/>
    </row>
    <row r="7" spans="1:10">
      <c r="A7" t="s">
        <v>492</v>
      </c>
      <c r="D7" s="380">
        <v>0.21</v>
      </c>
      <c r="F7" s="382"/>
      <c r="G7" s="382"/>
      <c r="H7" s="383"/>
      <c r="I7" s="382"/>
      <c r="J7" s="381"/>
    </row>
    <row r="8" spans="1:10">
      <c r="A8" t="s">
        <v>491</v>
      </c>
      <c r="D8" s="380">
        <v>0.2</v>
      </c>
      <c r="F8" s="382"/>
      <c r="G8" s="382"/>
      <c r="H8" s="382"/>
      <c r="I8" s="382"/>
      <c r="J8" s="381"/>
    </row>
    <row r="9" spans="1:10">
      <c r="A9" t="s">
        <v>490</v>
      </c>
      <c r="D9" s="380">
        <v>0.2</v>
      </c>
      <c r="F9" s="382"/>
      <c r="G9" s="382"/>
      <c r="H9" s="382"/>
      <c r="I9" s="382"/>
      <c r="J9" s="381"/>
    </row>
    <row r="10" spans="1:10">
      <c r="A10" t="s">
        <v>489</v>
      </c>
      <c r="D10" s="380">
        <v>0.19</v>
      </c>
      <c r="F10" s="382"/>
      <c r="G10" s="382"/>
      <c r="H10" s="382"/>
      <c r="I10" s="382"/>
      <c r="J10" s="381"/>
    </row>
    <row r="11" spans="1:10">
      <c r="A11" t="s">
        <v>488</v>
      </c>
      <c r="D11" s="380">
        <v>0.19</v>
      </c>
      <c r="F11" s="382"/>
      <c r="G11" s="382"/>
      <c r="H11" s="382"/>
      <c r="I11" s="382"/>
      <c r="J11" s="381"/>
    </row>
    <row r="12" spans="1:10">
      <c r="A12" t="s">
        <v>487</v>
      </c>
      <c r="D12" s="380">
        <v>0.19</v>
      </c>
      <c r="F12" s="382"/>
      <c r="G12" s="382"/>
      <c r="H12" s="382"/>
      <c r="I12" s="382"/>
      <c r="J12" s="381"/>
    </row>
    <row r="13" spans="1:10">
      <c r="A13" t="s">
        <v>486</v>
      </c>
      <c r="D13" s="380">
        <v>0.19</v>
      </c>
      <c r="F13" s="382"/>
      <c r="G13" s="382"/>
      <c r="H13" s="382"/>
      <c r="I13" s="382"/>
      <c r="J13" s="381"/>
    </row>
    <row r="14" spans="1:10">
      <c r="A14" t="s">
        <v>485</v>
      </c>
      <c r="D14" s="380"/>
    </row>
    <row r="15" spans="1:10">
      <c r="A15" t="s">
        <v>484</v>
      </c>
      <c r="D15" s="380"/>
    </row>
    <row r="16" spans="1:10">
      <c r="A16" t="s">
        <v>483</v>
      </c>
      <c r="D16" s="380"/>
    </row>
    <row r="17" spans="1:9">
      <c r="A17" t="s">
        <v>482</v>
      </c>
      <c r="D17" s="380"/>
    </row>
    <row r="18" spans="1:9">
      <c r="A18" t="s">
        <v>481</v>
      </c>
      <c r="D18" s="380"/>
    </row>
    <row r="19" spans="1:9">
      <c r="A19" t="s">
        <v>480</v>
      </c>
      <c r="D19" s="380"/>
    </row>
    <row r="20" spans="1:9">
      <c r="A20" t="s">
        <v>479</v>
      </c>
      <c r="D20" s="380"/>
    </row>
    <row r="21" spans="1:9">
      <c r="A21" t="s">
        <v>478</v>
      </c>
      <c r="D21" s="380"/>
    </row>
    <row r="22" spans="1:9">
      <c r="A22" t="s">
        <v>477</v>
      </c>
      <c r="D22" s="380"/>
    </row>
    <row r="23" spans="1:9">
      <c r="A23" t="s">
        <v>476</v>
      </c>
      <c r="D23" s="380"/>
    </row>
    <row r="24" spans="1:9">
      <c r="A24" t="s">
        <v>475</v>
      </c>
      <c r="D24" s="380"/>
    </row>
    <row r="25" spans="1:9">
      <c r="A25" t="s">
        <v>474</v>
      </c>
      <c r="D25" s="380"/>
      <c r="H25">
        <v>2032</v>
      </c>
      <c r="I25">
        <v>2033</v>
      </c>
    </row>
    <row r="26" spans="1:9">
      <c r="A26" t="str">
        <f t="shared" ref="A26:A50" si="0">H26&amp;"-"&amp;RIGHT(I26,2)</f>
        <v>2033-34</v>
      </c>
      <c r="D26" s="380"/>
      <c r="H26">
        <v>2033</v>
      </c>
      <c r="I26">
        <v>2034</v>
      </c>
    </row>
    <row r="27" spans="1:9">
      <c r="A27" t="str">
        <f t="shared" si="0"/>
        <v>2034-35</v>
      </c>
      <c r="D27" s="380"/>
      <c r="H27">
        <v>2034</v>
      </c>
      <c r="I27">
        <v>2035</v>
      </c>
    </row>
    <row r="28" spans="1:9">
      <c r="A28" t="str">
        <f t="shared" si="0"/>
        <v>2035-36</v>
      </c>
      <c r="D28" s="380"/>
      <c r="H28">
        <v>2035</v>
      </c>
      <c r="I28">
        <v>2036</v>
      </c>
    </row>
    <row r="29" spans="1:9">
      <c r="A29" t="str">
        <f t="shared" si="0"/>
        <v>2036-37</v>
      </c>
      <c r="B29" t="s">
        <v>473</v>
      </c>
      <c r="C29" t="s">
        <v>472</v>
      </c>
      <c r="D29" s="380"/>
      <c r="H29">
        <v>2036</v>
      </c>
      <c r="I29">
        <v>2037</v>
      </c>
    </row>
    <row r="30" spans="1:9">
      <c r="A30" t="str">
        <f t="shared" si="0"/>
        <v>2037-38</v>
      </c>
      <c r="B30">
        <v>1</v>
      </c>
      <c r="C30">
        <v>4</v>
      </c>
      <c r="D30" s="380"/>
      <c r="H30">
        <v>2037</v>
      </c>
      <c r="I30">
        <v>2038</v>
      </c>
    </row>
    <row r="31" spans="1:9">
      <c r="A31" t="str">
        <f t="shared" si="0"/>
        <v>2038-39</v>
      </c>
      <c r="B31" t="s">
        <v>471</v>
      </c>
      <c r="C31" t="s">
        <v>470</v>
      </c>
      <c r="D31" s="380"/>
      <c r="H31">
        <v>2038</v>
      </c>
      <c r="I31">
        <v>2039</v>
      </c>
    </row>
    <row r="32" spans="1:9">
      <c r="A32" t="str">
        <f t="shared" si="0"/>
        <v>2039-40</v>
      </c>
      <c r="B32">
        <f>MATCH(INDEX(pco1Q,pco1A),yearQ,0)</f>
        <v>2</v>
      </c>
      <c r="C32">
        <f>MATCH(INDEX(rrQ,rrA),yearQ,0)</f>
        <v>18</v>
      </c>
      <c r="D32" s="380"/>
      <c r="H32">
        <v>2039</v>
      </c>
      <c r="I32">
        <v>2040</v>
      </c>
    </row>
    <row r="33" spans="1:9">
      <c r="A33" t="str">
        <f t="shared" si="0"/>
        <v>2040-41</v>
      </c>
      <c r="C33" t="s">
        <v>469</v>
      </c>
      <c r="D33" s="380"/>
      <c r="H33">
        <v>2040</v>
      </c>
      <c r="I33">
        <v>2041</v>
      </c>
    </row>
    <row r="34" spans="1:9">
      <c r="A34" t="str">
        <f t="shared" si="0"/>
        <v>2041-42</v>
      </c>
      <c r="C34">
        <f>rr_num+3</f>
        <v>21</v>
      </c>
      <c r="D34" s="380"/>
      <c r="H34">
        <v>2041</v>
      </c>
      <c r="I34">
        <v>2042</v>
      </c>
    </row>
    <row r="35" spans="1:9">
      <c r="A35" t="str">
        <f t="shared" si="0"/>
        <v>2042-43</v>
      </c>
      <c r="C35" t="s">
        <v>468</v>
      </c>
      <c r="D35" s="380"/>
      <c r="H35">
        <v>2042</v>
      </c>
      <c r="I35">
        <v>2043</v>
      </c>
    </row>
    <row r="36" spans="1:9">
      <c r="A36" t="str">
        <f t="shared" si="0"/>
        <v>2043-44</v>
      </c>
      <c r="C36">
        <f>rr2_num+3</f>
        <v>24</v>
      </c>
      <c r="D36" s="380"/>
      <c r="H36">
        <v>2043</v>
      </c>
      <c r="I36">
        <v>2044</v>
      </c>
    </row>
    <row r="37" spans="1:9">
      <c r="A37" t="str">
        <f t="shared" si="0"/>
        <v>2044-45</v>
      </c>
      <c r="D37" s="380"/>
      <c r="H37">
        <v>2044</v>
      </c>
      <c r="I37">
        <v>2045</v>
      </c>
    </row>
    <row r="38" spans="1:9">
      <c r="A38" t="str">
        <f t="shared" si="0"/>
        <v>2045-46</v>
      </c>
      <c r="D38" s="380"/>
      <c r="H38">
        <v>2045</v>
      </c>
      <c r="I38">
        <v>2046</v>
      </c>
    </row>
    <row r="39" spans="1:9">
      <c r="A39" t="str">
        <f t="shared" si="0"/>
        <v>2046-47</v>
      </c>
      <c r="D39" s="380"/>
      <c r="H39">
        <v>2046</v>
      </c>
      <c r="I39">
        <v>2047</v>
      </c>
    </row>
    <row r="40" spans="1:9">
      <c r="A40" t="str">
        <f t="shared" si="0"/>
        <v>2047-48</v>
      </c>
      <c r="D40" s="380"/>
      <c r="H40">
        <v>2047</v>
      </c>
      <c r="I40">
        <v>2048</v>
      </c>
    </row>
    <row r="41" spans="1:9">
      <c r="A41" t="str">
        <f t="shared" si="0"/>
        <v>2048-49</v>
      </c>
      <c r="D41" s="380"/>
      <c r="H41">
        <v>2048</v>
      </c>
      <c r="I41">
        <v>2049</v>
      </c>
    </row>
    <row r="42" spans="1:9">
      <c r="A42" t="str">
        <f t="shared" si="0"/>
        <v>2049-50</v>
      </c>
      <c r="D42" s="380"/>
      <c r="H42">
        <v>2049</v>
      </c>
      <c r="I42">
        <v>2050</v>
      </c>
    </row>
    <row r="43" spans="1:9">
      <c r="A43" t="str">
        <f t="shared" si="0"/>
        <v>2050-51</v>
      </c>
      <c r="D43" s="380"/>
      <c r="H43">
        <v>2050</v>
      </c>
      <c r="I43">
        <v>2051</v>
      </c>
    </row>
    <row r="44" spans="1:9">
      <c r="A44" t="str">
        <f t="shared" si="0"/>
        <v>2051-52</v>
      </c>
      <c r="H44">
        <v>2051</v>
      </c>
      <c r="I44">
        <v>2052</v>
      </c>
    </row>
    <row r="45" spans="1:9">
      <c r="A45" t="str">
        <f t="shared" si="0"/>
        <v>2052-53</v>
      </c>
      <c r="H45">
        <v>2052</v>
      </c>
      <c r="I45">
        <v>2053</v>
      </c>
    </row>
    <row r="46" spans="1:9">
      <c r="A46" t="str">
        <f t="shared" si="0"/>
        <v>2053-54</v>
      </c>
      <c r="H46">
        <v>2053</v>
      </c>
      <c r="I46">
        <v>2054</v>
      </c>
    </row>
    <row r="47" spans="1:9">
      <c r="A47" t="str">
        <f t="shared" si="0"/>
        <v>2054-55</v>
      </c>
      <c r="H47">
        <v>2054</v>
      </c>
      <c r="I47">
        <v>2055</v>
      </c>
    </row>
    <row r="48" spans="1:9">
      <c r="A48" t="str">
        <f t="shared" si="0"/>
        <v>2055-56</v>
      </c>
      <c r="H48">
        <v>2055</v>
      </c>
      <c r="I48">
        <v>2056</v>
      </c>
    </row>
    <row r="49" spans="1:9">
      <c r="A49" t="str">
        <f t="shared" si="0"/>
        <v>2056-57</v>
      </c>
      <c r="H49">
        <v>2056</v>
      </c>
      <c r="I49">
        <v>2057</v>
      </c>
    </row>
    <row r="50" spans="1:9">
      <c r="A50" t="str">
        <f t="shared" si="0"/>
        <v>2057-58</v>
      </c>
      <c r="H50">
        <v>2057</v>
      </c>
      <c r="I50">
        <v>2058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W176"/>
  <sheetViews>
    <sheetView showGridLines="0" topLeftCell="B123" zoomScaleNormal="100" workbookViewId="0">
      <selection activeCell="I124" sqref="I124"/>
    </sheetView>
  </sheetViews>
  <sheetFormatPr defaultColWidth="9.1328125" defaultRowHeight="13.5" outlineLevelRow="1"/>
  <cols>
    <col min="1" max="1" width="9.59765625" style="22" customWidth="1"/>
    <col min="2" max="2" width="70" style="22" customWidth="1"/>
    <col min="3" max="8" width="11.33203125" style="22" customWidth="1"/>
    <col min="9" max="9" width="14.46484375" style="22" customWidth="1"/>
    <col min="10" max="10" width="11.33203125" style="22" customWidth="1"/>
    <col min="11" max="11" width="10" style="22" customWidth="1"/>
    <col min="12" max="21" width="9.1328125" style="22"/>
    <col min="22" max="22" width="15.53125" style="22" customWidth="1"/>
    <col min="23" max="16384" width="9.1328125" style="22"/>
  </cols>
  <sheetData>
    <row r="1" spans="1:23" ht="25.15">
      <c r="A1" s="265" t="s">
        <v>336</v>
      </c>
      <c r="B1" s="265"/>
      <c r="C1" s="67"/>
      <c r="D1" s="67"/>
      <c r="E1" s="67"/>
      <c r="F1" s="67"/>
      <c r="G1" s="67"/>
      <c r="H1" s="67"/>
      <c r="I1" s="67"/>
      <c r="J1" s="67"/>
      <c r="K1" s="67"/>
      <c r="L1" s="67"/>
    </row>
    <row r="2" spans="1:23" ht="25.15">
      <c r="A2" s="265" t="str">
        <f>+'Pension Pack cover'!D12</f>
        <v xml:space="preserve">NWO Group Name </v>
      </c>
      <c r="B2" s="385"/>
      <c r="C2" s="67"/>
      <c r="D2" s="67"/>
      <c r="E2" s="67"/>
      <c r="F2" s="67"/>
      <c r="G2" s="219" t="s">
        <v>194</v>
      </c>
      <c r="H2" s="67"/>
      <c r="I2" s="67"/>
      <c r="J2" s="67"/>
      <c r="K2" s="67"/>
      <c r="L2" s="67"/>
    </row>
    <row r="3" spans="1:23" ht="25.15">
      <c r="A3" s="385">
        <f>+'Pension Pack cover'!D24</f>
        <v>2020</v>
      </c>
      <c r="B3" s="385"/>
      <c r="C3" s="67"/>
      <c r="D3" s="67"/>
      <c r="E3" s="67"/>
      <c r="F3" s="67"/>
      <c r="G3" s="67"/>
      <c r="H3" s="67"/>
      <c r="I3" s="67"/>
      <c r="J3" s="67"/>
      <c r="K3" s="67"/>
      <c r="L3" s="67"/>
    </row>
    <row r="4" spans="1:23" ht="14.65">
      <c r="A4" s="10" t="s">
        <v>336</v>
      </c>
      <c r="B4" s="10"/>
      <c r="C4" s="3"/>
      <c r="D4" s="2"/>
      <c r="E4" s="2"/>
      <c r="F4" s="2"/>
      <c r="G4" s="2"/>
      <c r="H4" s="2"/>
      <c r="I4" s="2"/>
      <c r="J4" s="2"/>
      <c r="K4" s="2"/>
      <c r="L4" s="2"/>
    </row>
    <row r="5" spans="1:23" ht="14.65">
      <c r="A5" s="5"/>
      <c r="B5" s="5"/>
      <c r="C5" s="23"/>
      <c r="D5" s="2"/>
      <c r="E5" s="2"/>
      <c r="F5" s="2"/>
      <c r="G5" s="2"/>
      <c r="H5" s="2"/>
      <c r="I5" s="2"/>
      <c r="J5" s="2"/>
      <c r="K5" s="2"/>
      <c r="L5" s="2"/>
    </row>
    <row r="6" spans="1:23" ht="15" customHeight="1">
      <c r="A6" s="5"/>
      <c r="B6" s="19" t="s">
        <v>19</v>
      </c>
      <c r="C6" s="23"/>
      <c r="D6" s="453" t="str">
        <f>'Pension Pack cover'!D22</f>
        <v>DB Scheme 2</v>
      </c>
      <c r="E6" s="454"/>
      <c r="F6" s="454"/>
      <c r="G6" s="454"/>
      <c r="H6" s="454"/>
      <c r="I6" s="454"/>
      <c r="J6" s="455"/>
      <c r="K6" s="2"/>
      <c r="L6" s="2"/>
      <c r="U6" s="163"/>
      <c r="V6" s="281" t="s">
        <v>184</v>
      </c>
    </row>
    <row r="7" spans="1:23" ht="14.65">
      <c r="A7" s="5"/>
      <c r="B7" s="20"/>
      <c r="C7" s="23"/>
      <c r="D7" s="3"/>
      <c r="E7" s="2"/>
      <c r="F7" s="2"/>
      <c r="G7" s="2"/>
      <c r="H7" s="2"/>
      <c r="I7" s="2"/>
      <c r="J7" s="2"/>
      <c r="K7" s="2"/>
      <c r="L7" s="2"/>
      <c r="U7" s="163"/>
      <c r="V7" s="22" t="s">
        <v>20</v>
      </c>
      <c r="W7" s="210" t="s">
        <v>179</v>
      </c>
    </row>
    <row r="8" spans="1:23" ht="14.65">
      <c r="A8" s="5"/>
      <c r="B8" s="286" t="s">
        <v>35</v>
      </c>
      <c r="C8" s="23"/>
      <c r="D8" s="460" t="s">
        <v>38</v>
      </c>
      <c r="E8" s="461"/>
      <c r="F8" s="2"/>
      <c r="G8" s="2"/>
      <c r="H8" s="2"/>
      <c r="I8" s="2"/>
      <c r="J8" s="2"/>
      <c r="K8" s="2"/>
      <c r="L8" s="2"/>
      <c r="U8" s="163"/>
      <c r="V8" s="22" t="s">
        <v>21</v>
      </c>
      <c r="W8" s="210" t="s">
        <v>180</v>
      </c>
    </row>
    <row r="9" spans="1:23" ht="14.65">
      <c r="A9" s="5"/>
      <c r="B9" s="286" t="s">
        <v>36</v>
      </c>
      <c r="C9" s="23"/>
      <c r="D9" s="460" t="s">
        <v>261</v>
      </c>
      <c r="E9" s="461"/>
      <c r="F9" s="2"/>
      <c r="G9" s="2"/>
      <c r="H9" s="2"/>
      <c r="I9" s="2"/>
      <c r="J9" s="2"/>
      <c r="K9" s="2"/>
      <c r="L9" s="2"/>
      <c r="U9" s="163"/>
      <c r="V9" s="22" t="s">
        <v>22</v>
      </c>
      <c r="W9" s="210" t="s">
        <v>165</v>
      </c>
    </row>
    <row r="10" spans="1:23" ht="14.65">
      <c r="A10" s="5"/>
      <c r="B10" s="20"/>
      <c r="C10" s="23"/>
      <c r="D10" s="3"/>
      <c r="E10" s="2"/>
      <c r="F10" s="2"/>
      <c r="G10" s="2"/>
      <c r="H10" s="2"/>
      <c r="I10" s="2"/>
      <c r="J10" s="2"/>
      <c r="K10" s="2"/>
      <c r="L10" s="2"/>
      <c r="U10" s="163"/>
      <c r="V10" s="22" t="s">
        <v>23</v>
      </c>
      <c r="W10" s="210" t="s">
        <v>166</v>
      </c>
    </row>
    <row r="11" spans="1:23" ht="14.65">
      <c r="A11" s="5"/>
      <c r="B11" s="456" t="str">
        <f>CONCATENATE("Section A - Pre Cut-Off Date Regulatory Fraction as at ",+D8)</f>
        <v>Section A - Pre Cut-Off Date Regulatory Fraction as at 31 March 2013</v>
      </c>
      <c r="C11" s="456"/>
      <c r="D11" s="457"/>
      <c r="E11" s="457"/>
      <c r="F11" s="2"/>
      <c r="G11" s="2"/>
      <c r="H11" s="2"/>
      <c r="I11" s="2"/>
      <c r="J11" s="2"/>
      <c r="K11" s="2"/>
      <c r="L11" s="2"/>
      <c r="U11" s="163"/>
      <c r="V11" s="22" t="s">
        <v>24</v>
      </c>
      <c r="W11" s="210" t="s">
        <v>167</v>
      </c>
    </row>
    <row r="12" spans="1:23" ht="15.75" customHeight="1" outlineLevel="1">
      <c r="A12" s="5"/>
      <c r="B12" s="318"/>
      <c r="C12" s="318"/>
      <c r="D12" s="319"/>
      <c r="E12" s="319"/>
      <c r="F12" s="2"/>
      <c r="G12" s="2"/>
      <c r="H12" s="2"/>
      <c r="I12" s="2"/>
      <c r="J12" s="2"/>
      <c r="K12" s="2"/>
      <c r="L12" s="2"/>
      <c r="U12" s="163"/>
      <c r="V12" s="22" t="s">
        <v>25</v>
      </c>
      <c r="W12" s="210" t="s">
        <v>168</v>
      </c>
    </row>
    <row r="13" spans="1:23" ht="14.65" outlineLevel="1">
      <c r="A13" s="5"/>
      <c r="B13" s="11" t="s">
        <v>41</v>
      </c>
      <c r="C13" s="208" t="str">
        <f>+'Pension Pack cover'!D14</f>
        <v>Licensee 1</v>
      </c>
      <c r="D13" s="208" t="str">
        <f>+'Pension Pack cover'!D15</f>
        <v>Licensee 2</v>
      </c>
      <c r="E13" s="208" t="str">
        <f>+'Pension Pack cover'!D16</f>
        <v>Licensee 3</v>
      </c>
      <c r="F13" s="208" t="str">
        <f>+'Pension Pack cover'!D17</f>
        <v>Licensee 4</v>
      </c>
      <c r="G13" s="208" t="str">
        <f>+'Pension Pack cover'!D18</f>
        <v>Licensee 5</v>
      </c>
      <c r="H13" s="208" t="str">
        <f>+'Pension Pack cover'!D19</f>
        <v>Licensee 6</v>
      </c>
      <c r="I13" s="27" t="s">
        <v>26</v>
      </c>
      <c r="J13" s="28" t="s">
        <v>27</v>
      </c>
      <c r="K13" s="2"/>
      <c r="L13" s="2"/>
      <c r="V13" s="22" t="s">
        <v>105</v>
      </c>
      <c r="W13" s="210" t="s">
        <v>192</v>
      </c>
    </row>
    <row r="14" spans="1:23" ht="24.75" outlineLevel="1">
      <c r="A14" s="5"/>
      <c r="B14" s="388" t="s">
        <v>557</v>
      </c>
      <c r="C14" s="12">
        <v>0</v>
      </c>
      <c r="D14" s="12">
        <v>0</v>
      </c>
      <c r="E14" s="12">
        <v>0</v>
      </c>
      <c r="F14" s="12">
        <v>0</v>
      </c>
      <c r="G14" s="12">
        <v>0</v>
      </c>
      <c r="H14" s="12">
        <v>0</v>
      </c>
      <c r="I14" s="13">
        <f>J14-C14-D14-E14</f>
        <v>1</v>
      </c>
      <c r="J14" s="13">
        <v>1</v>
      </c>
      <c r="K14" s="2"/>
      <c r="L14" s="2"/>
      <c r="V14" s="22" t="s">
        <v>106</v>
      </c>
      <c r="W14" s="210" t="s">
        <v>169</v>
      </c>
    </row>
    <row r="15" spans="1:23" ht="17.25" customHeight="1" outlineLevel="1">
      <c r="A15" s="5"/>
      <c r="B15" s="388" t="s">
        <v>558</v>
      </c>
      <c r="C15" s="12">
        <v>0</v>
      </c>
      <c r="D15" s="12">
        <v>0</v>
      </c>
      <c r="E15" s="12">
        <v>0</v>
      </c>
      <c r="F15" s="12">
        <v>0</v>
      </c>
      <c r="G15" s="12">
        <v>0</v>
      </c>
      <c r="H15" s="12">
        <v>0</v>
      </c>
      <c r="I15" s="13">
        <f>-SUM(C15:H15)</f>
        <v>0</v>
      </c>
      <c r="J15" s="13">
        <f>SUM(C15:I15)</f>
        <v>0</v>
      </c>
      <c r="K15" s="2"/>
      <c r="L15" s="2"/>
      <c r="V15" s="22" t="s">
        <v>107</v>
      </c>
      <c r="W15" s="210" t="s">
        <v>170</v>
      </c>
    </row>
    <row r="16" spans="1:23" ht="24.75" outlineLevel="1">
      <c r="A16" s="5"/>
      <c r="B16" s="388" t="s">
        <v>559</v>
      </c>
      <c r="C16" s="13">
        <f>C14-C15</f>
        <v>0</v>
      </c>
      <c r="D16" s="13">
        <f t="shared" ref="D16:I16" si="0">D14-D15</f>
        <v>0</v>
      </c>
      <c r="E16" s="13">
        <f t="shared" si="0"/>
        <v>0</v>
      </c>
      <c r="F16" s="13">
        <f t="shared" si="0"/>
        <v>0</v>
      </c>
      <c r="G16" s="13">
        <f t="shared" si="0"/>
        <v>0</v>
      </c>
      <c r="H16" s="13">
        <f t="shared" si="0"/>
        <v>0</v>
      </c>
      <c r="I16" s="13">
        <f t="shared" si="0"/>
        <v>1</v>
      </c>
      <c r="J16" s="13">
        <f>SUM(C16:I16)</f>
        <v>1</v>
      </c>
      <c r="K16" s="2"/>
      <c r="L16" s="2"/>
      <c r="V16" s="22" t="s">
        <v>251</v>
      </c>
      <c r="W16" s="210" t="s">
        <v>171</v>
      </c>
    </row>
    <row r="17" spans="1:23" ht="14.65" outlineLevel="1">
      <c r="A17" s="5"/>
      <c r="B17" s="5"/>
      <c r="C17" s="5"/>
      <c r="D17" s="5"/>
      <c r="E17" s="5"/>
      <c r="F17" s="5"/>
      <c r="G17" s="5"/>
      <c r="H17" s="5"/>
      <c r="I17" s="5"/>
      <c r="J17" s="5"/>
      <c r="K17" s="2"/>
      <c r="L17" s="2"/>
      <c r="V17" s="22" t="s">
        <v>252</v>
      </c>
      <c r="W17" s="210" t="s">
        <v>172</v>
      </c>
    </row>
    <row r="18" spans="1:23" ht="14.65">
      <c r="A18" s="5"/>
      <c r="B18" s="5"/>
      <c r="C18" s="5"/>
      <c r="D18" s="5"/>
      <c r="E18" s="5"/>
      <c r="F18" s="5"/>
      <c r="G18" s="5"/>
      <c r="H18" s="5"/>
      <c r="I18" s="5"/>
      <c r="J18" s="5"/>
      <c r="K18" s="2"/>
      <c r="L18" s="2"/>
      <c r="V18" s="22" t="s">
        <v>112</v>
      </c>
      <c r="W18" s="210" t="s">
        <v>150</v>
      </c>
    </row>
    <row r="19" spans="1:23" ht="14.65">
      <c r="A19" s="5"/>
      <c r="B19" s="38" t="s">
        <v>544</v>
      </c>
      <c r="C19" s="2"/>
      <c r="D19" s="2"/>
      <c r="E19" s="2"/>
      <c r="F19" s="2"/>
      <c r="G19" s="2"/>
      <c r="H19" s="2"/>
      <c r="I19" s="2"/>
      <c r="J19" s="2"/>
      <c r="K19" s="2"/>
      <c r="L19" s="2"/>
      <c r="V19" s="22" t="s">
        <v>114</v>
      </c>
      <c r="W19" s="210" t="s">
        <v>151</v>
      </c>
    </row>
    <row r="20" spans="1:23" ht="14.65" outlineLevel="1">
      <c r="A20" s="5"/>
      <c r="B20" s="50" t="s">
        <v>526</v>
      </c>
      <c r="C20" s="396" t="s">
        <v>527</v>
      </c>
      <c r="D20" s="5"/>
      <c r="E20" s="5"/>
      <c r="F20" s="5"/>
      <c r="G20" s="5"/>
      <c r="H20" s="5"/>
      <c r="I20" s="2"/>
      <c r="J20" s="5"/>
      <c r="K20" s="5"/>
      <c r="L20" s="2"/>
      <c r="V20" s="22" t="s">
        <v>116</v>
      </c>
      <c r="W20" s="210" t="s">
        <v>173</v>
      </c>
    </row>
    <row r="21" spans="1:23" s="48" customFormat="1" ht="14.65" outlineLevel="1">
      <c r="A21" s="5"/>
      <c r="B21" s="237" t="s">
        <v>73</v>
      </c>
      <c r="C21" s="5"/>
      <c r="D21" s="5"/>
      <c r="E21" s="5"/>
      <c r="F21" s="5"/>
      <c r="G21" s="5"/>
      <c r="H21" s="5"/>
      <c r="I21" s="2"/>
      <c r="J21" s="5"/>
      <c r="K21" s="5"/>
      <c r="L21" s="2"/>
      <c r="V21" s="48" t="s">
        <v>118</v>
      </c>
      <c r="W21" s="210" t="s">
        <v>174</v>
      </c>
    </row>
    <row r="22" spans="1:23" s="48" customFormat="1" ht="14.65" outlineLevel="1">
      <c r="A22" s="5"/>
      <c r="B22" s="50"/>
      <c r="C22" s="5"/>
      <c r="D22" s="5"/>
      <c r="E22" s="5"/>
      <c r="F22" s="5"/>
      <c r="G22" s="5"/>
      <c r="H22" s="5"/>
      <c r="I22" s="5"/>
      <c r="J22" s="5"/>
      <c r="K22" s="5"/>
      <c r="L22" s="2"/>
      <c r="V22" s="48" t="s">
        <v>120</v>
      </c>
      <c r="W22" s="210" t="s">
        <v>175</v>
      </c>
    </row>
    <row r="23" spans="1:23" s="48" customFormat="1" ht="14.65" outlineLevel="1">
      <c r="A23" s="5"/>
      <c r="B23" s="5"/>
      <c r="C23" s="5"/>
      <c r="D23" s="458" t="s">
        <v>57</v>
      </c>
      <c r="E23" s="458"/>
      <c r="F23" s="5"/>
      <c r="G23" s="459" t="str">
        <f>D8</f>
        <v>31 March 2013</v>
      </c>
      <c r="H23" s="458"/>
      <c r="I23" s="5"/>
      <c r="J23" s="459" t="str">
        <f>D9</f>
        <v>31 March 2017</v>
      </c>
      <c r="K23" s="458"/>
      <c r="L23" s="2"/>
      <c r="V23" s="48" t="s">
        <v>122</v>
      </c>
    </row>
    <row r="24" spans="1:23" s="48" customFormat="1" ht="14.65" outlineLevel="1">
      <c r="A24" s="5"/>
      <c r="B24" s="5"/>
      <c r="C24" s="5"/>
      <c r="D24" s="110" t="s">
        <v>56</v>
      </c>
      <c r="E24" s="110"/>
      <c r="F24" s="5"/>
      <c r="G24" s="110" t="s">
        <v>56</v>
      </c>
      <c r="H24" s="110"/>
      <c r="I24" s="2"/>
      <c r="J24" s="110" t="s">
        <v>56</v>
      </c>
      <c r="K24" s="110"/>
      <c r="L24" s="2"/>
      <c r="V24" s="48" t="s">
        <v>123</v>
      </c>
    </row>
    <row r="25" spans="1:23" s="48" customFormat="1" ht="14.65" outlineLevel="1">
      <c r="A25" s="5"/>
      <c r="B25" s="5"/>
      <c r="C25" s="5"/>
      <c r="D25" s="111" t="s">
        <v>0</v>
      </c>
      <c r="E25" s="111" t="s">
        <v>2</v>
      </c>
      <c r="F25" s="5"/>
      <c r="G25" s="111" t="s">
        <v>0</v>
      </c>
      <c r="H25" s="111" t="s">
        <v>2</v>
      </c>
      <c r="I25" s="2"/>
      <c r="J25" s="111" t="s">
        <v>0</v>
      </c>
      <c r="K25" s="111" t="s">
        <v>2</v>
      </c>
      <c r="L25" s="2"/>
      <c r="V25" s="48" t="s">
        <v>124</v>
      </c>
    </row>
    <row r="26" spans="1:23" s="48" customFormat="1" ht="14.65" outlineLevel="1">
      <c r="A26" s="5"/>
      <c r="B26" s="209" t="str">
        <f>+'Pension Pack cover'!D14</f>
        <v>Licensee 1</v>
      </c>
      <c r="C26" s="5"/>
      <c r="D26" s="107">
        <v>0</v>
      </c>
      <c r="E26" s="109">
        <f>IFERROR(D26/$D$29,0)</f>
        <v>0</v>
      </c>
      <c r="F26" s="5"/>
      <c r="G26" s="107">
        <v>0</v>
      </c>
      <c r="H26" s="109">
        <f>IFERROR(G26/$G$29,0)</f>
        <v>0</v>
      </c>
      <c r="I26" s="2"/>
      <c r="J26" s="107">
        <v>0</v>
      </c>
      <c r="K26" s="109">
        <f>IFERROR(J26/$J$29,0)</f>
        <v>0</v>
      </c>
      <c r="L26" s="2"/>
      <c r="V26" s="48" t="s">
        <v>125</v>
      </c>
    </row>
    <row r="27" spans="1:23" s="48" customFormat="1" ht="14.65" outlineLevel="1">
      <c r="A27" s="5"/>
      <c r="B27" s="209" t="str">
        <f>+'Pension Pack cover'!D15</f>
        <v>Licensee 2</v>
      </c>
      <c r="C27" s="5"/>
      <c r="D27" s="107">
        <v>0</v>
      </c>
      <c r="E27" s="109">
        <f t="shared" ref="E27:E28" si="1">IFERROR(D27/$D$29,0)</f>
        <v>0</v>
      </c>
      <c r="F27" s="5"/>
      <c r="G27" s="107">
        <v>0</v>
      </c>
      <c r="H27" s="109">
        <f t="shared" ref="H27:H28" si="2">IFERROR(G27/$G$29,0)</f>
        <v>0</v>
      </c>
      <c r="I27" s="2"/>
      <c r="J27" s="107">
        <v>0</v>
      </c>
      <c r="K27" s="109">
        <f t="shared" ref="K27:K28" si="3">IFERROR(J27/$J$29,0)</f>
        <v>0</v>
      </c>
      <c r="L27" s="2"/>
      <c r="V27" s="48" t="s">
        <v>150</v>
      </c>
    </row>
    <row r="28" spans="1:23" s="48" customFormat="1" ht="14.65" outlineLevel="1">
      <c r="A28" s="5"/>
      <c r="B28" s="209" t="str">
        <f>+'Pension Pack cover'!D16</f>
        <v>Licensee 3</v>
      </c>
      <c r="C28" s="5"/>
      <c r="D28" s="107">
        <v>0</v>
      </c>
      <c r="E28" s="109">
        <f t="shared" si="1"/>
        <v>0</v>
      </c>
      <c r="F28" s="5"/>
      <c r="G28" s="107">
        <v>0</v>
      </c>
      <c r="H28" s="109">
        <f t="shared" si="2"/>
        <v>0</v>
      </c>
      <c r="I28" s="2"/>
      <c r="J28" s="107">
        <v>0</v>
      </c>
      <c r="K28" s="109">
        <f t="shared" si="3"/>
        <v>0</v>
      </c>
      <c r="L28" s="2"/>
      <c r="V28" s="48" t="s">
        <v>151</v>
      </c>
    </row>
    <row r="29" spans="1:23" s="48" customFormat="1" ht="14.65" outlineLevel="1">
      <c r="A29" s="5"/>
      <c r="B29" s="106" t="s">
        <v>64</v>
      </c>
      <c r="C29" s="5"/>
      <c r="D29" s="66">
        <f>SUM(D26:D28)</f>
        <v>0</v>
      </c>
      <c r="E29" s="108">
        <f>SUM(E28:E28)</f>
        <v>0</v>
      </c>
      <c r="F29" s="5"/>
      <c r="G29" s="66">
        <f>SUM(G26:G28)</f>
        <v>0</v>
      </c>
      <c r="H29" s="108">
        <f>SUM(H28:H28)</f>
        <v>0</v>
      </c>
      <c r="I29" s="2"/>
      <c r="J29" s="66">
        <f>SUM(J26:J28)</f>
        <v>0</v>
      </c>
      <c r="K29" s="108">
        <f>SUM(K28:K28)</f>
        <v>0</v>
      </c>
      <c r="L29" s="2"/>
      <c r="V29" s="48" t="s">
        <v>152</v>
      </c>
    </row>
    <row r="30" spans="1:23" s="48" customFormat="1" ht="14.65" outlineLevel="1">
      <c r="A30" s="5"/>
      <c r="B30" s="5"/>
      <c r="C30" s="5"/>
      <c r="D30" s="5"/>
      <c r="E30" s="5"/>
      <c r="F30" s="5"/>
      <c r="G30" s="5"/>
      <c r="H30" s="5"/>
      <c r="I30" s="2"/>
      <c r="J30" s="5"/>
      <c r="K30" s="5"/>
      <c r="L30" s="2"/>
      <c r="V30" s="48" t="s">
        <v>153</v>
      </c>
    </row>
    <row r="31" spans="1:23" s="48" customFormat="1" ht="14.65" outlineLevel="1">
      <c r="A31" s="5"/>
      <c r="B31" s="50" t="str">
        <f>CONCATENATE("2. ",+B26," - Pre-Cut Off Date Pension liabilities")</f>
        <v>2. Licensee 1 - Pre-Cut Off Date Pension liabilities</v>
      </c>
      <c r="C31" s="5"/>
      <c r="D31" s="5"/>
      <c r="E31" s="5"/>
      <c r="F31" s="5"/>
      <c r="G31" s="5"/>
      <c r="H31" s="5"/>
      <c r="I31" s="5"/>
      <c r="J31" s="5"/>
      <c r="K31" s="5"/>
      <c r="L31" s="2"/>
      <c r="V31" s="48" t="s">
        <v>154</v>
      </c>
    </row>
    <row r="32" spans="1:23" s="48" customFormat="1" ht="14.65" outlineLevel="1">
      <c r="A32" s="5"/>
      <c r="B32" s="5"/>
      <c r="C32" s="465" t="s">
        <v>67</v>
      </c>
      <c r="D32" s="466"/>
      <c r="E32" s="467"/>
      <c r="F32" s="112" t="str">
        <f>D8</f>
        <v>31 March 2013</v>
      </c>
      <c r="G32" s="113"/>
      <c r="H32" s="114"/>
      <c r="I32" s="112" t="str">
        <f>D9</f>
        <v>31 March 2017</v>
      </c>
      <c r="J32" s="113"/>
      <c r="K32" s="114"/>
      <c r="L32" s="2"/>
      <c r="V32" s="48" t="s">
        <v>155</v>
      </c>
    </row>
    <row r="33" spans="1:22" s="48" customFormat="1" ht="14.65" outlineLevel="1">
      <c r="A33" s="5"/>
      <c r="B33" s="5"/>
      <c r="C33" s="54"/>
      <c r="D33" s="55">
        <v>2004</v>
      </c>
      <c r="E33" s="55">
        <f>+D33</f>
        <v>2004</v>
      </c>
      <c r="F33" s="56"/>
      <c r="G33" s="55">
        <v>2016</v>
      </c>
      <c r="H33" s="55">
        <f>+G33</f>
        <v>2016</v>
      </c>
      <c r="I33" s="56"/>
      <c r="J33" s="55">
        <f>+E101</f>
        <v>2019</v>
      </c>
      <c r="K33" s="55">
        <f>+J33</f>
        <v>2019</v>
      </c>
      <c r="L33" s="2"/>
      <c r="V33" s="48" t="s">
        <v>156</v>
      </c>
    </row>
    <row r="34" spans="1:22" s="48" customFormat="1" ht="14.65" outlineLevel="1">
      <c r="A34" s="5"/>
      <c r="B34" s="5"/>
      <c r="C34" s="5"/>
      <c r="D34" s="55" t="s">
        <v>0</v>
      </c>
      <c r="E34" s="55" t="s">
        <v>2</v>
      </c>
      <c r="F34" s="5"/>
      <c r="G34" s="55" t="s">
        <v>0</v>
      </c>
      <c r="H34" s="55" t="s">
        <v>2</v>
      </c>
      <c r="I34" s="5"/>
      <c r="J34" s="55" t="s">
        <v>0</v>
      </c>
      <c r="K34" s="55" t="s">
        <v>2</v>
      </c>
      <c r="L34" s="2"/>
      <c r="V34" s="48" t="s">
        <v>157</v>
      </c>
    </row>
    <row r="35" spans="1:22" s="48" customFormat="1" ht="14.65" outlineLevel="1">
      <c r="A35" s="5"/>
      <c r="B35" s="104" t="s">
        <v>58</v>
      </c>
      <c r="C35" s="5"/>
      <c r="D35" s="58">
        <v>0</v>
      </c>
      <c r="E35" s="59">
        <f>IFERROR(D35/D37,0)</f>
        <v>0</v>
      </c>
      <c r="F35" s="5"/>
      <c r="G35" s="117">
        <v>0</v>
      </c>
      <c r="H35" s="60">
        <f>IFERROR(G35/G37,0)</f>
        <v>0</v>
      </c>
      <c r="I35" s="5"/>
      <c r="J35" s="58">
        <v>0</v>
      </c>
      <c r="K35" s="60">
        <f>IFERROR(J35/J37,0)</f>
        <v>0</v>
      </c>
      <c r="L35" s="2"/>
      <c r="V35" s="48" t="s">
        <v>158</v>
      </c>
    </row>
    <row r="36" spans="1:22" s="48" customFormat="1" ht="14.65" outlineLevel="1">
      <c r="A36" s="5"/>
      <c r="B36" s="104" t="s">
        <v>59</v>
      </c>
      <c r="C36" s="5"/>
      <c r="D36" s="211">
        <f>D26-D35</f>
        <v>0</v>
      </c>
      <c r="E36" s="212">
        <f>IFERROR(D36/D37,0)</f>
        <v>0</v>
      </c>
      <c r="F36" s="213"/>
      <c r="G36" s="211">
        <f>G26-G35</f>
        <v>0</v>
      </c>
      <c r="H36" s="212">
        <f>IFERROR(1-H35,0)</f>
        <v>1</v>
      </c>
      <c r="I36" s="213"/>
      <c r="J36" s="211">
        <f>J26-J35</f>
        <v>0</v>
      </c>
      <c r="K36" s="61">
        <f>IFERROR(1-K35,0)</f>
        <v>1</v>
      </c>
      <c r="L36" s="2"/>
      <c r="V36" s="48" t="s">
        <v>161</v>
      </c>
    </row>
    <row r="37" spans="1:22" s="48" customFormat="1" ht="14.65" outlineLevel="1">
      <c r="A37" s="5"/>
      <c r="B37" s="105" t="s">
        <v>60</v>
      </c>
      <c r="C37" s="5"/>
      <c r="D37" s="214">
        <f>D35+D36</f>
        <v>0</v>
      </c>
      <c r="E37" s="215"/>
      <c r="F37" s="213"/>
      <c r="G37" s="214">
        <f>G35+G36</f>
        <v>0</v>
      </c>
      <c r="H37" s="216"/>
      <c r="I37" s="217"/>
      <c r="J37" s="214">
        <f>J35+J36</f>
        <v>0</v>
      </c>
      <c r="K37" s="57"/>
      <c r="L37" s="2"/>
    </row>
    <row r="38" spans="1:22" s="48" customFormat="1" ht="14.65" outlineLevel="1">
      <c r="A38" s="5"/>
      <c r="B38" s="5"/>
      <c r="C38" s="5"/>
      <c r="D38" s="5"/>
      <c r="E38" s="5"/>
      <c r="F38" s="5"/>
      <c r="G38" s="5"/>
      <c r="H38" s="5"/>
      <c r="I38" s="5"/>
      <c r="J38" s="5"/>
      <c r="K38" s="5"/>
      <c r="L38" s="2"/>
    </row>
    <row r="39" spans="1:22" s="48" customFormat="1" ht="14.65" outlineLevel="1">
      <c r="A39" s="5"/>
      <c r="B39" s="50" t="s">
        <v>76</v>
      </c>
      <c r="C39" s="5"/>
      <c r="D39" s="5"/>
      <c r="E39" s="5"/>
      <c r="F39" s="5"/>
      <c r="G39" s="5"/>
      <c r="H39" s="5"/>
      <c r="I39" s="5"/>
      <c r="J39" s="5"/>
      <c r="K39" s="5"/>
      <c r="L39" s="2"/>
      <c r="V39" s="284" t="s">
        <v>37</v>
      </c>
    </row>
    <row r="40" spans="1:22" s="48" customFormat="1" ht="14.65" outlineLevel="1">
      <c r="A40" s="5"/>
      <c r="B40" s="120" t="s">
        <v>68</v>
      </c>
      <c r="C40" s="62">
        <v>0</v>
      </c>
      <c r="D40" s="64">
        <f>+D35*C40</f>
        <v>0</v>
      </c>
      <c r="E40" s="118">
        <f>IFERROR(ROUND(D40/$D$44,3),0)</f>
        <v>0</v>
      </c>
      <c r="F40" s="62">
        <v>0</v>
      </c>
      <c r="G40" s="64">
        <f>+G35*F40</f>
        <v>0</v>
      </c>
      <c r="H40" s="118">
        <f>IFERROR(ROUND(+G40/$G$44,3),0)</f>
        <v>0</v>
      </c>
      <c r="I40" s="62">
        <v>0</v>
      </c>
      <c r="J40" s="64">
        <f>+J35*I40</f>
        <v>0</v>
      </c>
      <c r="K40" s="118">
        <f>IFERROR(ROUND(+J40/$J$44,3),0)</f>
        <v>0</v>
      </c>
      <c r="L40" s="2"/>
      <c r="V40" s="284" t="s">
        <v>255</v>
      </c>
    </row>
    <row r="41" spans="1:22" s="48" customFormat="1" ht="14.65" outlineLevel="1">
      <c r="A41" s="5"/>
      <c r="B41" s="120" t="s">
        <v>69</v>
      </c>
      <c r="C41" s="119">
        <f>+(1-C40)</f>
        <v>1</v>
      </c>
      <c r="D41" s="64">
        <f>+D35-D40</f>
        <v>0</v>
      </c>
      <c r="E41" s="118">
        <f>IFERROR(ROUND(D41/$D$44,3),0)</f>
        <v>0</v>
      </c>
      <c r="F41" s="63">
        <f>+(1-F40)</f>
        <v>1</v>
      </c>
      <c r="G41" s="64">
        <f>+G35*F41</f>
        <v>0</v>
      </c>
      <c r="H41" s="118">
        <f>IFERROR(ROUND(+G41/$G$44,3),0)</f>
        <v>0</v>
      </c>
      <c r="I41" s="119">
        <f>+(1-I40)</f>
        <v>1</v>
      </c>
      <c r="J41" s="64">
        <f>+J35*I41</f>
        <v>0</v>
      </c>
      <c r="K41" s="118">
        <f>IFERROR(ROUND(J41/$J$44,3),0)</f>
        <v>0</v>
      </c>
      <c r="L41" s="2"/>
      <c r="V41" s="284" t="s">
        <v>256</v>
      </c>
    </row>
    <row r="42" spans="1:22" s="48" customFormat="1" ht="14.65" outlineLevel="1">
      <c r="A42" s="5"/>
      <c r="B42" s="120" t="s">
        <v>70</v>
      </c>
      <c r="C42" s="119">
        <f>IFERROR(D42/D36,0)</f>
        <v>0</v>
      </c>
      <c r="D42" s="64">
        <f>D46-D40</f>
        <v>0</v>
      </c>
      <c r="E42" s="118">
        <f>E46-E40</f>
        <v>0.8</v>
      </c>
      <c r="F42" s="5"/>
      <c r="G42" s="64">
        <f>G36*C42</f>
        <v>0</v>
      </c>
      <c r="H42" s="118">
        <f>IFERROR(G42/$G$44,0)</f>
        <v>0</v>
      </c>
      <c r="I42" s="5"/>
      <c r="J42" s="64">
        <f>J36*C42</f>
        <v>0</v>
      </c>
      <c r="K42" s="118">
        <f>IFERROR(J42/$J$44,0)</f>
        <v>0</v>
      </c>
      <c r="L42" s="2"/>
      <c r="V42" s="284" t="s">
        <v>257</v>
      </c>
    </row>
    <row r="43" spans="1:22" s="48" customFormat="1" ht="14.65" outlineLevel="1">
      <c r="A43" s="5"/>
      <c r="B43" s="120" t="s">
        <v>71</v>
      </c>
      <c r="C43" s="119">
        <f>IFERROR(D43/D36,0)</f>
        <v>0</v>
      </c>
      <c r="D43" s="64">
        <f>D47-D41</f>
        <v>0</v>
      </c>
      <c r="E43" s="118">
        <f>E47-E41</f>
        <v>0.2</v>
      </c>
      <c r="F43" s="5"/>
      <c r="G43" s="64">
        <f>G36*C43</f>
        <v>0</v>
      </c>
      <c r="H43" s="118">
        <f>IFERROR(G43/$G$44,0)</f>
        <v>0</v>
      </c>
      <c r="I43" s="5"/>
      <c r="J43" s="64">
        <f>J36*C43</f>
        <v>0</v>
      </c>
      <c r="K43" s="118">
        <f>IFERROR(J43/$J$44,0)</f>
        <v>0</v>
      </c>
      <c r="L43" s="2"/>
      <c r="V43" s="284" t="s">
        <v>38</v>
      </c>
    </row>
    <row r="44" spans="1:22" s="48" customFormat="1" ht="14.65" outlineLevel="1">
      <c r="A44" s="5"/>
      <c r="B44" s="5"/>
      <c r="C44" s="5"/>
      <c r="D44" s="64">
        <f>SUM(D40:D43)</f>
        <v>0</v>
      </c>
      <c r="E44" s="65">
        <f>SUM(E40:E43)</f>
        <v>1</v>
      </c>
      <c r="F44" s="5"/>
      <c r="G44" s="64">
        <f>SUM(G40:G43)</f>
        <v>0</v>
      </c>
      <c r="H44" s="65">
        <f>SUM(H40:H43)</f>
        <v>0</v>
      </c>
      <c r="I44" s="5"/>
      <c r="J44" s="64">
        <f>SUM(J40:J43)</f>
        <v>0</v>
      </c>
      <c r="K44" s="65">
        <f>SUM(K40:K43)</f>
        <v>0</v>
      </c>
      <c r="L44" s="2"/>
      <c r="V44" s="284" t="s">
        <v>258</v>
      </c>
    </row>
    <row r="45" spans="1:22" s="48" customFormat="1" ht="14.65" outlineLevel="1">
      <c r="A45" s="5"/>
      <c r="B45" s="49" t="s">
        <v>62</v>
      </c>
      <c r="C45" s="5"/>
      <c r="G45" s="5"/>
      <c r="H45" s="5"/>
      <c r="I45" s="5"/>
      <c r="J45" s="5"/>
      <c r="K45" s="5"/>
      <c r="L45" s="2"/>
      <c r="V45" s="284" t="s">
        <v>259</v>
      </c>
    </row>
    <row r="46" spans="1:22" s="48" customFormat="1" ht="14.65" outlineLevel="1">
      <c r="A46" s="5"/>
      <c r="B46" s="120" t="s">
        <v>72</v>
      </c>
      <c r="C46" s="5"/>
      <c r="D46" s="64">
        <f>E46*D37</f>
        <v>0</v>
      </c>
      <c r="E46" s="145">
        <v>0.8</v>
      </c>
      <c r="F46" s="5"/>
      <c r="G46" s="64">
        <f>+G40+G42</f>
        <v>0</v>
      </c>
      <c r="H46" s="65">
        <f>+H40+H42</f>
        <v>0</v>
      </c>
      <c r="I46" s="5"/>
      <c r="J46" s="64">
        <f>+J40+J42</f>
        <v>0</v>
      </c>
      <c r="K46" s="65">
        <f>+K40+K42</f>
        <v>0</v>
      </c>
      <c r="L46" s="2"/>
      <c r="V46" s="284" t="s">
        <v>260</v>
      </c>
    </row>
    <row r="47" spans="1:22" s="48" customFormat="1" ht="14.65" outlineLevel="1">
      <c r="A47" s="5"/>
      <c r="B47" s="120" t="s">
        <v>26</v>
      </c>
      <c r="C47" s="5"/>
      <c r="D47" s="64">
        <f>E47*D37</f>
        <v>0</v>
      </c>
      <c r="E47" s="145">
        <v>0.2</v>
      </c>
      <c r="F47" s="5"/>
      <c r="G47" s="64">
        <f>+G41+G43</f>
        <v>0</v>
      </c>
      <c r="H47" s="65">
        <f>1-H46</f>
        <v>1</v>
      </c>
      <c r="I47" s="5"/>
      <c r="J47" s="64">
        <f>+J41+J43</f>
        <v>0</v>
      </c>
      <c r="K47" s="65">
        <f>1-K46</f>
        <v>1</v>
      </c>
      <c r="L47" s="2"/>
      <c r="V47" s="284" t="s">
        <v>261</v>
      </c>
    </row>
    <row r="48" spans="1:22" s="48" customFormat="1" ht="14.65" outlineLevel="1">
      <c r="A48" s="5"/>
      <c r="B48" s="5"/>
      <c r="C48" s="5"/>
      <c r="D48" s="5"/>
      <c r="E48" s="5"/>
      <c r="F48" s="5"/>
      <c r="G48" s="5"/>
      <c r="H48" s="5"/>
      <c r="I48" s="5"/>
      <c r="J48" s="5"/>
      <c r="K48" s="5"/>
      <c r="L48" s="2"/>
    </row>
    <row r="49" spans="1:12" s="48" customFormat="1" ht="14.65" outlineLevel="1">
      <c r="A49" s="5"/>
      <c r="B49" s="49" t="s">
        <v>96</v>
      </c>
      <c r="C49" s="5"/>
      <c r="G49" s="5"/>
      <c r="H49" s="5"/>
      <c r="I49" s="5"/>
      <c r="J49" s="5"/>
      <c r="K49" s="5"/>
      <c r="L49" s="2"/>
    </row>
    <row r="50" spans="1:12" s="48" customFormat="1" ht="14.65" outlineLevel="1">
      <c r="A50" s="5"/>
      <c r="B50" s="120" t="s">
        <v>72</v>
      </c>
      <c r="C50" s="5"/>
      <c r="D50" s="64">
        <f>D46</f>
        <v>0</v>
      </c>
      <c r="E50" s="65">
        <f>IFERROR(D50/D29,0)</f>
        <v>0</v>
      </c>
      <c r="F50" s="5"/>
      <c r="G50" s="64">
        <f>G46</f>
        <v>0</v>
      </c>
      <c r="H50" s="65">
        <f>IFERROR(G50/G29,0)</f>
        <v>0</v>
      </c>
      <c r="I50" s="5"/>
      <c r="J50" s="64">
        <f>J46</f>
        <v>0</v>
      </c>
      <c r="K50" s="122">
        <f>IFERROR(J50/J29,0)</f>
        <v>0</v>
      </c>
      <c r="L50" s="2"/>
    </row>
    <row r="51" spans="1:12" s="48" customFormat="1" ht="14.65" outlineLevel="1">
      <c r="A51" s="5"/>
      <c r="B51" s="120" t="s">
        <v>26</v>
      </c>
      <c r="C51" s="5"/>
      <c r="D51" s="64">
        <f>D47</f>
        <v>0</v>
      </c>
      <c r="E51" s="65">
        <f>IFERROR(D51/D29,0)</f>
        <v>0</v>
      </c>
      <c r="F51" s="5"/>
      <c r="G51" s="64">
        <f>G47</f>
        <v>0</v>
      </c>
      <c r="H51" s="65">
        <f>IFERROR(G51/G29,0)</f>
        <v>0</v>
      </c>
      <c r="I51" s="5"/>
      <c r="J51" s="64">
        <f>J47</f>
        <v>0</v>
      </c>
      <c r="K51" s="65">
        <f>IFERROR(J51/J29,0)</f>
        <v>0</v>
      </c>
      <c r="L51" s="2"/>
    </row>
    <row r="52" spans="1:12" s="48" customFormat="1" ht="14.65" outlineLevel="1">
      <c r="A52" s="5"/>
      <c r="B52" s="5"/>
      <c r="C52" s="5"/>
      <c r="D52" s="5"/>
      <c r="E52" s="5"/>
      <c r="F52" s="5"/>
      <c r="G52" s="5"/>
      <c r="H52" s="5"/>
      <c r="I52" s="5"/>
      <c r="J52" s="5"/>
      <c r="K52" s="5"/>
      <c r="L52" s="2"/>
    </row>
    <row r="53" spans="1:12" s="48" customFormat="1" ht="14.65" outlineLevel="1">
      <c r="A53" s="5"/>
      <c r="B53" s="50" t="str">
        <f>CONCATENATE("3. ",+B27," - Pre-Cut Off Date Pension liabilities")</f>
        <v>3. Licensee 2 - Pre-Cut Off Date Pension liabilities</v>
      </c>
      <c r="C53" s="5"/>
      <c r="D53" s="5"/>
      <c r="E53" s="5"/>
      <c r="F53" s="5"/>
      <c r="G53" s="5"/>
      <c r="H53" s="5"/>
      <c r="I53" s="5"/>
      <c r="J53" s="5"/>
      <c r="K53" s="5"/>
      <c r="L53" s="2"/>
    </row>
    <row r="54" spans="1:12" s="48" customFormat="1" ht="14.65" outlineLevel="1">
      <c r="A54" s="5"/>
      <c r="B54" s="5"/>
      <c r="C54" s="465" t="s">
        <v>67</v>
      </c>
      <c r="D54" s="466"/>
      <c r="E54" s="467"/>
      <c r="F54" s="112" t="str">
        <f>D8</f>
        <v>31 March 2013</v>
      </c>
      <c r="G54" s="113"/>
      <c r="H54" s="114"/>
      <c r="I54" s="112" t="str">
        <f>D9</f>
        <v>31 March 2017</v>
      </c>
      <c r="J54" s="113"/>
      <c r="K54" s="114"/>
      <c r="L54" s="2"/>
    </row>
    <row r="55" spans="1:12" s="48" customFormat="1" ht="14.65" outlineLevel="1">
      <c r="A55" s="5"/>
      <c r="B55" s="5"/>
      <c r="C55" s="54"/>
      <c r="D55" s="55">
        <v>2004</v>
      </c>
      <c r="E55" s="55">
        <f>+D55</f>
        <v>2004</v>
      </c>
      <c r="F55" s="56"/>
      <c r="G55" s="55">
        <v>2016</v>
      </c>
      <c r="H55" s="55">
        <f>+G55</f>
        <v>2016</v>
      </c>
      <c r="I55" s="56"/>
      <c r="J55" s="55">
        <f>+J33</f>
        <v>2019</v>
      </c>
      <c r="K55" s="55">
        <f>+J55</f>
        <v>2019</v>
      </c>
      <c r="L55" s="2"/>
    </row>
    <row r="56" spans="1:12" s="48" customFormat="1" ht="14.65" outlineLevel="1">
      <c r="A56" s="5"/>
      <c r="B56" s="5"/>
      <c r="C56" s="5"/>
      <c r="D56" s="55" t="s">
        <v>0</v>
      </c>
      <c r="E56" s="55" t="s">
        <v>2</v>
      </c>
      <c r="F56" s="5"/>
      <c r="G56" s="55" t="s">
        <v>0</v>
      </c>
      <c r="H56" s="55" t="s">
        <v>2</v>
      </c>
      <c r="I56" s="5"/>
      <c r="J56" s="55" t="s">
        <v>0</v>
      </c>
      <c r="K56" s="55" t="s">
        <v>2</v>
      </c>
      <c r="L56" s="2"/>
    </row>
    <row r="57" spans="1:12" s="48" customFormat="1" ht="14.65" outlineLevel="1">
      <c r="A57" s="5"/>
      <c r="B57" s="104" t="s">
        <v>58</v>
      </c>
      <c r="C57" s="5"/>
      <c r="D57" s="58"/>
      <c r="E57" s="59">
        <f>IFERROR(D57/D59,0)</f>
        <v>0</v>
      </c>
      <c r="F57" s="5"/>
      <c r="G57" s="117"/>
      <c r="H57" s="60">
        <f>IFERROR(G57/G59,0)</f>
        <v>0</v>
      </c>
      <c r="I57" s="5"/>
      <c r="J57" s="58"/>
      <c r="K57" s="60">
        <f>IFERROR(J57/J59,0)</f>
        <v>0</v>
      </c>
      <c r="L57" s="2"/>
    </row>
    <row r="58" spans="1:12" s="48" customFormat="1" ht="14.65" outlineLevel="1">
      <c r="A58" s="5"/>
      <c r="B58" s="104" t="s">
        <v>59</v>
      </c>
      <c r="C58" s="5"/>
      <c r="D58" s="211">
        <f>D27-D57</f>
        <v>0</v>
      </c>
      <c r="E58" s="212">
        <f>IFERROR(D58/D59,0)</f>
        <v>0</v>
      </c>
      <c r="F58" s="213"/>
      <c r="G58" s="211">
        <f>G27-G57</f>
        <v>0</v>
      </c>
      <c r="H58" s="212">
        <f>IFERROR(1-H57,0)</f>
        <v>1</v>
      </c>
      <c r="I58" s="213"/>
      <c r="J58" s="211">
        <f>J27-J57</f>
        <v>0</v>
      </c>
      <c r="K58" s="61">
        <f>IFERROR(1-K57,0)</f>
        <v>1</v>
      </c>
      <c r="L58" s="2"/>
    </row>
    <row r="59" spans="1:12" s="48" customFormat="1" ht="14.65" outlineLevel="1">
      <c r="A59" s="5"/>
      <c r="B59" s="105" t="s">
        <v>60</v>
      </c>
      <c r="C59" s="5"/>
      <c r="D59" s="214">
        <f>D57+D58</f>
        <v>0</v>
      </c>
      <c r="E59" s="215"/>
      <c r="F59" s="213"/>
      <c r="G59" s="214">
        <f>G57+G58</f>
        <v>0</v>
      </c>
      <c r="H59" s="216"/>
      <c r="I59" s="217"/>
      <c r="J59" s="214">
        <f>J57+J58</f>
        <v>0</v>
      </c>
      <c r="K59" s="57"/>
      <c r="L59" s="2"/>
    </row>
    <row r="60" spans="1:12" s="48" customFormat="1" ht="14.65" outlineLevel="1">
      <c r="A60" s="5"/>
      <c r="B60" s="5"/>
      <c r="C60" s="5"/>
      <c r="D60" s="5"/>
      <c r="E60" s="5"/>
      <c r="F60" s="5"/>
      <c r="G60" s="5"/>
      <c r="H60" s="5"/>
      <c r="I60" s="5"/>
      <c r="J60" s="5"/>
      <c r="K60" s="5"/>
      <c r="L60" s="2"/>
    </row>
    <row r="61" spans="1:12" s="48" customFormat="1" ht="14.65" outlineLevel="1">
      <c r="A61" s="5"/>
      <c r="B61" s="50" t="s">
        <v>61</v>
      </c>
      <c r="C61" s="5"/>
      <c r="D61" s="5"/>
      <c r="E61" s="5"/>
      <c r="F61" s="5"/>
      <c r="G61" s="5"/>
      <c r="H61" s="5"/>
      <c r="I61" s="5"/>
      <c r="J61" s="5"/>
      <c r="K61" s="5"/>
      <c r="L61" s="2"/>
    </row>
    <row r="62" spans="1:12" s="48" customFormat="1" ht="14.65" outlineLevel="1">
      <c r="A62" s="5"/>
      <c r="B62" s="292" t="str">
        <f>CONCATENATE("Liabilities at ",+'P2.1 PDAM Licensee provided'!D9)</f>
        <v>Liabilities at 31 March 2017</v>
      </c>
      <c r="C62" s="62">
        <v>0</v>
      </c>
      <c r="D62" s="64">
        <f>+D57*C62</f>
        <v>0</v>
      </c>
      <c r="E62" s="118">
        <f>IFERROR(ROUND(D62/$D$44,3),0)</f>
        <v>0</v>
      </c>
      <c r="F62" s="62">
        <v>0</v>
      </c>
      <c r="G62" s="64">
        <f>+G57*F62</f>
        <v>0</v>
      </c>
      <c r="H62" s="118">
        <f>IFERROR(ROUND(+G62/$G$44,3),0)</f>
        <v>0</v>
      </c>
      <c r="I62" s="62">
        <v>0</v>
      </c>
      <c r="J62" s="64">
        <f>+J57*I62</f>
        <v>0</v>
      </c>
      <c r="K62" s="118">
        <f>IFERROR(ROUND(+J62/$J$44,3),0)</f>
        <v>0</v>
      </c>
      <c r="L62" s="2"/>
    </row>
    <row r="63" spans="1:12" s="48" customFormat="1" ht="14.65" outlineLevel="1">
      <c r="A63" s="5"/>
      <c r="B63" s="120" t="s">
        <v>69</v>
      </c>
      <c r="C63" s="119">
        <f>+(1-C62)</f>
        <v>1</v>
      </c>
      <c r="D63" s="64">
        <f>+D57-D62</f>
        <v>0</v>
      </c>
      <c r="E63" s="118">
        <f>IFERROR(ROUND(+D63/$D$44,3),0)</f>
        <v>0</v>
      </c>
      <c r="F63" s="63">
        <f>+(1-F62)</f>
        <v>1</v>
      </c>
      <c r="G63" s="64">
        <f>+G57*F63</f>
        <v>0</v>
      </c>
      <c r="H63" s="118">
        <f>IFERROR(ROUND(+G63/$G$44,3),0)</f>
        <v>0</v>
      </c>
      <c r="I63" s="119">
        <f>+(1-I62)</f>
        <v>1</v>
      </c>
      <c r="J63" s="64">
        <f>+J57*I63</f>
        <v>0</v>
      </c>
      <c r="K63" s="118">
        <f>IFERROR(ROUND(+J63/$J$44,3),0)</f>
        <v>0</v>
      </c>
      <c r="L63" s="2"/>
    </row>
    <row r="64" spans="1:12" s="48" customFormat="1" ht="14.65" outlineLevel="1">
      <c r="A64" s="5"/>
      <c r="B64" s="120" t="s">
        <v>70</v>
      </c>
      <c r="C64" s="119">
        <f>IFERROR(D64/D58,0)</f>
        <v>0</v>
      </c>
      <c r="D64" s="64">
        <f>D68-D62</f>
        <v>0</v>
      </c>
      <c r="E64" s="118">
        <f>80%-E62</f>
        <v>0.8</v>
      </c>
      <c r="F64" s="5"/>
      <c r="G64" s="64">
        <f>G58*C64</f>
        <v>0</v>
      </c>
      <c r="H64" s="118">
        <f>IFERROR(G64/$G$44,0)</f>
        <v>0</v>
      </c>
      <c r="I64" s="5"/>
      <c r="J64" s="64">
        <f>J58*C64</f>
        <v>0</v>
      </c>
      <c r="K64" s="118">
        <f>IFERROR(J64/$J$44,0)</f>
        <v>0</v>
      </c>
      <c r="L64" s="2"/>
    </row>
    <row r="65" spans="1:12" s="48" customFormat="1" ht="14.65" outlineLevel="1">
      <c r="A65" s="5"/>
      <c r="B65" s="120" t="s">
        <v>71</v>
      </c>
      <c r="C65" s="119">
        <f>IFERROR(D65/D58,0)</f>
        <v>0</v>
      </c>
      <c r="D65" s="64">
        <f>D69-D63</f>
        <v>0</v>
      </c>
      <c r="E65" s="118">
        <f>20%-E63</f>
        <v>0.2</v>
      </c>
      <c r="F65" s="5"/>
      <c r="G65" s="64">
        <f>G58*C65</f>
        <v>0</v>
      </c>
      <c r="H65" s="118">
        <f>IFERROR(G65/$G$44,0)</f>
        <v>0</v>
      </c>
      <c r="I65" s="5"/>
      <c r="J65" s="64">
        <f>J58*C65</f>
        <v>0</v>
      </c>
      <c r="K65" s="118">
        <f>IFERROR(J65/$J$44,0)</f>
        <v>0</v>
      </c>
      <c r="L65" s="2"/>
    </row>
    <row r="66" spans="1:12" s="48" customFormat="1" ht="14.65" outlineLevel="1">
      <c r="A66" s="5"/>
      <c r="B66" s="5"/>
      <c r="C66" s="5"/>
      <c r="D66" s="64">
        <f>SUM(D62:D65)</f>
        <v>0</v>
      </c>
      <c r="E66" s="65">
        <f>SUM(E62:E65)</f>
        <v>1</v>
      </c>
      <c r="F66" s="5"/>
      <c r="G66" s="64">
        <f>SUM(G62:G65)</f>
        <v>0</v>
      </c>
      <c r="H66" s="65">
        <f>SUM(H62:H65)</f>
        <v>0</v>
      </c>
      <c r="I66" s="5"/>
      <c r="J66" s="64">
        <f>SUM(J62:J65)</f>
        <v>0</v>
      </c>
      <c r="K66" s="65">
        <f>SUM(K62:K65)</f>
        <v>0</v>
      </c>
      <c r="L66" s="2"/>
    </row>
    <row r="67" spans="1:12" s="48" customFormat="1" ht="14.65" outlineLevel="1">
      <c r="A67" s="5"/>
      <c r="B67" s="49" t="s">
        <v>62</v>
      </c>
      <c r="C67" s="5"/>
      <c r="G67" s="5"/>
      <c r="H67" s="5"/>
      <c r="I67" s="5"/>
      <c r="J67" s="5"/>
      <c r="K67" s="5"/>
      <c r="L67" s="2"/>
    </row>
    <row r="68" spans="1:12" s="48" customFormat="1" ht="14.65" outlineLevel="1">
      <c r="A68" s="5"/>
      <c r="B68" s="120" t="s">
        <v>72</v>
      </c>
      <c r="C68" s="5"/>
      <c r="D68" s="64">
        <f>E68*D59</f>
        <v>0</v>
      </c>
      <c r="E68" s="62">
        <v>0.8</v>
      </c>
      <c r="F68" s="5"/>
      <c r="G68" s="64">
        <f>+G62+G64</f>
        <v>0</v>
      </c>
      <c r="H68" s="65">
        <f>+H62+H64</f>
        <v>0</v>
      </c>
      <c r="I68" s="5"/>
      <c r="J68" s="64">
        <f>+J62+J64</f>
        <v>0</v>
      </c>
      <c r="K68" s="65">
        <f>+K62+K64</f>
        <v>0</v>
      </c>
      <c r="L68" s="2"/>
    </row>
    <row r="69" spans="1:12" s="48" customFormat="1" ht="14.65" outlineLevel="1">
      <c r="A69" s="5"/>
      <c r="B69" s="120" t="s">
        <v>26</v>
      </c>
      <c r="C69" s="5"/>
      <c r="D69" s="64">
        <f>E69*D59</f>
        <v>0</v>
      </c>
      <c r="E69" s="62">
        <v>0.2</v>
      </c>
      <c r="F69" s="5"/>
      <c r="G69" s="64">
        <f>+G63+G65</f>
        <v>0</v>
      </c>
      <c r="H69" s="65">
        <f>1-H68</f>
        <v>1</v>
      </c>
      <c r="I69" s="5"/>
      <c r="J69" s="64">
        <f>+J63+J65</f>
        <v>0</v>
      </c>
      <c r="K69" s="65">
        <f>1-K68</f>
        <v>1</v>
      </c>
      <c r="L69" s="2"/>
    </row>
    <row r="70" spans="1:12" s="48" customFormat="1" ht="14.65" outlineLevel="1">
      <c r="A70" s="5"/>
      <c r="B70" s="5"/>
      <c r="C70" s="5"/>
      <c r="D70" s="5"/>
      <c r="E70" s="5"/>
      <c r="F70" s="5"/>
      <c r="G70" s="5"/>
      <c r="H70" s="5"/>
      <c r="I70" s="5"/>
      <c r="J70" s="5"/>
      <c r="K70" s="5"/>
      <c r="L70" s="2"/>
    </row>
    <row r="71" spans="1:12" s="48" customFormat="1" ht="14.65" outlineLevel="1">
      <c r="A71" s="5"/>
      <c r="B71" s="49" t="s">
        <v>96</v>
      </c>
      <c r="C71" s="5"/>
      <c r="D71" s="5"/>
      <c r="E71" s="5"/>
      <c r="F71" s="5"/>
      <c r="G71" s="5"/>
      <c r="H71" s="5"/>
      <c r="I71" s="5"/>
      <c r="J71" s="5"/>
      <c r="K71" s="5"/>
      <c r="L71" s="2"/>
    </row>
    <row r="72" spans="1:12" s="48" customFormat="1" ht="14.65" outlineLevel="1">
      <c r="A72" s="5"/>
      <c r="B72" s="120" t="s">
        <v>72</v>
      </c>
      <c r="C72" s="5"/>
      <c r="D72" s="64">
        <f>D68</f>
        <v>0</v>
      </c>
      <c r="E72" s="65">
        <f>IFERROR(D72/D29,0)</f>
        <v>0</v>
      </c>
      <c r="F72" s="5"/>
      <c r="G72" s="64">
        <f>G68</f>
        <v>0</v>
      </c>
      <c r="H72" s="65">
        <f>IFERROR(G72/G29,0)</f>
        <v>0</v>
      </c>
      <c r="I72" s="5"/>
      <c r="J72" s="64">
        <f>J68</f>
        <v>0</v>
      </c>
      <c r="K72" s="65">
        <f>IFERROR(J72/J29,0)</f>
        <v>0</v>
      </c>
      <c r="L72" s="2"/>
    </row>
    <row r="73" spans="1:12" s="48" customFormat="1" ht="14.65" outlineLevel="1">
      <c r="A73" s="5"/>
      <c r="B73" s="120" t="s">
        <v>26</v>
      </c>
      <c r="C73" s="5"/>
      <c r="D73" s="64">
        <f>D69</f>
        <v>0</v>
      </c>
      <c r="E73" s="65">
        <f>IFERROR(D73/D29,0)</f>
        <v>0</v>
      </c>
      <c r="F73" s="5"/>
      <c r="G73" s="64">
        <f>G69</f>
        <v>0</v>
      </c>
      <c r="H73" s="65">
        <f>IFERROR(G73/G29,0)</f>
        <v>0</v>
      </c>
      <c r="I73" s="5"/>
      <c r="J73" s="64">
        <f>J69</f>
        <v>0</v>
      </c>
      <c r="K73" s="65">
        <f>IFERROR(J73/J29,0)</f>
        <v>0</v>
      </c>
      <c r="L73" s="2"/>
    </row>
    <row r="74" spans="1:12" s="48" customFormat="1" ht="14.65" outlineLevel="1">
      <c r="A74" s="5"/>
      <c r="B74" s="5"/>
      <c r="C74" s="5"/>
      <c r="D74" s="5"/>
      <c r="E74" s="5"/>
      <c r="F74" s="5"/>
      <c r="G74" s="5"/>
      <c r="H74" s="5"/>
      <c r="I74" s="5"/>
      <c r="J74" s="5"/>
      <c r="K74" s="5"/>
      <c r="L74" s="2"/>
    </row>
    <row r="75" spans="1:12" s="48" customFormat="1" ht="14.65" outlineLevel="1">
      <c r="A75" s="5"/>
      <c r="B75" s="50" t="str">
        <f>CONCATENATE("4. ",B28," - Pre-Cut Off Date Pension liabilities")</f>
        <v>4. Licensee 3 - Pre-Cut Off Date Pension liabilities</v>
      </c>
      <c r="C75" s="5"/>
      <c r="D75" s="5"/>
      <c r="E75" s="5"/>
      <c r="F75" s="5"/>
      <c r="G75" s="5"/>
      <c r="H75" s="5"/>
      <c r="I75" s="5"/>
      <c r="J75" s="5"/>
      <c r="K75" s="5"/>
      <c r="L75" s="2"/>
    </row>
    <row r="76" spans="1:12" s="48" customFormat="1" ht="14.65" outlineLevel="1">
      <c r="A76" s="5"/>
      <c r="B76" s="5"/>
      <c r="C76" s="465" t="s">
        <v>67</v>
      </c>
      <c r="D76" s="466"/>
      <c r="E76" s="467"/>
      <c r="F76" s="112" t="str">
        <f>D8</f>
        <v>31 March 2013</v>
      </c>
      <c r="G76" s="113"/>
      <c r="H76" s="114"/>
      <c r="I76" s="112" t="str">
        <f>D9</f>
        <v>31 March 2017</v>
      </c>
      <c r="J76" s="113"/>
      <c r="K76" s="114"/>
      <c r="L76" s="2"/>
    </row>
    <row r="77" spans="1:12" s="48" customFormat="1" ht="14.65" outlineLevel="1">
      <c r="A77" s="5"/>
      <c r="B77" s="5"/>
      <c r="C77" s="54"/>
      <c r="D77" s="55">
        <v>2004</v>
      </c>
      <c r="E77" s="55">
        <f>+D77</f>
        <v>2004</v>
      </c>
      <c r="F77" s="56"/>
      <c r="G77" s="55">
        <v>2016</v>
      </c>
      <c r="H77" s="55">
        <f>+G77</f>
        <v>2016</v>
      </c>
      <c r="I77" s="56"/>
      <c r="J77" s="55">
        <f>+J33</f>
        <v>2019</v>
      </c>
      <c r="K77" s="55">
        <f>+J77</f>
        <v>2019</v>
      </c>
      <c r="L77" s="2"/>
    </row>
    <row r="78" spans="1:12" s="48" customFormat="1" ht="14.65" outlineLevel="1">
      <c r="A78" s="5"/>
      <c r="B78" s="5"/>
      <c r="C78" s="5"/>
      <c r="D78" s="55" t="s">
        <v>0</v>
      </c>
      <c r="E78" s="55" t="s">
        <v>2</v>
      </c>
      <c r="F78" s="5"/>
      <c r="G78" s="55" t="s">
        <v>0</v>
      </c>
      <c r="H78" s="55" t="s">
        <v>2</v>
      </c>
      <c r="I78" s="5"/>
      <c r="J78" s="55" t="s">
        <v>0</v>
      </c>
      <c r="K78" s="55" t="s">
        <v>2</v>
      </c>
      <c r="L78" s="2"/>
    </row>
    <row r="79" spans="1:12" s="48" customFormat="1" ht="14.65" outlineLevel="1">
      <c r="A79" s="5"/>
      <c r="B79" s="104" t="s">
        <v>58</v>
      </c>
      <c r="C79" s="5"/>
      <c r="D79" s="117">
        <v>0</v>
      </c>
      <c r="E79" s="59">
        <f>IFERROR(D79/D81,0)</f>
        <v>0</v>
      </c>
      <c r="F79" s="5"/>
      <c r="G79" s="117">
        <v>0</v>
      </c>
      <c r="H79" s="60">
        <f>IFERROR(G79/G81,0)</f>
        <v>0</v>
      </c>
      <c r="I79" s="5"/>
      <c r="J79" s="117">
        <v>0</v>
      </c>
      <c r="K79" s="60">
        <f>IFERROR(J79/J81,0)</f>
        <v>0</v>
      </c>
      <c r="L79" s="2"/>
    </row>
    <row r="80" spans="1:12" s="48" customFormat="1" ht="14.65" outlineLevel="1">
      <c r="A80" s="5"/>
      <c r="B80" s="104" t="s">
        <v>59</v>
      </c>
      <c r="C80" s="5"/>
      <c r="D80" s="211">
        <f>D28-D79</f>
        <v>0</v>
      </c>
      <c r="E80" s="212">
        <f>IFERROR(D80/D81,0)</f>
        <v>0</v>
      </c>
      <c r="F80" s="213"/>
      <c r="G80" s="211">
        <f>G28-G79</f>
        <v>0</v>
      </c>
      <c r="H80" s="212">
        <f>IFERROR(1-H79,0)</f>
        <v>1</v>
      </c>
      <c r="I80" s="213"/>
      <c r="J80" s="211">
        <f>J28-J79</f>
        <v>0</v>
      </c>
      <c r="K80" s="61">
        <f>IFERROR(1-K79,0)</f>
        <v>1</v>
      </c>
      <c r="L80" s="2"/>
    </row>
    <row r="81" spans="1:12" s="48" customFormat="1" ht="14.65" outlineLevel="1">
      <c r="A81" s="5"/>
      <c r="B81" s="105" t="s">
        <v>60</v>
      </c>
      <c r="C81" s="5"/>
      <c r="D81" s="214">
        <f>D79+D80</f>
        <v>0</v>
      </c>
      <c r="E81" s="215"/>
      <c r="F81" s="213"/>
      <c r="G81" s="214">
        <f>G79+G80</f>
        <v>0</v>
      </c>
      <c r="H81" s="216"/>
      <c r="I81" s="217"/>
      <c r="J81" s="214">
        <f>J79+J80</f>
        <v>0</v>
      </c>
      <c r="K81" s="57"/>
      <c r="L81" s="2"/>
    </row>
    <row r="82" spans="1:12" s="48" customFormat="1" ht="14.65" outlineLevel="1">
      <c r="A82" s="5"/>
      <c r="B82" s="5"/>
      <c r="C82" s="5"/>
      <c r="D82" s="5"/>
      <c r="E82" s="5"/>
      <c r="F82" s="5"/>
      <c r="G82" s="5"/>
      <c r="H82" s="5"/>
      <c r="I82" s="5"/>
      <c r="J82" s="5"/>
      <c r="K82" s="5"/>
      <c r="L82" s="2"/>
    </row>
    <row r="83" spans="1:12" s="48" customFormat="1" ht="14.65" outlineLevel="1">
      <c r="A83" s="5"/>
      <c r="B83" s="50" t="s">
        <v>61</v>
      </c>
      <c r="C83" s="5"/>
      <c r="D83" s="5"/>
      <c r="E83" s="5"/>
      <c r="F83" s="5"/>
      <c r="G83" s="5"/>
      <c r="H83" s="5"/>
      <c r="I83" s="5"/>
      <c r="J83" s="5"/>
      <c r="K83" s="5"/>
      <c r="L83" s="2"/>
    </row>
    <row r="84" spans="1:12" s="48" customFormat="1" ht="14.65" outlineLevel="1">
      <c r="A84" s="5"/>
      <c r="B84" s="120" t="s">
        <v>68</v>
      </c>
      <c r="C84" s="62">
        <v>0</v>
      </c>
      <c r="D84" s="64">
        <f>+D79*C84</f>
        <v>0</v>
      </c>
      <c r="E84" s="118">
        <f>IFERROR(ROUND(D84/$D$44,3),0)</f>
        <v>0</v>
      </c>
      <c r="F84" s="62">
        <v>0</v>
      </c>
      <c r="G84" s="64">
        <f>+G79*F84</f>
        <v>0</v>
      </c>
      <c r="H84" s="118">
        <f>IFERROR(ROUND(+G84/$G$44,3),0)</f>
        <v>0</v>
      </c>
      <c r="I84" s="62">
        <v>0</v>
      </c>
      <c r="J84" s="64">
        <f>+J79*I84</f>
        <v>0</v>
      </c>
      <c r="K84" s="118">
        <f>IFERROR(ROUND(J84/$J$44,3),0)</f>
        <v>0</v>
      </c>
      <c r="L84" s="2"/>
    </row>
    <row r="85" spans="1:12" s="48" customFormat="1" ht="14.65" outlineLevel="1">
      <c r="A85" s="5"/>
      <c r="B85" s="120" t="s">
        <v>69</v>
      </c>
      <c r="C85" s="119">
        <f>+(1-C84)</f>
        <v>1</v>
      </c>
      <c r="D85" s="64">
        <f>+D79-D84</f>
        <v>0</v>
      </c>
      <c r="E85" s="118">
        <f>IFERROR(ROUND(+D85/$D$44,3),0)</f>
        <v>0</v>
      </c>
      <c r="F85" s="63">
        <f>+(1-F84)</f>
        <v>1</v>
      </c>
      <c r="G85" s="64">
        <f>+G79*F85</f>
        <v>0</v>
      </c>
      <c r="H85" s="118">
        <f>IFERROR(ROUND(+G85/$G$44,3),0)</f>
        <v>0</v>
      </c>
      <c r="I85" s="119">
        <f>+(1-I84)</f>
        <v>1</v>
      </c>
      <c r="J85" s="64">
        <f>+J79*I85</f>
        <v>0</v>
      </c>
      <c r="K85" s="118">
        <f>IFERROR(ROUND(J85/$J$44,3),0)</f>
        <v>0</v>
      </c>
      <c r="L85" s="2"/>
    </row>
    <row r="86" spans="1:12" s="48" customFormat="1" ht="14.65" outlineLevel="1">
      <c r="A86" s="5"/>
      <c r="B86" s="120" t="s">
        <v>70</v>
      </c>
      <c r="C86" s="119">
        <f>IFERROR(D86/D80,0)</f>
        <v>0</v>
      </c>
      <c r="D86" s="64">
        <f>D90-D84</f>
        <v>0</v>
      </c>
      <c r="E86" s="118">
        <f>80%-E84</f>
        <v>0.8</v>
      </c>
      <c r="F86" s="5"/>
      <c r="G86" s="64">
        <f>G80*C86</f>
        <v>0</v>
      </c>
      <c r="H86" s="118">
        <f>IFERROR(G86/$G$44,0)</f>
        <v>0</v>
      </c>
      <c r="I86" s="5"/>
      <c r="J86" s="64">
        <f>J80*C86</f>
        <v>0</v>
      </c>
      <c r="K86" s="118">
        <f>IFERROR(J86/$J$44,0)</f>
        <v>0</v>
      </c>
      <c r="L86" s="2"/>
    </row>
    <row r="87" spans="1:12" s="48" customFormat="1" ht="14.65" outlineLevel="1">
      <c r="A87" s="5"/>
      <c r="B87" s="120" t="s">
        <v>71</v>
      </c>
      <c r="C87" s="119">
        <f>IFERROR(D87/D80,0)</f>
        <v>0</v>
      </c>
      <c r="D87" s="64">
        <f>D91-D85</f>
        <v>0</v>
      </c>
      <c r="E87" s="118">
        <f>20%-E85</f>
        <v>0.2</v>
      </c>
      <c r="F87" s="5"/>
      <c r="G87" s="64">
        <f>G80*C87</f>
        <v>0</v>
      </c>
      <c r="H87" s="118">
        <f>IFERROR(G87/$G$44,0)</f>
        <v>0</v>
      </c>
      <c r="I87" s="5"/>
      <c r="J87" s="64">
        <f>J80*C87</f>
        <v>0</v>
      </c>
      <c r="K87" s="118">
        <f>IFERROR(J87/$J$44,0)</f>
        <v>0</v>
      </c>
      <c r="L87" s="2"/>
    </row>
    <row r="88" spans="1:12" s="48" customFormat="1" ht="14.65" outlineLevel="1">
      <c r="A88" s="5"/>
      <c r="B88" s="5"/>
      <c r="C88" s="5"/>
      <c r="D88" s="64">
        <f>SUM(D84:D87)</f>
        <v>0</v>
      </c>
      <c r="E88" s="65">
        <f>SUM(E84:E87)</f>
        <v>1</v>
      </c>
      <c r="F88" s="5"/>
      <c r="G88" s="64">
        <f>SUM(G84:G87)</f>
        <v>0</v>
      </c>
      <c r="H88" s="65">
        <f>SUM(H84:H87)</f>
        <v>0</v>
      </c>
      <c r="I88" s="5"/>
      <c r="J88" s="64">
        <f>SUM(J84:J87)</f>
        <v>0</v>
      </c>
      <c r="K88" s="65">
        <f>SUM(K84:K87)</f>
        <v>0</v>
      </c>
      <c r="L88" s="2"/>
    </row>
    <row r="89" spans="1:12" s="48" customFormat="1" ht="14.65" outlineLevel="1">
      <c r="A89" s="5"/>
      <c r="B89" s="49" t="s">
        <v>62</v>
      </c>
      <c r="C89" s="5"/>
      <c r="G89" s="5"/>
      <c r="H89" s="5"/>
      <c r="I89" s="5"/>
      <c r="J89" s="5"/>
      <c r="K89" s="5"/>
      <c r="L89" s="2"/>
    </row>
    <row r="90" spans="1:12" s="48" customFormat="1" ht="14.65" outlineLevel="1">
      <c r="A90" s="5"/>
      <c r="B90" s="120" t="s">
        <v>72</v>
      </c>
      <c r="C90" s="5"/>
      <c r="D90" s="64">
        <f>E90*D81</f>
        <v>0</v>
      </c>
      <c r="E90" s="62">
        <v>0.8</v>
      </c>
      <c r="F90" s="5"/>
      <c r="G90" s="64">
        <f>+G84+G86</f>
        <v>0</v>
      </c>
      <c r="H90" s="65">
        <f>+H84+H86</f>
        <v>0</v>
      </c>
      <c r="I90" s="5"/>
      <c r="J90" s="64">
        <f>+J84+J86</f>
        <v>0</v>
      </c>
      <c r="K90" s="65">
        <f>+K84+K86</f>
        <v>0</v>
      </c>
      <c r="L90" s="2"/>
    </row>
    <row r="91" spans="1:12" s="48" customFormat="1" ht="14.65" outlineLevel="1">
      <c r="A91" s="5"/>
      <c r="B91" s="120" t="s">
        <v>26</v>
      </c>
      <c r="C91" s="5"/>
      <c r="D91" s="64">
        <f>E91*D81</f>
        <v>0</v>
      </c>
      <c r="E91" s="62">
        <v>0.2</v>
      </c>
      <c r="F91" s="5"/>
      <c r="G91" s="64">
        <f>+G85+G87</f>
        <v>0</v>
      </c>
      <c r="H91" s="65">
        <f>1-H90</f>
        <v>1</v>
      </c>
      <c r="I91" s="5"/>
      <c r="J91" s="64">
        <f>+J85+J87</f>
        <v>0</v>
      </c>
      <c r="K91" s="65">
        <f>1-K90</f>
        <v>1</v>
      </c>
      <c r="L91" s="2"/>
    </row>
    <row r="92" spans="1:12" s="48" customFormat="1" ht="14.65" outlineLevel="1">
      <c r="A92" s="5"/>
      <c r="B92" s="5"/>
      <c r="C92" s="5"/>
      <c r="E92" s="5"/>
      <c r="F92" s="5"/>
      <c r="G92" s="5"/>
      <c r="H92" s="5"/>
      <c r="I92" s="5"/>
      <c r="J92" s="5"/>
      <c r="K92" s="5"/>
      <c r="L92" s="2"/>
    </row>
    <row r="93" spans="1:12" s="48" customFormat="1" ht="14.65" outlineLevel="1">
      <c r="A93" s="5"/>
      <c r="B93" s="49" t="s">
        <v>96</v>
      </c>
      <c r="C93" s="5"/>
      <c r="D93" s="5"/>
      <c r="E93" s="5"/>
      <c r="F93" s="5"/>
      <c r="G93" s="5"/>
      <c r="H93" s="5"/>
      <c r="I93" s="5"/>
      <c r="J93" s="5"/>
      <c r="K93" s="5"/>
      <c r="L93" s="2"/>
    </row>
    <row r="94" spans="1:12" s="48" customFormat="1" ht="14.65" outlineLevel="1">
      <c r="A94" s="5"/>
      <c r="B94" s="120" t="s">
        <v>72</v>
      </c>
      <c r="C94" s="5"/>
      <c r="D94" s="64">
        <f>D90</f>
        <v>0</v>
      </c>
      <c r="E94" s="65">
        <f>IFERROR(D94/D29,0)</f>
        <v>0</v>
      </c>
      <c r="F94" s="5"/>
      <c r="G94" s="64">
        <f>G90</f>
        <v>0</v>
      </c>
      <c r="H94" s="65">
        <f>IFERROR(G94/G29,0)</f>
        <v>0</v>
      </c>
      <c r="I94" s="5"/>
      <c r="J94" s="64">
        <f>J90</f>
        <v>0</v>
      </c>
      <c r="K94" s="65">
        <f>IFERROR(J94/J29,0)</f>
        <v>0</v>
      </c>
      <c r="L94" s="2"/>
    </row>
    <row r="95" spans="1:12" s="48" customFormat="1" ht="14.65" outlineLevel="1">
      <c r="A95" s="5"/>
      <c r="B95" s="120" t="s">
        <v>26</v>
      </c>
      <c r="C95" s="5"/>
      <c r="D95" s="64">
        <f>D91</f>
        <v>0</v>
      </c>
      <c r="E95" s="65">
        <f>IFERROR(D95/D29,0)</f>
        <v>0</v>
      </c>
      <c r="F95" s="5"/>
      <c r="G95" s="64">
        <f>G91</f>
        <v>0</v>
      </c>
      <c r="H95" s="65">
        <f>IFERROR(G95/G29,0)</f>
        <v>0</v>
      </c>
      <c r="I95" s="5"/>
      <c r="J95" s="64">
        <f>J91</f>
        <v>0</v>
      </c>
      <c r="K95" s="65">
        <f>IFERROR(J95/J29,0)</f>
        <v>0</v>
      </c>
      <c r="L95" s="2"/>
    </row>
    <row r="96" spans="1:12" s="48" customFormat="1" ht="14.65" outlineLevel="1">
      <c r="A96" s="5"/>
      <c r="B96" s="5"/>
      <c r="C96" s="5"/>
      <c r="D96" s="5"/>
      <c r="E96" s="5"/>
      <c r="F96" s="5"/>
      <c r="G96" s="5"/>
      <c r="H96" s="5"/>
      <c r="I96" s="5"/>
      <c r="J96" s="5"/>
      <c r="K96" s="5"/>
      <c r="L96" s="2"/>
    </row>
    <row r="97" spans="1:12" s="48" customFormat="1" ht="14.65">
      <c r="A97" s="5"/>
      <c r="B97" s="5"/>
      <c r="C97" s="5"/>
      <c r="D97" s="5"/>
      <c r="E97" s="5"/>
      <c r="F97" s="5"/>
      <c r="G97" s="5"/>
      <c r="H97" s="5"/>
      <c r="I97" s="5"/>
      <c r="J97" s="5"/>
      <c r="K97" s="5"/>
      <c r="L97" s="2"/>
    </row>
    <row r="98" spans="1:12" s="48" customFormat="1" ht="14.65">
      <c r="A98" s="5"/>
      <c r="B98" s="456" t="s">
        <v>74</v>
      </c>
      <c r="C98" s="456"/>
      <c r="D98" s="457"/>
      <c r="E98" s="457"/>
      <c r="F98" s="2"/>
      <c r="G98" s="2"/>
      <c r="H98" s="2"/>
      <c r="I98" s="2"/>
      <c r="J98" s="2"/>
      <c r="K98" s="2"/>
      <c r="L98" s="2"/>
    </row>
    <row r="99" spans="1:12" s="48" customFormat="1" ht="14.65" outlineLevel="1">
      <c r="A99" s="5"/>
      <c r="B99" s="318"/>
      <c r="C99" s="2"/>
      <c r="D99" s="2"/>
      <c r="E99" s="2"/>
      <c r="F99" s="2"/>
      <c r="G99" s="2"/>
      <c r="H99" s="2"/>
      <c r="I99" s="2"/>
      <c r="J99" s="2"/>
      <c r="K99" s="2"/>
      <c r="L99" s="2"/>
    </row>
    <row r="100" spans="1:12" s="48" customFormat="1" ht="14.65" outlineLevel="1">
      <c r="A100" s="5"/>
      <c r="B100" s="318"/>
      <c r="C100" s="100" t="str">
        <f>+C13</f>
        <v>Licensee 1</v>
      </c>
      <c r="D100" s="101"/>
      <c r="E100" s="102"/>
      <c r="F100" s="100" t="str">
        <f>+D13</f>
        <v>Licensee 2</v>
      </c>
      <c r="G100" s="101"/>
      <c r="H100" s="102"/>
      <c r="I100" s="100" t="str">
        <f>+E13</f>
        <v>Licensee 3</v>
      </c>
      <c r="J100" s="101"/>
      <c r="K100" s="102"/>
      <c r="L100" s="2"/>
    </row>
    <row r="101" spans="1:12" s="48" customFormat="1" ht="14.65" outlineLevel="1">
      <c r="A101" s="5"/>
      <c r="B101" s="53" t="s">
        <v>63</v>
      </c>
      <c r="C101" s="51">
        <v>2017</v>
      </c>
      <c r="D101" s="52">
        <f>+C101+1</f>
        <v>2018</v>
      </c>
      <c r="E101" s="52">
        <f>+D101+1</f>
        <v>2019</v>
      </c>
      <c r="F101" s="52">
        <f>+C101</f>
        <v>2017</v>
      </c>
      <c r="G101" s="52">
        <f>+F101+1</f>
        <v>2018</v>
      </c>
      <c r="H101" s="52">
        <f>+G101+1</f>
        <v>2019</v>
      </c>
      <c r="I101" s="52">
        <f>+C101</f>
        <v>2017</v>
      </c>
      <c r="J101" s="52">
        <f>+I101+1</f>
        <v>2018</v>
      </c>
      <c r="K101" s="52">
        <f>+J101+1</f>
        <v>2019</v>
      </c>
      <c r="L101" s="2"/>
    </row>
    <row r="102" spans="1:12" s="48" customFormat="1" ht="14.65" outlineLevel="1">
      <c r="A102" s="5"/>
      <c r="B102" s="25" t="s">
        <v>40</v>
      </c>
      <c r="C102" s="21">
        <v>5.0500000000000003E-2</v>
      </c>
      <c r="D102" s="21">
        <v>5.0500000000000003E-2</v>
      </c>
      <c r="E102" s="21">
        <v>4.7500000000000001E-2</v>
      </c>
      <c r="F102" s="103">
        <f>+C102</f>
        <v>5.0500000000000003E-2</v>
      </c>
      <c r="G102" s="103">
        <f>+D102</f>
        <v>5.0500000000000003E-2</v>
      </c>
      <c r="H102" s="103">
        <f>+E102</f>
        <v>4.7500000000000001E-2</v>
      </c>
      <c r="I102" s="103">
        <f>+F102</f>
        <v>5.0500000000000003E-2</v>
      </c>
      <c r="J102" s="103">
        <f>+G102</f>
        <v>5.0500000000000003E-2</v>
      </c>
      <c r="K102" s="103">
        <f>+H102</f>
        <v>4.7500000000000001E-2</v>
      </c>
      <c r="L102" s="2"/>
    </row>
    <row r="103" spans="1:12" s="48" customFormat="1" ht="14.65" outlineLevel="1">
      <c r="A103" s="5"/>
      <c r="B103" s="31"/>
      <c r="C103" s="32" t="s">
        <v>0</v>
      </c>
      <c r="D103" s="32" t="s">
        <v>0</v>
      </c>
      <c r="E103" s="32" t="s">
        <v>0</v>
      </c>
      <c r="F103" s="32" t="s">
        <v>0</v>
      </c>
      <c r="G103" s="32" t="s">
        <v>0</v>
      </c>
      <c r="H103" s="32" t="s">
        <v>0</v>
      </c>
      <c r="I103" s="32" t="s">
        <v>0</v>
      </c>
      <c r="J103" s="32" t="s">
        <v>0</v>
      </c>
      <c r="K103" s="32" t="s">
        <v>0</v>
      </c>
      <c r="L103" s="2"/>
    </row>
    <row r="104" spans="1:12" s="48" customFormat="1" ht="14.65" outlineLevel="1">
      <c r="A104" s="5"/>
      <c r="B104" s="25" t="str">
        <f>CONCATENATE("Opening balance from previous valuation at ",+D8)</f>
        <v>Opening balance from previous valuation at 31 March 2013</v>
      </c>
      <c r="C104" s="16">
        <v>0</v>
      </c>
      <c r="D104" s="33">
        <f>+C107</f>
        <v>0</v>
      </c>
      <c r="E104" s="33">
        <f>+D107</f>
        <v>0</v>
      </c>
      <c r="F104" s="16">
        <v>0</v>
      </c>
      <c r="G104" s="33">
        <f>+F107</f>
        <v>0</v>
      </c>
      <c r="H104" s="33">
        <f>+G107</f>
        <v>0</v>
      </c>
      <c r="I104" s="16">
        <v>0</v>
      </c>
      <c r="J104" s="33">
        <f>+I107</f>
        <v>0</v>
      </c>
      <c r="K104" s="33">
        <f>+J107</f>
        <v>0</v>
      </c>
      <c r="L104" s="2"/>
    </row>
    <row r="105" spans="1:12" s="48" customFormat="1" ht="14.65" outlineLevel="1">
      <c r="A105" s="5"/>
      <c r="B105" s="25" t="s">
        <v>39</v>
      </c>
      <c r="C105" s="33">
        <f>+C104*C102</f>
        <v>0</v>
      </c>
      <c r="D105" s="33">
        <f t="shared" ref="D105:K105" si="4">+D104*D102</f>
        <v>0</v>
      </c>
      <c r="E105" s="33">
        <f t="shared" si="4"/>
        <v>0</v>
      </c>
      <c r="F105" s="33">
        <f t="shared" si="4"/>
        <v>0</v>
      </c>
      <c r="G105" s="33">
        <f t="shared" si="4"/>
        <v>0</v>
      </c>
      <c r="H105" s="33">
        <f t="shared" si="4"/>
        <v>0</v>
      </c>
      <c r="I105" s="33">
        <f t="shared" si="4"/>
        <v>0</v>
      </c>
      <c r="J105" s="33">
        <f t="shared" si="4"/>
        <v>0</v>
      </c>
      <c r="K105" s="33">
        <f t="shared" si="4"/>
        <v>0</v>
      </c>
      <c r="L105" s="2"/>
    </row>
    <row r="106" spans="1:12" s="48" customFormat="1" ht="62.25" outlineLevel="1">
      <c r="A106" s="5"/>
      <c r="B106" s="278" t="s">
        <v>238</v>
      </c>
      <c r="C106" s="16">
        <v>0</v>
      </c>
      <c r="D106" s="16">
        <v>0</v>
      </c>
      <c r="E106" s="16">
        <v>0</v>
      </c>
      <c r="F106" s="16">
        <v>0</v>
      </c>
      <c r="G106" s="16">
        <v>0</v>
      </c>
      <c r="H106" s="16">
        <v>0</v>
      </c>
      <c r="I106" s="16">
        <v>0</v>
      </c>
      <c r="J106" s="16">
        <v>0</v>
      </c>
      <c r="K106" s="16">
        <v>0</v>
      </c>
      <c r="L106" s="2"/>
    </row>
    <row r="107" spans="1:12" s="48" customFormat="1" ht="14.65" outlineLevel="1">
      <c r="A107" s="5"/>
      <c r="B107" s="25" t="str">
        <f>CONCATENATE("Closing balance at this valuation at ",D9)</f>
        <v>Closing balance at this valuation at 31 March 2017</v>
      </c>
      <c r="C107" s="34">
        <f>C104+C105-C106</f>
        <v>0</v>
      </c>
      <c r="D107" s="34">
        <f t="shared" ref="D107:K107" si="5">D104+D105-D106</f>
        <v>0</v>
      </c>
      <c r="E107" s="34">
        <f t="shared" si="5"/>
        <v>0</v>
      </c>
      <c r="F107" s="34">
        <f t="shared" si="5"/>
        <v>0</v>
      </c>
      <c r="G107" s="34">
        <f t="shared" si="5"/>
        <v>0</v>
      </c>
      <c r="H107" s="34">
        <f t="shared" si="5"/>
        <v>0</v>
      </c>
      <c r="I107" s="34">
        <f t="shared" si="5"/>
        <v>0</v>
      </c>
      <c r="J107" s="34">
        <f t="shared" si="5"/>
        <v>0</v>
      </c>
      <c r="K107" s="34">
        <f t="shared" si="5"/>
        <v>0</v>
      </c>
      <c r="L107" s="2"/>
    </row>
    <row r="108" spans="1:12" s="48" customFormat="1" ht="14.65" outlineLevel="1">
      <c r="A108" s="5"/>
      <c r="B108" s="2"/>
      <c r="C108" s="2"/>
      <c r="D108" s="2"/>
      <c r="E108" s="2"/>
      <c r="F108" s="2"/>
      <c r="G108" s="2"/>
      <c r="H108" s="2"/>
      <c r="I108" s="2"/>
      <c r="J108" s="2"/>
      <c r="K108" s="2"/>
      <c r="L108" s="2"/>
    </row>
    <row r="109" spans="1:12" s="48" customFormat="1" ht="14.65" outlineLevel="1">
      <c r="A109" s="5"/>
      <c r="B109" s="115" t="str">
        <f>CONCATENATE("Reduction in regulatory fraction at ",+D9)</f>
        <v>Reduction in regulatory fraction at 31 March 2017</v>
      </c>
      <c r="C109" s="2"/>
      <c r="D109" s="2"/>
      <c r="E109" s="13">
        <f>IFERROR(E107/-'P1.2 PDAM Actuary provided data'!D109,0)</f>
        <v>0</v>
      </c>
      <c r="F109" s="318"/>
      <c r="G109" s="318"/>
      <c r="H109" s="13">
        <f>IFERROR(H107/-'P1.2 PDAM Actuary provided data'!D109,0)</f>
        <v>0</v>
      </c>
      <c r="I109" s="318"/>
      <c r="J109" s="2"/>
      <c r="K109" s="13">
        <f>IFERROR(K107/-'P1.2 PDAM Actuary provided data'!D109,0)</f>
        <v>0</v>
      </c>
      <c r="L109" s="2"/>
    </row>
    <row r="110" spans="1:12" s="48" customFormat="1" ht="14.65" outlineLevel="1">
      <c r="A110" s="5"/>
      <c r="B110" s="41"/>
      <c r="C110" s="2"/>
      <c r="D110" s="2"/>
      <c r="E110" s="318"/>
      <c r="F110" s="318"/>
      <c r="G110" s="318"/>
      <c r="H110" s="318"/>
      <c r="I110" s="318"/>
      <c r="J110" s="2"/>
      <c r="K110" s="2"/>
      <c r="L110" s="2"/>
    </row>
    <row r="111" spans="1:12" s="48" customFormat="1" ht="14.65">
      <c r="A111" s="5"/>
      <c r="B111" s="5"/>
      <c r="C111" s="5"/>
      <c r="D111" s="5"/>
      <c r="E111" s="5"/>
      <c r="F111" s="5"/>
      <c r="G111" s="5"/>
      <c r="H111" s="5"/>
      <c r="I111" s="5"/>
      <c r="J111" s="5"/>
      <c r="K111" s="5"/>
      <c r="L111" s="2"/>
    </row>
    <row r="112" spans="1:12" ht="14.65">
      <c r="A112" s="5"/>
      <c r="B112" s="38" t="s">
        <v>75</v>
      </c>
      <c r="C112" s="23"/>
      <c r="D112" s="2"/>
      <c r="E112" s="5"/>
      <c r="F112" s="5"/>
      <c r="G112" s="23"/>
      <c r="H112" s="2"/>
      <c r="I112" s="5"/>
      <c r="J112" s="5"/>
      <c r="K112" s="2"/>
      <c r="L112" s="2"/>
    </row>
    <row r="113" spans="1:22" ht="15.4" outlineLevel="1">
      <c r="A113" s="5"/>
      <c r="B113"/>
      <c r="C113" s="23"/>
      <c r="D113" s="2"/>
      <c r="E113" s="5"/>
      <c r="F113" s="5"/>
      <c r="G113" s="23"/>
      <c r="H113" s="2"/>
      <c r="I113" s="5"/>
      <c r="J113" s="5"/>
      <c r="K113" s="2"/>
      <c r="L113" s="2"/>
    </row>
    <row r="114" spans="1:22" ht="29.25" customHeight="1" outlineLevel="1">
      <c r="A114" s="5"/>
      <c r="B114" s="39"/>
      <c r="C114" s="29" t="str">
        <f t="shared" ref="C114:H114" si="6">+C13</f>
        <v>Licensee 1</v>
      </c>
      <c r="D114" s="29" t="str">
        <f t="shared" si="6"/>
        <v>Licensee 2</v>
      </c>
      <c r="E114" s="29" t="str">
        <f t="shared" si="6"/>
        <v>Licensee 3</v>
      </c>
      <c r="F114" s="29" t="str">
        <f t="shared" si="6"/>
        <v>Licensee 4</v>
      </c>
      <c r="G114" s="29" t="str">
        <f t="shared" si="6"/>
        <v>Licensee 5</v>
      </c>
      <c r="H114" s="29" t="str">
        <f t="shared" si="6"/>
        <v>Licensee 6</v>
      </c>
      <c r="I114" s="27" t="s">
        <v>26</v>
      </c>
      <c r="J114" s="27" t="s">
        <v>27</v>
      </c>
      <c r="K114" s="2"/>
      <c r="L114" s="2"/>
    </row>
    <row r="115" spans="1:22" ht="25.15" outlineLevel="1">
      <c r="A115" s="5"/>
      <c r="B115" s="397" t="str">
        <f>CONCATENATE("Opening Pre Cut-Off Date Regulatory Fractions at ",+'P2.1 PDAM Licensee provided'!D8," - before adjustment for ERDCs")</f>
        <v>Opening Pre Cut-Off Date Regulatory Fractions at 31 March 2013 - before adjustment for ERDCs</v>
      </c>
      <c r="C115" s="13">
        <f t="shared" ref="C115:I115" si="7">C14</f>
        <v>0</v>
      </c>
      <c r="D115" s="13">
        <f t="shared" si="7"/>
        <v>0</v>
      </c>
      <c r="E115" s="13">
        <f t="shared" si="7"/>
        <v>0</v>
      </c>
      <c r="F115" s="13">
        <f t="shared" si="7"/>
        <v>0</v>
      </c>
      <c r="G115" s="13">
        <f t="shared" si="7"/>
        <v>0</v>
      </c>
      <c r="H115" s="13">
        <f t="shared" si="7"/>
        <v>0</v>
      </c>
      <c r="I115" s="13">
        <f t="shared" si="7"/>
        <v>1</v>
      </c>
      <c r="J115" s="13">
        <f>SUM(C115:I115)</f>
        <v>1</v>
      </c>
      <c r="K115" s="2"/>
      <c r="L115" s="2"/>
    </row>
    <row r="116" spans="1:22" ht="28.5">
      <c r="A116" s="5"/>
      <c r="B116" s="123" t="s">
        <v>505</v>
      </c>
      <c r="C116" s="13">
        <f>K50</f>
        <v>0</v>
      </c>
      <c r="D116" s="13">
        <f>K72</f>
        <v>0</v>
      </c>
      <c r="E116" s="13">
        <v>0</v>
      </c>
      <c r="F116" s="13">
        <v>0</v>
      </c>
      <c r="G116" s="13">
        <v>0</v>
      </c>
      <c r="H116" s="13">
        <v>0</v>
      </c>
      <c r="I116" s="13">
        <f>J116-C116-D116</f>
        <v>1</v>
      </c>
      <c r="J116" s="13">
        <v>1</v>
      </c>
      <c r="K116" s="2"/>
      <c r="L116" s="2"/>
    </row>
    <row r="117" spans="1:22" ht="29.25" customHeight="1" outlineLevel="1">
      <c r="A117" s="5"/>
      <c r="B117" s="47" t="s">
        <v>77</v>
      </c>
      <c r="C117" s="12">
        <v>0</v>
      </c>
      <c r="D117" s="12">
        <v>0</v>
      </c>
      <c r="E117" s="12">
        <v>0</v>
      </c>
      <c r="F117" s="12">
        <v>0</v>
      </c>
      <c r="G117" s="12">
        <v>0</v>
      </c>
      <c r="H117" s="12">
        <v>0</v>
      </c>
      <c r="I117" s="12">
        <v>0</v>
      </c>
      <c r="J117" s="13">
        <f t="shared" ref="J117:J123" si="8">SUM(C117:I117)</f>
        <v>0</v>
      </c>
      <c r="K117" s="2"/>
      <c r="L117" s="2"/>
    </row>
    <row r="118" spans="1:22" ht="33.75" customHeight="1" outlineLevel="1">
      <c r="A118" s="5"/>
      <c r="B118" s="47" t="s">
        <v>80</v>
      </c>
      <c r="C118" s="12">
        <v>0</v>
      </c>
      <c r="D118" s="12">
        <v>0</v>
      </c>
      <c r="E118" s="12">
        <v>0</v>
      </c>
      <c r="F118" s="12">
        <v>0</v>
      </c>
      <c r="G118" s="12">
        <v>0</v>
      </c>
      <c r="H118" s="12">
        <v>0</v>
      </c>
      <c r="I118" s="12">
        <v>0</v>
      </c>
      <c r="J118" s="13">
        <f t="shared" si="8"/>
        <v>0</v>
      </c>
      <c r="K118" s="2"/>
      <c r="L118" s="2"/>
    </row>
    <row r="119" spans="1:22" ht="33.75" customHeight="1" outlineLevel="1">
      <c r="A119" s="5"/>
      <c r="B119" s="47" t="s">
        <v>78</v>
      </c>
      <c r="C119" s="12">
        <v>0</v>
      </c>
      <c r="D119" s="12">
        <v>0</v>
      </c>
      <c r="E119" s="12">
        <v>0</v>
      </c>
      <c r="F119" s="12">
        <v>0</v>
      </c>
      <c r="G119" s="12">
        <v>0</v>
      </c>
      <c r="H119" s="12">
        <v>0</v>
      </c>
      <c r="I119" s="12">
        <v>0</v>
      </c>
      <c r="J119" s="13">
        <f t="shared" si="8"/>
        <v>0</v>
      </c>
      <c r="K119" s="2"/>
      <c r="L119" s="2"/>
    </row>
    <row r="120" spans="1:22" ht="33.75" customHeight="1" outlineLevel="1">
      <c r="A120" s="5"/>
      <c r="B120" s="47" t="s">
        <v>79</v>
      </c>
      <c r="C120" s="12">
        <v>0</v>
      </c>
      <c r="D120" s="12">
        <v>0</v>
      </c>
      <c r="E120" s="12">
        <v>0</v>
      </c>
      <c r="F120" s="12">
        <v>0</v>
      </c>
      <c r="G120" s="12">
        <v>0</v>
      </c>
      <c r="H120" s="12">
        <v>0</v>
      </c>
      <c r="I120" s="12">
        <v>0</v>
      </c>
      <c r="J120" s="13">
        <f t="shared" si="8"/>
        <v>0</v>
      </c>
      <c r="K120" s="2"/>
      <c r="L120" s="2"/>
    </row>
    <row r="121" spans="1:22" ht="14.65" outlineLevel="1">
      <c r="A121" s="5"/>
      <c r="B121" s="47" t="s">
        <v>81</v>
      </c>
      <c r="C121" s="12">
        <v>0</v>
      </c>
      <c r="D121" s="12">
        <v>0</v>
      </c>
      <c r="E121" s="12">
        <v>0</v>
      </c>
      <c r="F121" s="12">
        <v>0</v>
      </c>
      <c r="G121" s="12">
        <v>0</v>
      </c>
      <c r="H121" s="12">
        <v>0</v>
      </c>
      <c r="I121" s="12">
        <v>0</v>
      </c>
      <c r="J121" s="13">
        <f t="shared" si="8"/>
        <v>0</v>
      </c>
      <c r="K121" s="2"/>
      <c r="L121" s="2"/>
    </row>
    <row r="122" spans="1:22" ht="25.5" customHeight="1" outlineLevel="1">
      <c r="A122" s="5"/>
      <c r="B122" s="35" t="str">
        <f>CONCATENATE("ERDC adjustment as at ",+D9)</f>
        <v>ERDC adjustment as at 31 March 2017</v>
      </c>
      <c r="C122" s="124">
        <f>-E109</f>
        <v>0</v>
      </c>
      <c r="D122" s="124">
        <f>-H109</f>
        <v>0</v>
      </c>
      <c r="E122" s="124">
        <f>-K109</f>
        <v>0</v>
      </c>
      <c r="F122" s="12">
        <v>0</v>
      </c>
      <c r="G122" s="12">
        <v>0</v>
      </c>
      <c r="H122" s="12">
        <v>0</v>
      </c>
      <c r="I122" s="12">
        <v>0</v>
      </c>
      <c r="J122" s="13">
        <f t="shared" si="8"/>
        <v>0</v>
      </c>
      <c r="K122" s="2"/>
      <c r="L122" s="2"/>
    </row>
    <row r="123" spans="1:22" ht="25.15" outlineLevel="1">
      <c r="A123" s="5"/>
      <c r="B123" s="397" t="str">
        <f>CONCATENATE("Pre Cut-Off Date Regulatory Fractions at ",+'P2.1 PDAM Licensee provided'!D9," - after adjustment for Section B, bulk transfers, ERDCs and other items")</f>
        <v>Pre Cut-Off Date Regulatory Fractions at 31 March 2017 - after adjustment for Section B, bulk transfers, ERDCs and other items</v>
      </c>
      <c r="C123" s="124">
        <f t="shared" ref="C123:H123" si="9">IF($C$20 = "Yes",SUM(C116:C122),SUM(C115,C117:C122))</f>
        <v>0</v>
      </c>
      <c r="D123" s="124">
        <f t="shared" si="9"/>
        <v>0</v>
      </c>
      <c r="E123" s="124">
        <f t="shared" si="9"/>
        <v>0</v>
      </c>
      <c r="F123" s="124">
        <f t="shared" si="9"/>
        <v>0</v>
      </c>
      <c r="G123" s="124">
        <f t="shared" si="9"/>
        <v>0</v>
      </c>
      <c r="H123" s="124">
        <f t="shared" si="9"/>
        <v>0</v>
      </c>
      <c r="I123" s="124">
        <f>IF($C$20="Yes",SUM(I116:I122),SUM(I115,I117:I122))</f>
        <v>1</v>
      </c>
      <c r="J123" s="124">
        <f t="shared" si="8"/>
        <v>1</v>
      </c>
      <c r="K123" s="2"/>
      <c r="L123" s="2"/>
    </row>
    <row r="124" spans="1:22" ht="14.65" outlineLevel="1">
      <c r="A124" s="5"/>
      <c r="B124" s="5"/>
      <c r="C124" s="5"/>
      <c r="D124" s="5"/>
      <c r="E124" s="5"/>
      <c r="F124" s="5"/>
      <c r="G124" s="5"/>
      <c r="H124" s="5"/>
      <c r="I124" s="5"/>
      <c r="J124" s="5"/>
      <c r="K124" s="2"/>
      <c r="L124" s="2"/>
    </row>
    <row r="125" spans="1:22" ht="14.65">
      <c r="A125" s="5"/>
      <c r="B125" s="42"/>
      <c r="C125" s="2"/>
      <c r="D125" s="2"/>
      <c r="E125" s="2"/>
      <c r="F125" s="2"/>
      <c r="G125" s="2"/>
      <c r="H125" s="2"/>
      <c r="I125" s="2"/>
      <c r="J125" s="2"/>
      <c r="K125" s="2"/>
      <c r="L125" s="2"/>
      <c r="M125" s="42"/>
      <c r="N125" s="42"/>
      <c r="O125" s="42"/>
      <c r="P125" s="42"/>
      <c r="Q125" s="42"/>
      <c r="R125" s="42"/>
      <c r="S125" s="42"/>
      <c r="T125" s="42"/>
      <c r="U125" s="42"/>
      <c r="V125" s="42"/>
    </row>
    <row r="126" spans="1:22" ht="15" customHeight="1">
      <c r="A126" s="5"/>
      <c r="B126" s="456" t="s">
        <v>82</v>
      </c>
      <c r="C126" s="456"/>
      <c r="D126" s="456"/>
      <c r="E126" s="456"/>
      <c r="F126" s="5"/>
      <c r="G126" s="5"/>
      <c r="H126" s="5"/>
      <c r="I126" s="5"/>
      <c r="J126" s="5"/>
      <c r="K126" s="2"/>
      <c r="L126" s="2"/>
    </row>
    <row r="127" spans="1:22" ht="14.65" outlineLevel="1">
      <c r="A127" s="5"/>
      <c r="B127" s="5"/>
      <c r="C127" s="5"/>
      <c r="D127" s="5"/>
      <c r="E127" s="5"/>
      <c r="F127" s="5"/>
      <c r="G127" s="5"/>
      <c r="H127" s="5"/>
      <c r="I127" s="5"/>
      <c r="J127" s="5"/>
      <c r="K127" s="2"/>
      <c r="L127" s="2"/>
    </row>
    <row r="128" spans="1:22" ht="14.65" outlineLevel="1">
      <c r="A128" s="5"/>
      <c r="B128" s="11" t="s">
        <v>41</v>
      </c>
      <c r="C128" s="29" t="str">
        <f t="shared" ref="C128:H128" si="10">+C13</f>
        <v>Licensee 1</v>
      </c>
      <c r="D128" s="29" t="str">
        <f t="shared" si="10"/>
        <v>Licensee 2</v>
      </c>
      <c r="E128" s="29" t="str">
        <f t="shared" si="10"/>
        <v>Licensee 3</v>
      </c>
      <c r="F128" s="29" t="str">
        <f t="shared" si="10"/>
        <v>Licensee 4</v>
      </c>
      <c r="G128" s="29" t="str">
        <f t="shared" si="10"/>
        <v>Licensee 5</v>
      </c>
      <c r="H128" s="29" t="str">
        <f t="shared" si="10"/>
        <v>Licensee 6</v>
      </c>
      <c r="I128" s="27" t="s">
        <v>26</v>
      </c>
      <c r="J128" s="27" t="s">
        <v>27</v>
      </c>
      <c r="K128" s="2"/>
      <c r="L128" s="2"/>
    </row>
    <row r="129" spans="1:15" ht="14.65" outlineLevel="1">
      <c r="A129" s="5"/>
      <c r="B129" s="25" t="str">
        <f>CONCATENATE("Opening Post Cut-Off Date Regulatory Proportion at ",D8)</f>
        <v>Opening Post Cut-Off Date Regulatory Proportion at 31 March 2013</v>
      </c>
      <c r="C129" s="12">
        <v>0</v>
      </c>
      <c r="D129" s="12">
        <v>0</v>
      </c>
      <c r="E129" s="12">
        <v>0</v>
      </c>
      <c r="F129" s="12">
        <v>0</v>
      </c>
      <c r="G129" s="12">
        <v>0</v>
      </c>
      <c r="H129" s="12">
        <v>0</v>
      </c>
      <c r="I129" s="12">
        <v>0</v>
      </c>
      <c r="J129" s="13">
        <f>SUM(C129:I129)</f>
        <v>0</v>
      </c>
      <c r="K129" s="2"/>
      <c r="L129" s="2"/>
    </row>
    <row r="130" spans="1:15" ht="14.65" outlineLevel="1">
      <c r="A130" s="5"/>
      <c r="B130" s="42"/>
      <c r="C130" s="5"/>
      <c r="D130" s="5"/>
      <c r="E130" s="5"/>
      <c r="F130" s="5"/>
      <c r="G130" s="5"/>
      <c r="H130" s="5"/>
      <c r="I130" s="5"/>
      <c r="J130" s="2"/>
      <c r="K130" s="2"/>
      <c r="L130" s="2"/>
    </row>
    <row r="131" spans="1:15" ht="14.25" customHeight="1">
      <c r="A131" s="5"/>
      <c r="B131" s="5"/>
      <c r="C131" s="5"/>
      <c r="D131" s="5"/>
      <c r="E131" s="5"/>
      <c r="F131" s="5"/>
      <c r="G131" s="5"/>
      <c r="H131" s="5"/>
      <c r="I131" s="5"/>
      <c r="J131" s="2"/>
      <c r="K131" s="2"/>
      <c r="L131" s="2"/>
    </row>
    <row r="132" spans="1:15" ht="14.65">
      <c r="A132" s="5"/>
      <c r="B132" s="456" t="s">
        <v>83</v>
      </c>
      <c r="C132" s="456"/>
      <c r="D132" s="457"/>
      <c r="E132" s="457"/>
      <c r="F132" s="5"/>
      <c r="G132" s="5"/>
      <c r="H132" s="5"/>
      <c r="I132" s="5"/>
      <c r="J132" s="2"/>
      <c r="K132" s="2"/>
      <c r="L132" s="2"/>
    </row>
    <row r="133" spans="1:15" ht="14.65" outlineLevel="1">
      <c r="A133" s="5"/>
      <c r="B133" s="5"/>
      <c r="C133" s="5"/>
      <c r="D133" s="5"/>
      <c r="E133" s="5"/>
      <c r="F133" s="5"/>
      <c r="G133" s="5"/>
      <c r="H133" s="5"/>
      <c r="I133" s="5"/>
      <c r="J133" s="2"/>
      <c r="K133" s="2"/>
      <c r="L133" s="2"/>
    </row>
    <row r="134" spans="1:15" ht="14.65" outlineLevel="1">
      <c r="A134" s="5"/>
      <c r="B134" s="11" t="s">
        <v>31</v>
      </c>
      <c r="C134" s="29" t="str">
        <f t="shared" ref="C134:H134" si="11">+C13</f>
        <v>Licensee 1</v>
      </c>
      <c r="D134" s="29" t="str">
        <f t="shared" si="11"/>
        <v>Licensee 2</v>
      </c>
      <c r="E134" s="29" t="str">
        <f t="shared" si="11"/>
        <v>Licensee 3</v>
      </c>
      <c r="F134" s="29" t="str">
        <f t="shared" si="11"/>
        <v>Licensee 4</v>
      </c>
      <c r="G134" s="29" t="str">
        <f t="shared" si="11"/>
        <v>Licensee 5</v>
      </c>
      <c r="H134" s="29" t="str">
        <f t="shared" si="11"/>
        <v>Licensee 6</v>
      </c>
      <c r="I134" s="27" t="s">
        <v>26</v>
      </c>
      <c r="J134" s="27" t="s">
        <v>27</v>
      </c>
      <c r="K134" s="233" t="s">
        <v>205</v>
      </c>
      <c r="L134" s="234"/>
      <c r="M134" s="235"/>
      <c r="N134" s="235"/>
      <c r="O134" s="236"/>
    </row>
    <row r="135" spans="1:15" outlineLevel="1">
      <c r="A135" s="5"/>
      <c r="B135" s="30" t="str">
        <f>CONCATENATE("Year 1 of this valuation period ended 31 March ",+$C$101)</f>
        <v>Year 1 of this valuation period ended 31 March 2017</v>
      </c>
      <c r="C135" s="16"/>
      <c r="D135" s="16"/>
      <c r="E135" s="16"/>
      <c r="F135" s="16"/>
      <c r="G135" s="16"/>
      <c r="H135" s="16"/>
      <c r="I135" s="16"/>
      <c r="J135" s="229">
        <f>SUM(C135:I135)</f>
        <v>0</v>
      </c>
      <c r="K135" s="230"/>
      <c r="L135" s="231"/>
      <c r="M135" s="231"/>
      <c r="N135" s="231"/>
      <c r="O135" s="232"/>
    </row>
    <row r="136" spans="1:15" outlineLevel="1">
      <c r="A136" s="5"/>
      <c r="B136" s="30" t="str">
        <f>CONCATENATE("Year 2 of this valuation period ended 31 March ",+$D$101)</f>
        <v>Year 2 of this valuation period ended 31 March 2018</v>
      </c>
      <c r="C136" s="16"/>
      <c r="D136" s="16"/>
      <c r="E136" s="16"/>
      <c r="F136" s="16"/>
      <c r="G136" s="16"/>
      <c r="H136" s="16"/>
      <c r="I136" s="16"/>
      <c r="J136" s="40">
        <f>SUM(C136:I136)</f>
        <v>0</v>
      </c>
      <c r="K136" s="230"/>
      <c r="L136" s="231"/>
      <c r="M136" s="231"/>
      <c r="N136" s="231"/>
      <c r="O136" s="232"/>
    </row>
    <row r="137" spans="1:15" outlineLevel="1">
      <c r="A137" s="5"/>
      <c r="B137" s="30" t="str">
        <f>CONCATENATE("Year 3 of this valuation period ended 31 March ",+$E$101)</f>
        <v>Year 3 of this valuation period ended 31 March 2019</v>
      </c>
      <c r="C137" s="16"/>
      <c r="D137" s="16"/>
      <c r="E137" s="16"/>
      <c r="F137" s="16"/>
      <c r="G137" s="16"/>
      <c r="H137" s="16"/>
      <c r="I137" s="16"/>
      <c r="J137" s="40">
        <f>SUM(C137:I137)</f>
        <v>0</v>
      </c>
      <c r="K137" s="230"/>
      <c r="L137" s="231"/>
      <c r="M137" s="231"/>
      <c r="N137" s="231"/>
      <c r="O137" s="232"/>
    </row>
    <row r="138" spans="1:15" ht="14.65" outlineLevel="1">
      <c r="A138" s="5"/>
      <c r="B138" s="26" t="s">
        <v>27</v>
      </c>
      <c r="C138" s="40">
        <f t="shared" ref="C138:J138" si="12">SUM(C135:C137)</f>
        <v>0</v>
      </c>
      <c r="D138" s="40">
        <f t="shared" si="12"/>
        <v>0</v>
      </c>
      <c r="E138" s="40">
        <f t="shared" si="12"/>
        <v>0</v>
      </c>
      <c r="F138" s="40">
        <f t="shared" si="12"/>
        <v>0</v>
      </c>
      <c r="G138" s="40">
        <f t="shared" si="12"/>
        <v>0</v>
      </c>
      <c r="H138" s="40">
        <f t="shared" si="12"/>
        <v>0</v>
      </c>
      <c r="I138" s="40">
        <f t="shared" si="12"/>
        <v>0</v>
      </c>
      <c r="J138" s="40">
        <f t="shared" si="12"/>
        <v>0</v>
      </c>
      <c r="K138" s="2"/>
      <c r="L138" s="2"/>
    </row>
    <row r="139" spans="1:15" ht="14.65" outlineLevel="1">
      <c r="A139" s="5"/>
      <c r="B139" s="14" t="s">
        <v>29</v>
      </c>
      <c r="K139" s="2"/>
      <c r="L139" s="2"/>
    </row>
    <row r="140" spans="1:15" ht="14.65" outlineLevel="1">
      <c r="A140" s="5"/>
      <c r="B140" s="30" t="str">
        <f>CONCATENATE("Year 1 of this valuation period ended 31 March ",+$C$101)</f>
        <v>Year 1 of this valuation period ended 31 March 2017</v>
      </c>
      <c r="C140" s="13">
        <f t="shared" ref="C140:I140" si="13">IFERROR(C135/$J$135,0)</f>
        <v>0</v>
      </c>
      <c r="D140" s="13">
        <f t="shared" si="13"/>
        <v>0</v>
      </c>
      <c r="E140" s="13">
        <f t="shared" si="13"/>
        <v>0</v>
      </c>
      <c r="F140" s="13">
        <f t="shared" si="13"/>
        <v>0</v>
      </c>
      <c r="G140" s="13">
        <f t="shared" si="13"/>
        <v>0</v>
      </c>
      <c r="H140" s="13">
        <f t="shared" si="13"/>
        <v>0</v>
      </c>
      <c r="I140" s="13">
        <f t="shared" si="13"/>
        <v>0</v>
      </c>
      <c r="J140" s="13">
        <f>SUM(C140:I140)</f>
        <v>0</v>
      </c>
      <c r="K140" s="2"/>
      <c r="L140" s="2"/>
    </row>
    <row r="141" spans="1:15" ht="14.65" outlineLevel="1">
      <c r="A141" s="5"/>
      <c r="B141" s="30" t="str">
        <f>CONCATENATE("Year 2 of this valuation period ended 31 March ",+$D$101)</f>
        <v>Year 2 of this valuation period ended 31 March 2018</v>
      </c>
      <c r="C141" s="13">
        <f t="shared" ref="C141:I141" si="14">IFERROR(C136/$J$136,0)</f>
        <v>0</v>
      </c>
      <c r="D141" s="13">
        <f t="shared" si="14"/>
        <v>0</v>
      </c>
      <c r="E141" s="13">
        <f t="shared" si="14"/>
        <v>0</v>
      </c>
      <c r="F141" s="13">
        <f t="shared" si="14"/>
        <v>0</v>
      </c>
      <c r="G141" s="13">
        <f t="shared" si="14"/>
        <v>0</v>
      </c>
      <c r="H141" s="13">
        <f t="shared" si="14"/>
        <v>0</v>
      </c>
      <c r="I141" s="13">
        <f t="shared" si="14"/>
        <v>0</v>
      </c>
      <c r="J141" s="13">
        <f>SUM(C141:I141)</f>
        <v>0</v>
      </c>
      <c r="K141" s="2"/>
      <c r="L141" s="2"/>
    </row>
    <row r="142" spans="1:15" ht="14.65" outlineLevel="1">
      <c r="A142" s="5"/>
      <c r="B142" s="30" t="str">
        <f>CONCATENATE("Year 3 of this valuation period ended 31 March ",+$E$101)</f>
        <v>Year 3 of this valuation period ended 31 March 2019</v>
      </c>
      <c r="C142" s="13">
        <f t="shared" ref="C142:I142" si="15">IFERROR(C137/$J$137,0)</f>
        <v>0</v>
      </c>
      <c r="D142" s="13">
        <f t="shared" si="15"/>
        <v>0</v>
      </c>
      <c r="E142" s="13">
        <f t="shared" si="15"/>
        <v>0</v>
      </c>
      <c r="F142" s="13">
        <f t="shared" si="15"/>
        <v>0</v>
      </c>
      <c r="G142" s="13">
        <f t="shared" si="15"/>
        <v>0</v>
      </c>
      <c r="H142" s="13">
        <f t="shared" si="15"/>
        <v>0</v>
      </c>
      <c r="I142" s="13">
        <f t="shared" si="15"/>
        <v>0</v>
      </c>
      <c r="J142" s="13">
        <f>SUM(C142:I142)</f>
        <v>0</v>
      </c>
      <c r="K142" s="2"/>
      <c r="L142" s="2"/>
    </row>
    <row r="143" spans="1:15" ht="14.65" outlineLevel="1">
      <c r="A143" s="5"/>
      <c r="B143" s="11" t="s">
        <v>30</v>
      </c>
      <c r="C143" s="13">
        <f t="shared" ref="C143:I143" si="16">IFERROR(SUMPRODUCT(C140:C142,$J$135:$J$137)/$J$138,0)</f>
        <v>0</v>
      </c>
      <c r="D143" s="13">
        <f t="shared" si="16"/>
        <v>0</v>
      </c>
      <c r="E143" s="13">
        <f t="shared" si="16"/>
        <v>0</v>
      </c>
      <c r="F143" s="13">
        <f t="shared" si="16"/>
        <v>0</v>
      </c>
      <c r="G143" s="13">
        <f t="shared" si="16"/>
        <v>0</v>
      </c>
      <c r="H143" s="13">
        <f t="shared" si="16"/>
        <v>0</v>
      </c>
      <c r="I143" s="13">
        <f t="shared" si="16"/>
        <v>0</v>
      </c>
      <c r="J143" s="13">
        <f>SUM(C143:I143)</f>
        <v>0</v>
      </c>
      <c r="K143" s="2"/>
      <c r="L143" s="2"/>
    </row>
    <row r="144" spans="1:15" ht="14.65" outlineLevel="1">
      <c r="A144" s="5"/>
      <c r="B144" s="5"/>
      <c r="C144" s="5"/>
      <c r="D144" s="5"/>
      <c r="E144" s="5"/>
      <c r="F144" s="5"/>
      <c r="G144" s="5"/>
      <c r="H144" s="5"/>
      <c r="I144" s="5"/>
      <c r="J144" s="5"/>
      <c r="K144" s="2"/>
      <c r="L144" s="2"/>
    </row>
    <row r="145" spans="1:12" ht="14.65" outlineLevel="1">
      <c r="A145" s="5"/>
      <c r="B145" s="5"/>
      <c r="C145" s="5"/>
      <c r="D145" s="5"/>
      <c r="E145" s="5"/>
      <c r="F145" s="5"/>
      <c r="G145" s="5"/>
      <c r="H145" s="5"/>
      <c r="I145" s="5"/>
      <c r="J145" s="5"/>
      <c r="K145" s="2"/>
      <c r="L145" s="2"/>
    </row>
    <row r="146" spans="1:12" ht="15" customHeight="1" outlineLevel="1">
      <c r="A146" s="5"/>
      <c r="B146" s="318" t="s">
        <v>263</v>
      </c>
      <c r="C146" s="318"/>
      <c r="D146" s="319"/>
      <c r="E146" s="319"/>
      <c r="F146" s="5"/>
      <c r="G146" s="5"/>
      <c r="H146" s="5"/>
      <c r="I146" s="5"/>
      <c r="J146" s="5"/>
      <c r="K146" s="2"/>
      <c r="L146" s="2"/>
    </row>
    <row r="147" spans="1:12" ht="14.65" outlineLevel="1">
      <c r="A147" s="5"/>
      <c r="B147" s="5"/>
      <c r="C147" s="5"/>
      <c r="D147" s="5"/>
      <c r="E147" s="5"/>
      <c r="F147" s="5"/>
      <c r="G147" s="5"/>
      <c r="H147" s="5"/>
      <c r="I147" s="5"/>
      <c r="J147" s="5"/>
      <c r="K147" s="2"/>
      <c r="L147" s="2"/>
    </row>
    <row r="148" spans="1:12" ht="14.65" outlineLevel="1">
      <c r="A148" s="5"/>
      <c r="B148" s="37" t="str">
        <f>CONCATENATE("Closing Post Cut-Off Date Regulatory Proportion at ",(D9),"")</f>
        <v>Closing Post Cut-Off Date Regulatory Proportion at 31 March 2017</v>
      </c>
      <c r="C148" s="36" t="e">
        <f>(('P2.2 PDAM Actuary provided'!$D$81*C129)+('P2.2 PDAM Actuary provided'!$D$82*C143))/'P2.2 PDAM Actuary provided'!$D$83</f>
        <v>#DIV/0!</v>
      </c>
      <c r="D148" s="36" t="e">
        <f>(('P2.2 PDAM Actuary provided'!$D$81*D129)+('P2.2 PDAM Actuary provided'!$D$82*D143))/'P2.2 PDAM Actuary provided'!$D$83</f>
        <v>#DIV/0!</v>
      </c>
      <c r="E148" s="36" t="e">
        <f>(('P2.2 PDAM Actuary provided'!$D$81*E129)+('P2.2 PDAM Actuary provided'!$D$82*E143))/'P2.2 PDAM Actuary provided'!$D$83</f>
        <v>#DIV/0!</v>
      </c>
      <c r="F148" s="36" t="e">
        <f>(('P2.2 PDAM Actuary provided'!$D$81*F129)+('P2.2 PDAM Actuary provided'!$D$82*F143))/'P2.2 PDAM Actuary provided'!$D$83</f>
        <v>#DIV/0!</v>
      </c>
      <c r="G148" s="36" t="e">
        <f>(('P2.2 PDAM Actuary provided'!$D$81*G129)+('P2.2 PDAM Actuary provided'!$D$82*G143))/'P2.2 PDAM Actuary provided'!$D$83</f>
        <v>#DIV/0!</v>
      </c>
      <c r="H148" s="36" t="e">
        <f>(('P2.2 PDAM Actuary provided'!$D$81*H129)+('P2.2 PDAM Actuary provided'!$D$82*H143))/'P2.2 PDAM Actuary provided'!$D$83</f>
        <v>#DIV/0!</v>
      </c>
      <c r="I148" s="36" t="e">
        <f>(('P2.2 PDAM Actuary provided'!$D$81*I129)+('P2.2 PDAM Actuary provided'!$D$82*I143))/'P2.2 PDAM Actuary provided'!$D$83</f>
        <v>#DIV/0!</v>
      </c>
      <c r="J148" s="36" t="e">
        <f>(('P2.2 PDAM Actuary provided'!$D$81*J129)+('P2.2 PDAM Actuary provided'!$D$82*J143))/'P2.2 PDAM Actuary provided'!$D$83</f>
        <v>#DIV/0!</v>
      </c>
      <c r="K148" s="2"/>
      <c r="L148" s="2"/>
    </row>
    <row r="149" spans="1:12" ht="14.65" outlineLevel="1">
      <c r="A149" s="5"/>
      <c r="B149" s="5"/>
      <c r="C149" s="23"/>
      <c r="D149" s="2"/>
      <c r="E149" s="5"/>
      <c r="F149" s="5"/>
      <c r="G149" s="23"/>
      <c r="H149" s="2"/>
      <c r="I149" s="5"/>
      <c r="J149" s="5"/>
      <c r="K149" s="2"/>
      <c r="L149" s="2"/>
    </row>
    <row r="150" spans="1:12" ht="15" customHeight="1">
      <c r="A150" s="5"/>
      <c r="B150" s="5"/>
      <c r="C150" s="23"/>
      <c r="D150" s="2"/>
      <c r="E150" s="5"/>
      <c r="F150" s="5"/>
      <c r="G150" s="23"/>
      <c r="H150" s="2"/>
      <c r="I150" s="5"/>
      <c r="J150" s="5"/>
      <c r="K150" s="2"/>
      <c r="L150" s="2"/>
    </row>
    <row r="151" spans="1:12" ht="15.4">
      <c r="A151" s="5"/>
      <c r="B151" s="464" t="s">
        <v>84</v>
      </c>
      <c r="C151" s="464"/>
      <c r="D151" s="470"/>
      <c r="E151" s="470"/>
      <c r="F151" s="5"/>
      <c r="G151" s="23"/>
      <c r="H151" s="2"/>
      <c r="I151" s="5"/>
      <c r="J151" s="5"/>
      <c r="K151" s="2"/>
      <c r="L151" s="2"/>
    </row>
    <row r="152" spans="1:12" ht="14.65" outlineLevel="1">
      <c r="A152" s="5"/>
      <c r="B152" s="5"/>
      <c r="C152" s="23"/>
      <c r="D152" s="2"/>
      <c r="E152" s="5"/>
      <c r="F152" s="5"/>
      <c r="G152" s="23"/>
      <c r="H152" s="2"/>
      <c r="I152" s="5"/>
      <c r="J152" s="5"/>
      <c r="K152" s="2"/>
      <c r="L152" s="2"/>
    </row>
    <row r="153" spans="1:12" ht="14.65" outlineLevel="1">
      <c r="A153" s="5"/>
      <c r="B153" s="99" t="s">
        <v>41</v>
      </c>
      <c r="C153" s="29" t="str">
        <f>+C13</f>
        <v>Licensee 1</v>
      </c>
      <c r="D153" s="29" t="str">
        <f t="shared" ref="D153:J153" si="17">+D13</f>
        <v>Licensee 2</v>
      </c>
      <c r="E153" s="29" t="str">
        <f t="shared" si="17"/>
        <v>Licensee 3</v>
      </c>
      <c r="F153" s="29" t="str">
        <f t="shared" si="17"/>
        <v>Licensee 4</v>
      </c>
      <c r="G153" s="29" t="str">
        <f t="shared" si="17"/>
        <v>Licensee 5</v>
      </c>
      <c r="H153" s="29" t="str">
        <f t="shared" si="17"/>
        <v>Licensee 6</v>
      </c>
      <c r="I153" s="29" t="str">
        <f t="shared" si="17"/>
        <v>Non-regulated</v>
      </c>
      <c r="J153" s="29" t="str">
        <f t="shared" si="17"/>
        <v>Total</v>
      </c>
      <c r="K153" s="2"/>
      <c r="L153" s="2"/>
    </row>
    <row r="154" spans="1:12" ht="15.75" customHeight="1" outlineLevel="1">
      <c r="A154" s="5"/>
      <c r="B154" s="288" t="s">
        <v>265</v>
      </c>
      <c r="C154" s="13">
        <f>C123</f>
        <v>0</v>
      </c>
      <c r="D154" s="13">
        <f t="shared" ref="D154:I154" si="18">D123</f>
        <v>0</v>
      </c>
      <c r="E154" s="13">
        <f t="shared" si="18"/>
        <v>0</v>
      </c>
      <c r="F154" s="13">
        <f t="shared" si="18"/>
        <v>0</v>
      </c>
      <c r="G154" s="13">
        <f t="shared" si="18"/>
        <v>0</v>
      </c>
      <c r="H154" s="13">
        <f t="shared" si="18"/>
        <v>0</v>
      </c>
      <c r="I154" s="13">
        <f t="shared" si="18"/>
        <v>1</v>
      </c>
      <c r="J154" s="13">
        <f>SUM(C154:I154)</f>
        <v>1</v>
      </c>
      <c r="K154" s="2"/>
      <c r="L154" s="2"/>
    </row>
    <row r="155" spans="1:12" ht="14.65" outlineLevel="1">
      <c r="A155" s="5"/>
      <c r="B155" s="131" t="s">
        <v>95</v>
      </c>
      <c r="C155" s="13" t="e">
        <f>C148</f>
        <v>#DIV/0!</v>
      </c>
      <c r="D155" s="13" t="e">
        <f t="shared" ref="D155:I155" si="19">D148</f>
        <v>#DIV/0!</v>
      </c>
      <c r="E155" s="13" t="e">
        <f t="shared" si="19"/>
        <v>#DIV/0!</v>
      </c>
      <c r="F155" s="13" t="e">
        <f t="shared" si="19"/>
        <v>#DIV/0!</v>
      </c>
      <c r="G155" s="13" t="e">
        <f t="shared" si="19"/>
        <v>#DIV/0!</v>
      </c>
      <c r="H155" s="13" t="e">
        <f t="shared" si="19"/>
        <v>#DIV/0!</v>
      </c>
      <c r="I155" s="13" t="e">
        <f t="shared" si="19"/>
        <v>#DIV/0!</v>
      </c>
      <c r="J155" s="13" t="e">
        <f>SUM(C155:I155)</f>
        <v>#DIV/0!</v>
      </c>
      <c r="K155" s="2"/>
      <c r="L155" s="2"/>
    </row>
    <row r="156" spans="1:12" ht="14.65" outlineLevel="1">
      <c r="A156" s="5"/>
      <c r="B156" s="289" t="str">
        <f>CONCATENATE("Established Deficit at ",+D9)</f>
        <v>Established Deficit at 31 March 2017</v>
      </c>
      <c r="C156" s="15">
        <f>C154*'P2.2 PDAM Actuary provided'!$D$109</f>
        <v>0</v>
      </c>
      <c r="D156" s="15">
        <f>D154*'P2.2 PDAM Actuary provided'!$D$109</f>
        <v>0</v>
      </c>
      <c r="E156" s="15">
        <f>E154*'P2.2 PDAM Actuary provided'!$D$109</f>
        <v>0</v>
      </c>
      <c r="F156" s="15">
        <f>F154*'P2.2 PDAM Actuary provided'!$D$109</f>
        <v>0</v>
      </c>
      <c r="G156" s="15">
        <f>G154*'P2.2 PDAM Actuary provided'!$D$109</f>
        <v>0</v>
      </c>
      <c r="H156" s="15">
        <f>H154*'P2.2 PDAM Actuary provided'!$D$109</f>
        <v>0</v>
      </c>
      <c r="I156" s="15">
        <f>I154*'P2.2 PDAM Actuary provided'!$D$109</f>
        <v>0</v>
      </c>
      <c r="J156" s="15">
        <f>SUM(C156:I156)</f>
        <v>0</v>
      </c>
      <c r="K156" s="2"/>
      <c r="L156" s="2"/>
    </row>
    <row r="157" spans="1:12" ht="14.65" outlineLevel="1">
      <c r="A157" s="5"/>
      <c r="B157" s="289" t="str">
        <f>CONCATENATE("Incremental Deficit at ",+D9)</f>
        <v>Incremental Deficit at 31 March 2017</v>
      </c>
      <c r="C157" s="15" t="e">
        <f>C155*'P2.2 PDAM Actuary provided'!$D$111</f>
        <v>#DIV/0!</v>
      </c>
      <c r="D157" s="15" t="e">
        <f>D155*'P2.2 PDAM Actuary provided'!$D$111</f>
        <v>#DIV/0!</v>
      </c>
      <c r="E157" s="15" t="e">
        <f>E155*'P2.2 PDAM Actuary provided'!$D$111</f>
        <v>#DIV/0!</v>
      </c>
      <c r="F157" s="15" t="e">
        <f>F155*'P2.2 PDAM Actuary provided'!$D$111</f>
        <v>#DIV/0!</v>
      </c>
      <c r="G157" s="15" t="e">
        <f>G155*'P2.2 PDAM Actuary provided'!$D$111</f>
        <v>#DIV/0!</v>
      </c>
      <c r="H157" s="15" t="e">
        <f>H155*'P2.2 PDAM Actuary provided'!$D$111</f>
        <v>#DIV/0!</v>
      </c>
      <c r="I157" s="15" t="e">
        <f>I155*'P2.2 PDAM Actuary provided'!$D$111</f>
        <v>#DIV/0!</v>
      </c>
      <c r="J157" s="15" t="e">
        <f>SUM(C157:I157)</f>
        <v>#DIV/0!</v>
      </c>
      <c r="K157" s="2"/>
      <c r="L157" s="2"/>
    </row>
    <row r="158" spans="1:12" ht="14.65">
      <c r="A158" s="5"/>
      <c r="B158" s="5"/>
      <c r="C158" s="23"/>
      <c r="D158" s="2"/>
      <c r="E158" s="5"/>
      <c r="F158" s="5"/>
      <c r="G158" s="23"/>
      <c r="H158" s="2"/>
      <c r="I158" s="5"/>
      <c r="J158" s="5"/>
      <c r="K158" s="2"/>
      <c r="L158" s="2"/>
    </row>
    <row r="159" spans="1:12" s="48" customFormat="1" ht="15">
      <c r="A159" s="5"/>
      <c r="B159" s="133"/>
      <c r="C159" s="133"/>
      <c r="D159" s="133"/>
      <c r="E159" s="133"/>
      <c r="F159" s="133"/>
      <c r="G159" s="133"/>
      <c r="H159" s="133"/>
      <c r="I159" s="133"/>
      <c r="J159" s="133"/>
      <c r="K159" s="133"/>
      <c r="L159" s="133"/>
    </row>
    <row r="160" spans="1:12" s="48" customFormat="1" ht="14.25">
      <c r="A160" s="5"/>
      <c r="B160" s="135"/>
      <c r="C160" s="136"/>
      <c r="D160" s="136"/>
      <c r="E160" s="136"/>
      <c r="F160" s="136"/>
      <c r="G160" s="136"/>
      <c r="H160" s="136"/>
      <c r="I160" s="136"/>
      <c r="J160" s="136"/>
      <c r="K160" s="134"/>
      <c r="L160" s="134"/>
    </row>
    <row r="161" spans="1:12" s="48" customFormat="1" ht="15" customHeight="1">
      <c r="A161" s="5"/>
      <c r="B161" s="462"/>
      <c r="C161" s="462"/>
      <c r="D161" s="462"/>
      <c r="E161" s="462"/>
      <c r="F161" s="462"/>
      <c r="G161" s="462"/>
      <c r="H161" s="462"/>
      <c r="I161" s="462"/>
      <c r="J161" s="462"/>
      <c r="K161" s="134"/>
      <c r="L161" s="134"/>
    </row>
    <row r="162" spans="1:12" s="48" customFormat="1" ht="15" customHeight="1">
      <c r="A162" s="5"/>
      <c r="B162" s="462"/>
      <c r="C162" s="462"/>
      <c r="D162" s="462"/>
      <c r="E162" s="462"/>
      <c r="F162" s="462"/>
      <c r="G162" s="462"/>
      <c r="H162" s="462"/>
      <c r="I162" s="462"/>
      <c r="J162" s="462"/>
      <c r="K162" s="134"/>
      <c r="L162" s="134"/>
    </row>
    <row r="163" spans="1:12" s="48" customFormat="1" ht="15" customHeight="1">
      <c r="A163" s="5"/>
      <c r="B163" s="462"/>
      <c r="C163" s="462"/>
      <c r="D163" s="462"/>
      <c r="E163" s="462"/>
      <c r="F163" s="462"/>
      <c r="G163" s="462"/>
      <c r="H163" s="462"/>
      <c r="I163" s="462"/>
      <c r="J163" s="462"/>
      <c r="K163" s="134"/>
      <c r="L163" s="134"/>
    </row>
    <row r="164" spans="1:12" s="48" customFormat="1" ht="15" customHeight="1">
      <c r="A164" s="5"/>
      <c r="B164" s="462"/>
      <c r="C164" s="462"/>
      <c r="D164" s="462"/>
      <c r="E164" s="462"/>
      <c r="F164" s="462"/>
      <c r="G164" s="462"/>
      <c r="H164" s="462"/>
      <c r="I164" s="462"/>
      <c r="J164" s="462"/>
      <c r="K164" s="134"/>
      <c r="L164" s="134"/>
    </row>
    <row r="165" spans="1:12" s="48" customFormat="1" ht="15" customHeight="1">
      <c r="A165" s="5"/>
      <c r="B165" s="462"/>
      <c r="C165" s="462"/>
      <c r="D165" s="462"/>
      <c r="E165" s="462"/>
      <c r="F165" s="462"/>
      <c r="G165" s="462"/>
      <c r="H165" s="462"/>
      <c r="I165" s="462"/>
      <c r="J165" s="462"/>
      <c r="K165" s="134"/>
      <c r="L165" s="134"/>
    </row>
    <row r="166" spans="1:12" s="48" customFormat="1" ht="15" customHeight="1">
      <c r="A166" s="5"/>
      <c r="B166" s="136"/>
      <c r="C166" s="136"/>
      <c r="D166" s="136"/>
      <c r="E166" s="136"/>
      <c r="F166" s="136"/>
      <c r="G166" s="136"/>
      <c r="H166" s="136"/>
      <c r="I166" s="136"/>
      <c r="J166" s="136"/>
      <c r="K166" s="134"/>
      <c r="L166" s="134"/>
    </row>
    <row r="167" spans="1:12" s="48" customFormat="1" ht="32.25" customHeight="1">
      <c r="A167" s="5"/>
      <c r="B167" s="462"/>
      <c r="C167" s="462"/>
      <c r="D167" s="462"/>
      <c r="E167" s="462"/>
      <c r="F167" s="462"/>
      <c r="G167" s="462"/>
      <c r="H167" s="462"/>
      <c r="I167" s="462"/>
      <c r="J167" s="462"/>
      <c r="K167" s="134"/>
      <c r="L167" s="134"/>
    </row>
    <row r="168" spans="1:12" s="48" customFormat="1" ht="14.25">
      <c r="A168" s="5"/>
      <c r="B168" s="136"/>
      <c r="C168" s="136"/>
      <c r="D168" s="136"/>
      <c r="E168" s="136"/>
      <c r="F168" s="136"/>
      <c r="G168" s="136"/>
      <c r="H168" s="136"/>
      <c r="I168" s="136"/>
      <c r="J168" s="136"/>
      <c r="K168" s="134"/>
      <c r="L168" s="134"/>
    </row>
    <row r="169" spans="1:12" s="48" customFormat="1" ht="14.25">
      <c r="A169" s="5"/>
      <c r="B169" s="135"/>
      <c r="C169" s="136"/>
      <c r="D169" s="136"/>
      <c r="E169" s="136"/>
      <c r="F169" s="136"/>
      <c r="G169" s="136"/>
      <c r="H169" s="136"/>
      <c r="I169" s="136"/>
      <c r="J169" s="136"/>
      <c r="K169" s="134"/>
      <c r="L169" s="134"/>
    </row>
    <row r="170" spans="1:12" s="48" customFormat="1" ht="14.25">
      <c r="A170" s="5"/>
      <c r="B170" s="137"/>
      <c r="C170" s="136"/>
      <c r="D170" s="136"/>
      <c r="E170" s="136"/>
      <c r="F170" s="136"/>
      <c r="G170" s="136"/>
      <c r="H170" s="136"/>
      <c r="I170" s="136"/>
      <c r="J170" s="136"/>
      <c r="K170" s="134"/>
      <c r="L170" s="134"/>
    </row>
    <row r="171" spans="1:12" s="48" customFormat="1" ht="14.25">
      <c r="A171" s="5"/>
      <c r="B171" s="138"/>
      <c r="C171" s="136"/>
      <c r="D171" s="136"/>
      <c r="E171" s="136"/>
      <c r="F171" s="136"/>
      <c r="G171" s="136"/>
      <c r="H171" s="136"/>
      <c r="I171" s="136"/>
      <c r="J171" s="136"/>
      <c r="K171" s="134"/>
      <c r="L171" s="134"/>
    </row>
    <row r="172" spans="1:12" s="48" customFormat="1" ht="14.25">
      <c r="A172" s="5"/>
      <c r="B172" s="137"/>
      <c r="C172" s="136"/>
      <c r="D172" s="136"/>
      <c r="E172" s="136"/>
      <c r="F172" s="136"/>
      <c r="G172" s="136"/>
      <c r="H172" s="136"/>
      <c r="I172" s="136"/>
      <c r="J172" s="136"/>
      <c r="K172" s="134"/>
      <c r="L172" s="134"/>
    </row>
    <row r="173" spans="1:12" s="48" customFormat="1" ht="14.25">
      <c r="A173" s="5"/>
      <c r="B173" s="462"/>
      <c r="C173" s="479"/>
      <c r="D173" s="479"/>
      <c r="E173" s="479"/>
      <c r="F173" s="479"/>
      <c r="G173" s="479"/>
      <c r="H173" s="479"/>
      <c r="I173" s="479"/>
      <c r="J173" s="479"/>
      <c r="K173" s="134"/>
      <c r="L173" s="134"/>
    </row>
    <row r="174" spans="1:12" s="48" customFormat="1" ht="14.25">
      <c r="A174" s="5"/>
      <c r="B174" s="479"/>
      <c r="C174" s="479"/>
      <c r="D174" s="479"/>
      <c r="E174" s="479"/>
      <c r="F174" s="479"/>
      <c r="G174" s="479"/>
      <c r="H174" s="479"/>
      <c r="I174" s="479"/>
      <c r="J174" s="479"/>
      <c r="K174" s="134"/>
      <c r="L174" s="134"/>
    </row>
    <row r="175" spans="1:12" s="48" customFormat="1" ht="14.25">
      <c r="A175" s="5"/>
      <c r="B175" s="463"/>
      <c r="C175" s="479"/>
      <c r="D175" s="479"/>
      <c r="E175" s="479"/>
      <c r="F175" s="479"/>
      <c r="G175" s="479"/>
      <c r="H175" s="479"/>
      <c r="I175" s="479"/>
      <c r="J175" s="479"/>
      <c r="K175" s="134"/>
      <c r="L175" s="134"/>
    </row>
    <row r="176" spans="1:12" ht="14.25">
      <c r="A176" s="5"/>
      <c r="B176" s="479"/>
      <c r="C176" s="479"/>
      <c r="D176" s="479"/>
      <c r="E176" s="479"/>
      <c r="F176" s="479"/>
      <c r="G176" s="479"/>
      <c r="H176" s="479"/>
      <c r="I176" s="479"/>
      <c r="J176" s="479"/>
      <c r="K176" s="134"/>
      <c r="L176" s="134"/>
    </row>
  </sheetData>
  <mergeCells count="19">
    <mergeCell ref="B175:J176"/>
    <mergeCell ref="C32:E32"/>
    <mergeCell ref="C54:E54"/>
    <mergeCell ref="C76:E76"/>
    <mergeCell ref="B98:E98"/>
    <mergeCell ref="B126:E126"/>
    <mergeCell ref="B132:E132"/>
    <mergeCell ref="B151:E151"/>
    <mergeCell ref="B161:J162"/>
    <mergeCell ref="B163:J165"/>
    <mergeCell ref="B167:J167"/>
    <mergeCell ref="B173:J174"/>
    <mergeCell ref="D6:J6"/>
    <mergeCell ref="D8:E8"/>
    <mergeCell ref="D9:E9"/>
    <mergeCell ref="B11:E11"/>
    <mergeCell ref="D23:E23"/>
    <mergeCell ref="G23:H23"/>
    <mergeCell ref="J23:K23"/>
  </mergeCells>
  <dataValidations disablePrompts="1" count="2">
    <dataValidation type="list" allowBlank="1" showInputMessage="1" showErrorMessage="1" sqref="D8:E9">
      <formula1>$V$39:$V$47</formula1>
    </dataValidation>
    <dataValidation type="list" allowBlank="1" showInputMessage="1" showErrorMessage="1" sqref="C20">
      <formula1>"Yes,No"</formula1>
    </dataValidation>
  </dataValidations>
  <pageMargins left="0.70866141732283472" right="0.70866141732283472" top="0.74803149606299213" bottom="0.74803149606299213" header="0.31496062992125984" footer="0.31496062992125984"/>
  <pageSetup paperSize="8" scale="38" orientation="portrait" r:id="rId1"/>
  <rowBreaks count="1" manualBreakCount="1">
    <brk id="1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O163"/>
  <sheetViews>
    <sheetView showGridLines="0" topLeftCell="A85" zoomScale="80" zoomScaleNormal="80" workbookViewId="0">
      <selection activeCell="B93" sqref="B93"/>
    </sheetView>
  </sheetViews>
  <sheetFormatPr defaultColWidth="9.1328125" defaultRowHeight="14.25" outlineLevelRow="1"/>
  <cols>
    <col min="1" max="1" width="9.86328125" style="4" customWidth="1"/>
    <col min="2" max="2" width="79.53125" style="4" bestFit="1" customWidth="1"/>
    <col min="3" max="5" width="11.33203125" style="4" customWidth="1"/>
    <col min="6" max="6" width="60.53125" style="4" customWidth="1"/>
    <col min="7" max="8" width="11.33203125" style="4" customWidth="1"/>
    <col min="9" max="9" width="12" style="4" customWidth="1"/>
    <col min="10" max="10" width="11.33203125" style="4" customWidth="1"/>
    <col min="11" max="14" width="9.1328125" style="4"/>
    <col min="15" max="15" width="12.86328125" style="4" customWidth="1"/>
    <col min="16" max="16384" width="9.1328125" style="4"/>
  </cols>
  <sheetData>
    <row r="1" spans="1:6" ht="25.15">
      <c r="A1" s="265" t="s">
        <v>337</v>
      </c>
      <c r="B1" s="265"/>
      <c r="C1" s="67"/>
      <c r="D1" s="68"/>
      <c r="E1" s="68"/>
      <c r="F1" s="68"/>
    </row>
    <row r="2" spans="1:6" ht="30.75" customHeight="1">
      <c r="A2" s="265" t="str">
        <f>+'Pension Pack cover'!D12</f>
        <v xml:space="preserve">NWO Group Name </v>
      </c>
      <c r="B2" s="385"/>
      <c r="C2" s="67"/>
      <c r="D2" s="68"/>
      <c r="E2" s="68"/>
      <c r="F2" s="68"/>
    </row>
    <row r="3" spans="1:6" ht="25.15">
      <c r="A3" s="385">
        <f>+'Pension Pack cover'!D24</f>
        <v>2020</v>
      </c>
      <c r="B3" s="385"/>
      <c r="C3" s="67"/>
      <c r="D3" s="68"/>
      <c r="E3" s="68"/>
      <c r="F3" s="68"/>
    </row>
    <row r="4" spans="1:6" ht="15.4">
      <c r="A4" s="10" t="s">
        <v>338</v>
      </c>
      <c r="B4" s="69"/>
      <c r="C4" s="70"/>
      <c r="D4" s="71"/>
      <c r="E4" s="72"/>
      <c r="F4" s="72"/>
    </row>
    <row r="5" spans="1:6" ht="15.4">
      <c r="A5" s="73"/>
      <c r="B5" s="73"/>
      <c r="C5" s="74"/>
      <c r="D5" s="71"/>
      <c r="E5" s="72"/>
      <c r="F5" s="72"/>
    </row>
    <row r="6" spans="1:6" ht="15" customHeight="1">
      <c r="A6" s="73"/>
      <c r="B6" s="75" t="s">
        <v>19</v>
      </c>
      <c r="C6" s="74"/>
      <c r="D6" s="468" t="str">
        <f>'P2.1 PDAM Licensee provided'!D6:J6</f>
        <v>DB Scheme 2</v>
      </c>
      <c r="E6" s="469"/>
      <c r="F6" s="469"/>
    </row>
    <row r="7" spans="1:6" ht="15.4">
      <c r="A7" s="73"/>
      <c r="B7" s="73"/>
      <c r="C7" s="74"/>
      <c r="D7" s="71"/>
      <c r="E7" s="72"/>
      <c r="F7" s="72"/>
    </row>
    <row r="8" spans="1:6" ht="15.4">
      <c r="A8" s="76" t="str">
        <f>CONCATENATE("Section A - Assets and Liabilities at ",'P1.1 PDAM Licensee provided'!D8," valuation")</f>
        <v>Section A - Assets and Liabilities at 31 March 2016 valuation</v>
      </c>
      <c r="B8" s="73"/>
      <c r="C8" s="74"/>
      <c r="D8" s="71"/>
      <c r="E8" s="72"/>
      <c r="F8" s="72"/>
    </row>
    <row r="9" spans="1:6" outlineLevel="1">
      <c r="A9" s="73"/>
      <c r="B9" s="73"/>
      <c r="C9" s="74"/>
      <c r="D9" s="73"/>
      <c r="E9" s="72"/>
      <c r="F9" s="72"/>
    </row>
    <row r="10" spans="1:6" ht="15.4" outlineLevel="1">
      <c r="A10" s="77"/>
      <c r="B10" s="287" t="s">
        <v>206</v>
      </c>
      <c r="C10" s="78" t="s">
        <v>0</v>
      </c>
      <c r="D10" s="9">
        <v>0</v>
      </c>
      <c r="E10" s="72"/>
      <c r="F10" s="72"/>
    </row>
    <row r="11" spans="1:6" ht="15.4" outlineLevel="1">
      <c r="A11" s="77"/>
      <c r="B11" s="287" t="s">
        <v>207</v>
      </c>
      <c r="C11" s="78" t="s">
        <v>0</v>
      </c>
      <c r="D11" s="9">
        <v>0</v>
      </c>
      <c r="E11" s="72"/>
      <c r="F11" s="72"/>
    </row>
    <row r="12" spans="1:6" ht="15.4" outlineLevel="1">
      <c r="A12" s="77"/>
      <c r="B12" s="79" t="str">
        <f>CONCATENATE("Scheme surplus (+ve)/ deficit (-ve) at ",'P1.1 PDAM Licensee provided'!D8)</f>
        <v>Scheme surplus (+ve)/ deficit (-ve) at 31 March 2016</v>
      </c>
      <c r="C12" s="78" t="s">
        <v>0</v>
      </c>
      <c r="D12" s="8">
        <f>SUM(D10:D11)</f>
        <v>0</v>
      </c>
      <c r="E12" s="72"/>
      <c r="F12" s="72"/>
    </row>
    <row r="13" spans="1:6" ht="15.4">
      <c r="A13" s="73"/>
      <c r="B13" s="73"/>
      <c r="C13" s="74"/>
      <c r="D13" s="71"/>
      <c r="E13" s="72"/>
      <c r="F13" s="72"/>
    </row>
    <row r="14" spans="1:6" ht="15.4">
      <c r="A14" s="76" t="str">
        <f>CONCATENATE("Section B - Assets and Liabilities at ",'P1.1 PDAM Licensee provided'!D9," valuation")</f>
        <v>Section B - Assets and Liabilities at 31 March 2019 valuation</v>
      </c>
      <c r="B14" s="73"/>
      <c r="C14" s="74"/>
      <c r="D14" s="71"/>
      <c r="E14" s="72"/>
      <c r="F14" s="72"/>
    </row>
    <row r="15" spans="1:6" ht="15.4" outlineLevel="1">
      <c r="A15" s="73"/>
      <c r="B15" s="73"/>
      <c r="C15" s="74"/>
      <c r="D15" s="71"/>
      <c r="E15" s="72"/>
      <c r="F15" s="72"/>
    </row>
    <row r="16" spans="1:6" outlineLevel="1">
      <c r="A16" s="73"/>
      <c r="B16" s="287" t="s">
        <v>206</v>
      </c>
      <c r="C16" s="78" t="s">
        <v>0</v>
      </c>
      <c r="D16" s="9">
        <v>0</v>
      </c>
      <c r="E16" s="72"/>
      <c r="F16" s="72"/>
    </row>
    <row r="17" spans="1:6" outlineLevel="1">
      <c r="A17" s="73"/>
      <c r="B17" s="287" t="s">
        <v>208</v>
      </c>
      <c r="C17" s="78" t="s">
        <v>0</v>
      </c>
      <c r="D17" s="9">
        <v>0</v>
      </c>
      <c r="E17" s="72"/>
      <c r="F17" s="72"/>
    </row>
    <row r="18" spans="1:6" outlineLevel="1">
      <c r="A18" s="73"/>
      <c r="B18" s="287" t="s">
        <v>209</v>
      </c>
      <c r="C18" s="78" t="s">
        <v>0</v>
      </c>
      <c r="D18" s="9">
        <v>0</v>
      </c>
      <c r="E18" s="72"/>
      <c r="F18" s="72"/>
    </row>
    <row r="19" spans="1:6" outlineLevel="1">
      <c r="A19" s="73"/>
      <c r="B19" s="287" t="s">
        <v>210</v>
      </c>
      <c r="C19" s="78" t="s">
        <v>0</v>
      </c>
      <c r="D19" s="9">
        <v>0</v>
      </c>
      <c r="E19" s="72"/>
      <c r="F19" s="72"/>
    </row>
    <row r="20" spans="1:6" outlineLevel="1">
      <c r="A20" s="73"/>
      <c r="B20" s="75" t="s">
        <v>34</v>
      </c>
      <c r="C20" s="78" t="s">
        <v>0</v>
      </c>
      <c r="D20" s="8">
        <f>SUM(D17:D19)</f>
        <v>0</v>
      </c>
      <c r="E20" s="72"/>
      <c r="F20" s="72"/>
    </row>
    <row r="21" spans="1:6" outlineLevel="1">
      <c r="A21" s="73"/>
      <c r="B21" s="79" t="str">
        <f>CONCATENATE("Scheme surplus (+ve)/ deficit (-ve) at ",'P1.1 PDAM Licensee provided'!D9)</f>
        <v>Scheme surplus (+ve)/ deficit (-ve) at 31 March 2019</v>
      </c>
      <c r="C21" s="78" t="s">
        <v>0</v>
      </c>
      <c r="D21" s="8">
        <f>D16+D20</f>
        <v>0</v>
      </c>
      <c r="E21" s="72"/>
      <c r="F21" s="72"/>
    </row>
    <row r="22" spans="1:6">
      <c r="A22" s="73"/>
      <c r="B22" s="79"/>
      <c r="C22" s="78"/>
      <c r="D22" s="78"/>
      <c r="E22" s="78"/>
      <c r="F22" s="72"/>
    </row>
    <row r="23" spans="1:6">
      <c r="A23" s="464" t="s">
        <v>264</v>
      </c>
      <c r="B23" s="464"/>
      <c r="C23" s="464"/>
      <c r="D23" s="464"/>
      <c r="E23" s="72"/>
      <c r="F23" s="72"/>
    </row>
    <row r="24" spans="1:6" ht="15.4" outlineLevel="1">
      <c r="A24" s="73"/>
      <c r="B24" s="73"/>
      <c r="C24" s="139"/>
      <c r="D24" s="71"/>
      <c r="E24" s="72"/>
      <c r="F24" s="72"/>
    </row>
    <row r="25" spans="1:6" outlineLevel="1">
      <c r="A25" s="73"/>
      <c r="B25" s="140" t="str">
        <f>CONCATENATE("Scheme surplus (+ve)/ deficit (-ve) at ",'P1.1 PDAM Licensee provided'!D8)</f>
        <v>Scheme surplus (+ve)/ deficit (-ve) at 31 March 2016</v>
      </c>
      <c r="C25" s="141" t="s">
        <v>0</v>
      </c>
      <c r="D25" s="8">
        <f>D12</f>
        <v>0</v>
      </c>
      <c r="E25" s="72"/>
      <c r="F25" s="72"/>
    </row>
    <row r="26" spans="1:6" outlineLevel="1">
      <c r="A26" s="73"/>
      <c r="B26" s="142" t="s">
        <v>97</v>
      </c>
      <c r="C26" s="141" t="s">
        <v>0</v>
      </c>
      <c r="D26" s="9">
        <v>0</v>
      </c>
      <c r="E26" s="72"/>
      <c r="F26" s="72"/>
    </row>
    <row r="27" spans="1:6" outlineLevel="1">
      <c r="A27" s="73"/>
      <c r="B27" s="142" t="s">
        <v>4</v>
      </c>
      <c r="C27" s="141" t="s">
        <v>0</v>
      </c>
      <c r="D27" s="9">
        <v>0</v>
      </c>
      <c r="E27" s="72"/>
      <c r="F27" s="72"/>
    </row>
    <row r="28" spans="1:6" outlineLevel="1">
      <c r="A28" s="73"/>
      <c r="B28" s="142" t="s">
        <v>5</v>
      </c>
      <c r="C28" s="141" t="s">
        <v>0</v>
      </c>
      <c r="D28" s="9">
        <v>0</v>
      </c>
      <c r="E28" s="72"/>
      <c r="F28" s="72"/>
    </row>
    <row r="29" spans="1:6" outlineLevel="1">
      <c r="A29" s="73"/>
      <c r="B29" s="142" t="s">
        <v>6</v>
      </c>
      <c r="C29" s="141" t="s">
        <v>0</v>
      </c>
      <c r="D29" s="9">
        <v>0</v>
      </c>
      <c r="E29" s="72"/>
      <c r="F29" s="72"/>
    </row>
    <row r="30" spans="1:6" outlineLevel="1">
      <c r="A30" s="73"/>
      <c r="B30" s="142" t="s">
        <v>98</v>
      </c>
      <c r="C30" s="141" t="s">
        <v>0</v>
      </c>
      <c r="D30" s="9">
        <v>0</v>
      </c>
      <c r="E30" s="72"/>
      <c r="F30" s="72"/>
    </row>
    <row r="31" spans="1:6" outlineLevel="1">
      <c r="A31" s="73"/>
      <c r="B31" s="142" t="s">
        <v>99</v>
      </c>
      <c r="C31" s="141" t="s">
        <v>0</v>
      </c>
      <c r="D31" s="9">
        <v>0</v>
      </c>
      <c r="E31" s="72"/>
      <c r="F31" s="72"/>
    </row>
    <row r="32" spans="1:6" outlineLevel="1">
      <c r="A32" s="73"/>
      <c r="B32" s="142" t="s">
        <v>100</v>
      </c>
      <c r="C32" s="141" t="s">
        <v>0</v>
      </c>
      <c r="D32" s="9">
        <v>0</v>
      </c>
      <c r="E32" s="72"/>
      <c r="F32" s="72"/>
    </row>
    <row r="33" spans="1:6" outlineLevel="1">
      <c r="A33" s="73"/>
      <c r="B33" s="142" t="s">
        <v>101</v>
      </c>
      <c r="C33" s="141" t="s">
        <v>0</v>
      </c>
      <c r="D33" s="9">
        <v>0</v>
      </c>
      <c r="E33" s="72"/>
      <c r="F33" s="72"/>
    </row>
    <row r="34" spans="1:6" outlineLevel="1">
      <c r="A34" s="73"/>
      <c r="B34" s="142" t="s">
        <v>102</v>
      </c>
      <c r="C34" s="141" t="s">
        <v>0</v>
      </c>
      <c r="D34" s="9">
        <v>0</v>
      </c>
      <c r="E34" s="72"/>
      <c r="F34" s="72"/>
    </row>
    <row r="35" spans="1:6" outlineLevel="1">
      <c r="A35" s="73"/>
      <c r="B35" s="320" t="s">
        <v>323</v>
      </c>
      <c r="C35" s="141" t="s">
        <v>0</v>
      </c>
      <c r="D35" s="9">
        <v>0</v>
      </c>
      <c r="E35" s="72"/>
      <c r="F35" s="72"/>
    </row>
    <row r="36" spans="1:6" outlineLevel="1">
      <c r="A36" s="73"/>
      <c r="B36" s="80" t="s">
        <v>1</v>
      </c>
      <c r="C36" s="141" t="s">
        <v>0</v>
      </c>
      <c r="D36" s="9">
        <v>0</v>
      </c>
      <c r="E36" s="72"/>
      <c r="F36" s="72"/>
    </row>
    <row r="37" spans="1:6" outlineLevel="1">
      <c r="A37" s="73"/>
      <c r="B37" s="80" t="s">
        <v>1</v>
      </c>
      <c r="C37" s="141" t="s">
        <v>0</v>
      </c>
      <c r="D37" s="9">
        <v>0</v>
      </c>
      <c r="E37" s="72"/>
      <c r="F37" s="72"/>
    </row>
    <row r="38" spans="1:6" outlineLevel="1">
      <c r="A38" s="73"/>
      <c r="B38" s="80" t="s">
        <v>1</v>
      </c>
      <c r="C38" s="141" t="s">
        <v>0</v>
      </c>
      <c r="D38" s="9">
        <v>0</v>
      </c>
      <c r="E38" s="72"/>
      <c r="F38" s="72"/>
    </row>
    <row r="39" spans="1:6" outlineLevel="1">
      <c r="A39" s="73"/>
      <c r="B39" s="80" t="s">
        <v>1</v>
      </c>
      <c r="C39" s="141" t="s">
        <v>0</v>
      </c>
      <c r="D39" s="9">
        <v>0</v>
      </c>
      <c r="E39" s="72"/>
      <c r="F39" s="72"/>
    </row>
    <row r="40" spans="1:6" outlineLevel="1">
      <c r="A40" s="73"/>
      <c r="B40" s="80" t="s">
        <v>1</v>
      </c>
      <c r="C40" s="141" t="s">
        <v>0</v>
      </c>
      <c r="D40" s="9">
        <v>0</v>
      </c>
      <c r="E40" s="72"/>
      <c r="F40" s="72"/>
    </row>
    <row r="41" spans="1:6" outlineLevel="1">
      <c r="A41" s="73"/>
      <c r="B41" s="79" t="str">
        <f>CONCATENATE("Scheme surplus (+ve)/ deficit (-ve) at ",'P1.1 PDAM Licensee provided'!D9)</f>
        <v>Scheme surplus (+ve)/ deficit (-ve) at 31 March 2019</v>
      </c>
      <c r="C41" s="141" t="s">
        <v>0</v>
      </c>
      <c r="D41" s="8">
        <f>SUM(D25:D40)</f>
        <v>0</v>
      </c>
      <c r="E41" s="72"/>
      <c r="F41" s="72"/>
    </row>
    <row r="42" spans="1:6" outlineLevel="1">
      <c r="A42" s="73"/>
      <c r="B42" s="143" t="s">
        <v>3</v>
      </c>
      <c r="D42" s="144" t="str">
        <f>IF(D41-D21&lt;0.1,"OK","ERROR")</f>
        <v>OK</v>
      </c>
      <c r="E42" s="72"/>
      <c r="F42" s="72"/>
    </row>
    <row r="43" spans="1:6">
      <c r="A43" s="73"/>
      <c r="B43" s="79"/>
      <c r="C43" s="78"/>
      <c r="D43" s="78"/>
      <c r="E43" s="78"/>
      <c r="F43" s="72"/>
    </row>
    <row r="44" spans="1:6" ht="15.75" customHeight="1">
      <c r="A44" s="464" t="s">
        <v>266</v>
      </c>
      <c r="B44" s="464"/>
      <c r="C44" s="470"/>
      <c r="D44" s="470"/>
      <c r="E44" s="72"/>
      <c r="F44" s="72"/>
    </row>
    <row r="45" spans="1:6" outlineLevel="1">
      <c r="A45" s="73"/>
      <c r="B45" s="73"/>
      <c r="C45" s="78"/>
      <c r="D45" s="83" t="s">
        <v>32</v>
      </c>
      <c r="E45" s="72"/>
      <c r="F45" s="72"/>
    </row>
    <row r="46" spans="1:6" ht="18.75" customHeight="1" outlineLevel="1">
      <c r="A46" s="84"/>
      <c r="B46" s="85" t="str">
        <f>CONCATENATE("Liabilities at ",+'P1.1 PDAM Licensee provided'!D8)</f>
        <v>Liabilities at 31 March 2016</v>
      </c>
      <c r="C46" s="78" t="s">
        <v>0</v>
      </c>
      <c r="D46" s="8">
        <f>-D11</f>
        <v>0</v>
      </c>
      <c r="E46" s="72"/>
      <c r="F46" s="72"/>
    </row>
    <row r="47" spans="1:6" outlineLevel="1">
      <c r="A47" s="84" t="s">
        <v>14</v>
      </c>
      <c r="B47" s="85" t="s">
        <v>44</v>
      </c>
      <c r="C47" s="78" t="s">
        <v>0</v>
      </c>
      <c r="D47" s="9">
        <v>0</v>
      </c>
      <c r="E47" s="72"/>
      <c r="F47" s="72"/>
    </row>
    <row r="48" spans="1:6" outlineLevel="1">
      <c r="A48" s="84" t="s">
        <v>14</v>
      </c>
      <c r="B48" s="85" t="s">
        <v>45</v>
      </c>
      <c r="C48" s="78" t="s">
        <v>0</v>
      </c>
      <c r="D48" s="9">
        <v>0</v>
      </c>
      <c r="E48" s="72"/>
      <c r="F48" s="72"/>
    </row>
    <row r="49" spans="1:6" outlineLevel="1">
      <c r="A49" s="84" t="s">
        <v>14</v>
      </c>
      <c r="B49" s="44" t="s">
        <v>55</v>
      </c>
      <c r="C49" s="78" t="s">
        <v>0</v>
      </c>
      <c r="D49" s="9">
        <v>0</v>
      </c>
      <c r="E49" s="72"/>
      <c r="F49" s="72"/>
    </row>
    <row r="50" spans="1:6" outlineLevel="1">
      <c r="A50" s="84" t="s">
        <v>15</v>
      </c>
      <c r="B50" s="85" t="s">
        <v>52</v>
      </c>
      <c r="C50" s="78" t="s">
        <v>0</v>
      </c>
      <c r="D50" s="9">
        <v>0</v>
      </c>
      <c r="E50" s="72"/>
      <c r="F50" s="72"/>
    </row>
    <row r="51" spans="1:6" outlineLevel="1">
      <c r="A51" s="84" t="s">
        <v>15</v>
      </c>
      <c r="B51" s="85" t="s">
        <v>53</v>
      </c>
      <c r="C51" s="78" t="s">
        <v>0</v>
      </c>
      <c r="D51" s="9">
        <v>0</v>
      </c>
      <c r="E51" s="72"/>
      <c r="F51" s="72"/>
    </row>
    <row r="52" spans="1:6" outlineLevel="1">
      <c r="A52" s="84" t="s">
        <v>14</v>
      </c>
      <c r="B52" s="44" t="s">
        <v>46</v>
      </c>
      <c r="C52" s="78" t="s">
        <v>0</v>
      </c>
      <c r="D52" s="9">
        <v>0</v>
      </c>
      <c r="E52" s="72"/>
      <c r="F52" s="72"/>
    </row>
    <row r="53" spans="1:6" outlineLevel="1">
      <c r="A53" s="84" t="s">
        <v>15</v>
      </c>
      <c r="B53" s="44" t="s">
        <v>47</v>
      </c>
      <c r="C53" s="78" t="s">
        <v>0</v>
      </c>
      <c r="D53" s="9">
        <v>0</v>
      </c>
      <c r="E53" s="72"/>
      <c r="F53" s="72"/>
    </row>
    <row r="54" spans="1:6" outlineLevel="1">
      <c r="A54" s="84" t="s">
        <v>14</v>
      </c>
      <c r="B54" s="85" t="s">
        <v>48</v>
      </c>
      <c r="C54" s="78" t="s">
        <v>0</v>
      </c>
      <c r="D54" s="9">
        <v>0</v>
      </c>
      <c r="E54" s="72"/>
      <c r="F54" s="72"/>
    </row>
    <row r="55" spans="1:6" outlineLevel="1">
      <c r="A55" s="84" t="s">
        <v>54</v>
      </c>
      <c r="B55" s="85" t="s">
        <v>49</v>
      </c>
      <c r="C55" s="78" t="s">
        <v>0</v>
      </c>
      <c r="D55" s="9">
        <v>0</v>
      </c>
      <c r="E55" s="72"/>
      <c r="F55" s="72"/>
    </row>
    <row r="56" spans="1:6" outlineLevel="1">
      <c r="A56" s="84" t="s">
        <v>54</v>
      </c>
      <c r="B56" s="85" t="s">
        <v>50</v>
      </c>
      <c r="C56" s="78" t="s">
        <v>0</v>
      </c>
      <c r="D56" s="9">
        <v>0</v>
      </c>
      <c r="E56" s="72"/>
      <c r="F56" s="72"/>
    </row>
    <row r="57" spans="1:6" outlineLevel="1">
      <c r="A57" s="84" t="s">
        <v>54</v>
      </c>
      <c r="B57" s="450" t="s">
        <v>570</v>
      </c>
      <c r="C57" s="78" t="s">
        <v>0</v>
      </c>
      <c r="D57" s="9">
        <v>0</v>
      </c>
      <c r="E57" s="72"/>
      <c r="F57" s="72"/>
    </row>
    <row r="58" spans="1:6" outlineLevel="1">
      <c r="A58" s="84" t="s">
        <v>54</v>
      </c>
      <c r="B58" s="450" t="s">
        <v>571</v>
      </c>
      <c r="C58" s="78" t="s">
        <v>0</v>
      </c>
      <c r="D58" s="9">
        <v>0</v>
      </c>
      <c r="E58" s="72"/>
      <c r="F58" s="72"/>
    </row>
    <row r="59" spans="1:6" outlineLevel="1">
      <c r="A59" s="84" t="s">
        <v>54</v>
      </c>
      <c r="B59" s="450" t="s">
        <v>572</v>
      </c>
      <c r="C59" s="78" t="s">
        <v>0</v>
      </c>
      <c r="D59" s="9">
        <v>0</v>
      </c>
      <c r="E59" s="72"/>
      <c r="F59" s="72"/>
    </row>
    <row r="60" spans="1:6" outlineLevel="1">
      <c r="A60" s="84" t="s">
        <v>54</v>
      </c>
      <c r="B60" s="85" t="s">
        <v>51</v>
      </c>
      <c r="C60" s="78" t="s">
        <v>0</v>
      </c>
      <c r="D60" s="9">
        <v>0</v>
      </c>
      <c r="E60" s="72"/>
      <c r="F60" s="72"/>
    </row>
    <row r="61" spans="1:6" outlineLevel="1">
      <c r="A61" s="84" t="s">
        <v>54</v>
      </c>
      <c r="B61" s="80" t="s">
        <v>1</v>
      </c>
      <c r="C61" s="78" t="s">
        <v>0</v>
      </c>
      <c r="D61" s="9">
        <v>0</v>
      </c>
      <c r="E61" s="72"/>
      <c r="F61" s="72"/>
    </row>
    <row r="62" spans="1:6" outlineLevel="1">
      <c r="A62" s="84" t="s">
        <v>54</v>
      </c>
      <c r="B62" s="80" t="s">
        <v>1</v>
      </c>
      <c r="C62" s="78" t="s">
        <v>0</v>
      </c>
      <c r="D62" s="9">
        <v>0</v>
      </c>
      <c r="E62" s="72"/>
      <c r="F62" s="72"/>
    </row>
    <row r="63" spans="1:6" ht="15.75" customHeight="1" outlineLevel="1">
      <c r="A63" s="84" t="s">
        <v>54</v>
      </c>
      <c r="B63" s="80" t="s">
        <v>1</v>
      </c>
      <c r="C63" s="78" t="s">
        <v>0</v>
      </c>
      <c r="D63" s="9">
        <v>0</v>
      </c>
      <c r="E63" s="72"/>
      <c r="F63" s="72"/>
    </row>
    <row r="64" spans="1:6" outlineLevel="1">
      <c r="A64" s="84" t="s">
        <v>54</v>
      </c>
      <c r="B64" s="80" t="s">
        <v>1</v>
      </c>
      <c r="C64" s="78" t="s">
        <v>0</v>
      </c>
      <c r="D64" s="9">
        <v>0</v>
      </c>
      <c r="E64" s="72"/>
      <c r="F64" s="72"/>
    </row>
    <row r="65" spans="1:6" ht="15.75" customHeight="1" outlineLevel="1">
      <c r="A65" s="84" t="s">
        <v>54</v>
      </c>
      <c r="B65" s="80" t="s">
        <v>1</v>
      </c>
      <c r="C65" s="78" t="s">
        <v>0</v>
      </c>
      <c r="D65" s="9">
        <v>0</v>
      </c>
      <c r="E65" s="72"/>
      <c r="F65" s="72"/>
    </row>
    <row r="66" spans="1:6" ht="6.75" customHeight="1" outlineLevel="1">
      <c r="A66" s="73"/>
      <c r="B66" s="43"/>
      <c r="C66" s="78"/>
      <c r="D66" s="72"/>
      <c r="E66" s="72"/>
      <c r="F66" s="72"/>
    </row>
    <row r="67" spans="1:6" outlineLevel="1">
      <c r="A67" s="73"/>
      <c r="B67" s="292" t="str">
        <f>CONCATENATE("Liabilities at ",+'P1.1 PDAM Licensee provided'!D9)</f>
        <v>Liabilities at 31 March 2019</v>
      </c>
      <c r="C67" s="78" t="s">
        <v>0</v>
      </c>
      <c r="D67" s="8">
        <f>SUM(D46:D65)</f>
        <v>0</v>
      </c>
      <c r="E67" s="72"/>
      <c r="F67" s="72"/>
    </row>
    <row r="68" spans="1:6" outlineLevel="1">
      <c r="A68" s="73"/>
      <c r="B68" s="81" t="s">
        <v>3</v>
      </c>
      <c r="C68" s="78"/>
      <c r="D68" s="82" t="str">
        <f>IF(ROUND(D67,1)=ROUND(-D20,1),"OK","ERROR")</f>
        <v>OK</v>
      </c>
      <c r="E68" s="72"/>
      <c r="F68" s="72"/>
    </row>
    <row r="69" spans="1:6">
      <c r="A69" s="73"/>
      <c r="B69" s="86"/>
      <c r="C69" s="78"/>
      <c r="D69" s="72"/>
      <c r="E69" s="72"/>
      <c r="F69" s="72"/>
    </row>
    <row r="70" spans="1:6" ht="27" customHeight="1">
      <c r="A70" s="464" t="s">
        <v>267</v>
      </c>
      <c r="B70" s="464"/>
      <c r="C70" s="470"/>
      <c r="D70" s="470"/>
      <c r="E70" s="72"/>
      <c r="F70" s="72"/>
    </row>
    <row r="71" spans="1:6" ht="15" customHeight="1" outlineLevel="1">
      <c r="A71" s="316"/>
      <c r="B71" s="316"/>
      <c r="C71" s="317"/>
      <c r="D71" s="317"/>
      <c r="E71" s="72"/>
      <c r="F71" s="72"/>
    </row>
    <row r="72" spans="1:6" outlineLevel="1">
      <c r="A72" s="73"/>
      <c r="B72" s="88" t="s">
        <v>11</v>
      </c>
      <c r="C72" s="78"/>
      <c r="D72" s="72"/>
      <c r="E72" s="72"/>
      <c r="F72" s="72"/>
    </row>
    <row r="73" spans="1:6" outlineLevel="1">
      <c r="A73" s="73"/>
      <c r="B73" s="89" t="s">
        <v>7</v>
      </c>
      <c r="C73" s="78" t="s">
        <v>2</v>
      </c>
      <c r="D73" s="6">
        <v>0</v>
      </c>
      <c r="E73" s="72"/>
      <c r="F73" s="72"/>
    </row>
    <row r="74" spans="1:6" outlineLevel="1">
      <c r="A74" s="73"/>
      <c r="B74" s="89" t="s">
        <v>8</v>
      </c>
      <c r="C74" s="78" t="s">
        <v>2</v>
      </c>
      <c r="D74" s="6">
        <v>0</v>
      </c>
      <c r="E74" s="72"/>
      <c r="F74" s="72"/>
    </row>
    <row r="75" spans="1:6" outlineLevel="1">
      <c r="A75" s="73"/>
      <c r="B75" s="89" t="s">
        <v>9</v>
      </c>
      <c r="C75" s="78" t="s">
        <v>2</v>
      </c>
      <c r="D75" s="6">
        <v>0</v>
      </c>
      <c r="E75" s="72"/>
      <c r="F75" s="72"/>
    </row>
    <row r="76" spans="1:6" outlineLevel="1">
      <c r="A76" s="73"/>
      <c r="B76" s="88"/>
      <c r="C76" s="78"/>
      <c r="D76" s="72"/>
      <c r="E76" s="72"/>
      <c r="F76" s="72"/>
    </row>
    <row r="77" spans="1:6" outlineLevel="1">
      <c r="A77" s="73"/>
      <c r="B77" s="75" t="s">
        <v>10</v>
      </c>
      <c r="C77" s="78" t="s">
        <v>0</v>
      </c>
      <c r="D77" s="8">
        <f>(D17*D73)+(D18*D74)+(D19*D75)</f>
        <v>0</v>
      </c>
      <c r="E77" s="72"/>
      <c r="F77" s="72"/>
    </row>
    <row r="78" spans="1:6" outlineLevel="1">
      <c r="A78" s="73"/>
      <c r="B78" s="88"/>
      <c r="C78" s="78"/>
      <c r="D78" s="78"/>
      <c r="E78" s="72"/>
      <c r="F78" s="72"/>
    </row>
    <row r="79" spans="1:6" outlineLevel="1">
      <c r="A79" s="73"/>
      <c r="B79" s="75" t="s">
        <v>12</v>
      </c>
      <c r="C79" s="78" t="s">
        <v>0</v>
      </c>
      <c r="D79" s="8">
        <f>D20-D77</f>
        <v>0</v>
      </c>
      <c r="E79" s="72"/>
      <c r="F79" s="72"/>
    </row>
    <row r="80" spans="1:6" outlineLevel="1">
      <c r="A80" s="88"/>
      <c r="B80" s="88"/>
      <c r="C80" s="78"/>
      <c r="D80" s="72"/>
      <c r="E80" s="72"/>
      <c r="F80" s="72"/>
    </row>
    <row r="81" spans="1:15" ht="25.9" outlineLevel="1">
      <c r="A81" s="88"/>
      <c r="B81" s="90" t="s">
        <v>239</v>
      </c>
      <c r="C81" s="78" t="s">
        <v>0</v>
      </c>
      <c r="D81" s="279">
        <v>0</v>
      </c>
      <c r="E81" s="72"/>
      <c r="F81" s="72"/>
    </row>
    <row r="82" spans="1:15" ht="25.9" outlineLevel="1">
      <c r="A82" s="88"/>
      <c r="B82" s="90" t="s">
        <v>240</v>
      </c>
      <c r="C82" s="78" t="s">
        <v>0</v>
      </c>
      <c r="D82" s="279">
        <v>0</v>
      </c>
      <c r="E82" s="72"/>
      <c r="F82" s="72"/>
    </row>
    <row r="83" spans="1:15" outlineLevel="1">
      <c r="A83" s="88"/>
      <c r="B83" s="90" t="s">
        <v>28</v>
      </c>
      <c r="C83" s="78" t="s">
        <v>0</v>
      </c>
      <c r="D83" s="45">
        <f>D81+D82</f>
        <v>0</v>
      </c>
      <c r="E83" s="72"/>
      <c r="F83" s="72"/>
    </row>
    <row r="84" spans="1:15" outlineLevel="1">
      <c r="A84" s="88"/>
      <c r="B84" s="81" t="s">
        <v>3</v>
      </c>
      <c r="D84" s="82" t="str">
        <f>IF(ROUND(D77,1)=ROUND(D83,1),"OK","ERROR")</f>
        <v>OK</v>
      </c>
      <c r="E84" s="72"/>
      <c r="F84" s="72"/>
    </row>
    <row r="85" spans="1:15">
      <c r="A85" s="88"/>
      <c r="B85" s="88"/>
      <c r="C85" s="78"/>
      <c r="D85" s="72"/>
      <c r="E85" s="72"/>
      <c r="F85" s="72"/>
    </row>
    <row r="86" spans="1:15" ht="30" customHeight="1">
      <c r="A86" s="456" t="s">
        <v>269</v>
      </c>
      <c r="B86" s="464"/>
      <c r="C86" s="470"/>
      <c r="D86" s="470"/>
      <c r="E86" s="72"/>
      <c r="F86" s="72"/>
    </row>
    <row r="87" spans="1:15" outlineLevel="1">
      <c r="A87" s="73"/>
      <c r="B87" s="73"/>
      <c r="C87" s="78"/>
      <c r="D87" s="72"/>
      <c r="E87" s="72"/>
      <c r="F87" s="72"/>
    </row>
    <row r="88" spans="1:15" ht="39" customHeight="1" outlineLevel="1">
      <c r="A88" s="73"/>
      <c r="B88" s="88" t="s">
        <v>13</v>
      </c>
      <c r="C88" s="130" t="s">
        <v>27</v>
      </c>
      <c r="D88" s="91" t="s">
        <v>33</v>
      </c>
      <c r="E88" s="91" t="s">
        <v>43</v>
      </c>
      <c r="F88" s="128" t="s">
        <v>65</v>
      </c>
    </row>
    <row r="89" spans="1:15" outlineLevel="1">
      <c r="A89" s="73"/>
      <c r="B89" s="88"/>
      <c r="C89" s="92" t="s">
        <v>0</v>
      </c>
      <c r="D89" s="92" t="s">
        <v>0</v>
      </c>
      <c r="E89" s="92" t="s">
        <v>0</v>
      </c>
      <c r="F89" s="126"/>
      <c r="K89" s="125"/>
      <c r="L89" s="125"/>
      <c r="M89" s="125"/>
      <c r="N89" s="125"/>
      <c r="O89" s="125"/>
    </row>
    <row r="90" spans="1:15" s="7" customFormat="1" ht="30" customHeight="1" outlineLevel="1">
      <c r="A90" s="93"/>
      <c r="B90" s="94" t="str">
        <f>CONCATENATE("'a. assets attributable to post cut off date pensionable service at previous Valuation - ",'P1.1 PDAM Licensee provided'!D8,"")</f>
        <v>'a. assets attributable to post cut off date pensionable service at previous Valuation - 31 March 2016</v>
      </c>
      <c r="C90" s="18">
        <v>0</v>
      </c>
      <c r="D90" s="18">
        <v>0</v>
      </c>
      <c r="E90" s="95">
        <f>C90-D90</f>
        <v>0</v>
      </c>
      <c r="F90" s="127"/>
      <c r="G90" s="4"/>
      <c r="H90" s="4"/>
      <c r="I90" s="4"/>
      <c r="J90" s="4"/>
    </row>
    <row r="91" spans="1:15" s="7" customFormat="1" ht="30" customHeight="1" outlineLevel="1">
      <c r="A91" s="84" t="s">
        <v>14</v>
      </c>
      <c r="B91" s="390" t="s">
        <v>515</v>
      </c>
      <c r="C91" s="18">
        <v>0</v>
      </c>
      <c r="D91" s="18">
        <v>0</v>
      </c>
      <c r="E91" s="95">
        <f t="shared" ref="E91:E104" si="0">C91-D91</f>
        <v>0</v>
      </c>
      <c r="F91" s="127"/>
      <c r="G91" s="4"/>
      <c r="H91" s="4"/>
      <c r="I91" s="4"/>
      <c r="J91" s="4"/>
    </row>
    <row r="92" spans="1:15" s="7" customFormat="1" ht="49.5" outlineLevel="1">
      <c r="A92" s="84" t="s">
        <v>14</v>
      </c>
      <c r="B92" s="390" t="s">
        <v>549</v>
      </c>
      <c r="C92" s="18">
        <v>0</v>
      </c>
      <c r="D92" s="18">
        <v>0</v>
      </c>
      <c r="E92" s="95">
        <f t="shared" si="0"/>
        <v>0</v>
      </c>
      <c r="F92" s="127"/>
      <c r="G92" s="4"/>
      <c r="H92" s="4"/>
      <c r="I92" s="4"/>
      <c r="J92" s="4"/>
    </row>
    <row r="93" spans="1:15" s="7" customFormat="1" ht="30" customHeight="1" outlineLevel="1">
      <c r="A93" s="84" t="s">
        <v>14</v>
      </c>
      <c r="B93" s="94" t="s">
        <v>16</v>
      </c>
      <c r="C93" s="18">
        <v>0</v>
      </c>
      <c r="D93" s="18">
        <v>0</v>
      </c>
      <c r="E93" s="95">
        <f t="shared" si="0"/>
        <v>0</v>
      </c>
      <c r="F93" s="127"/>
      <c r="G93" s="4"/>
      <c r="H93" s="4"/>
      <c r="I93" s="4"/>
      <c r="J93" s="4"/>
    </row>
    <row r="94" spans="1:15" s="7" customFormat="1" ht="30" customHeight="1" outlineLevel="1">
      <c r="A94" s="84" t="s">
        <v>14</v>
      </c>
      <c r="B94" s="129" t="s">
        <v>85</v>
      </c>
      <c r="C94" s="18">
        <v>0</v>
      </c>
      <c r="D94" s="18">
        <v>0</v>
      </c>
      <c r="E94" s="95">
        <f t="shared" si="0"/>
        <v>0</v>
      </c>
      <c r="F94" s="127"/>
      <c r="G94" s="4"/>
      <c r="H94" s="4"/>
      <c r="I94" s="4"/>
      <c r="J94" s="4"/>
    </row>
    <row r="95" spans="1:15" s="7" customFormat="1" ht="39.75" customHeight="1" outlineLevel="1">
      <c r="A95" s="84" t="s">
        <v>14</v>
      </c>
      <c r="B95" s="116" t="s">
        <v>86</v>
      </c>
      <c r="C95" s="18">
        <v>0</v>
      </c>
      <c r="D95" s="18">
        <v>0</v>
      </c>
      <c r="E95" s="95">
        <f t="shared" si="0"/>
        <v>0</v>
      </c>
      <c r="F95" s="127"/>
      <c r="G95" s="4"/>
      <c r="H95" s="4"/>
      <c r="I95" s="4"/>
      <c r="J95" s="4"/>
    </row>
    <row r="96" spans="1:15" ht="25.9" outlineLevel="1">
      <c r="A96" s="84" t="s">
        <v>14</v>
      </c>
      <c r="B96" s="116" t="s">
        <v>87</v>
      </c>
      <c r="C96" s="18">
        <v>0</v>
      </c>
      <c r="D96" s="18">
        <v>0</v>
      </c>
      <c r="E96" s="95">
        <f t="shared" si="0"/>
        <v>0</v>
      </c>
      <c r="F96" s="127"/>
    </row>
    <row r="97" spans="1:6" ht="26.25" customHeight="1" outlineLevel="1">
      <c r="A97" s="84" t="s">
        <v>14</v>
      </c>
      <c r="B97" s="131" t="s">
        <v>88</v>
      </c>
      <c r="C97" s="18">
        <v>0</v>
      </c>
      <c r="D97" s="18">
        <v>0</v>
      </c>
      <c r="E97" s="95">
        <f t="shared" si="0"/>
        <v>0</v>
      </c>
      <c r="F97" s="127"/>
    </row>
    <row r="98" spans="1:6" ht="25.9" outlineLevel="1">
      <c r="A98" s="84" t="s">
        <v>14</v>
      </c>
      <c r="B98" s="116" t="s">
        <v>89</v>
      </c>
      <c r="C98" s="18">
        <v>0</v>
      </c>
      <c r="D98" s="18">
        <v>0</v>
      </c>
      <c r="E98" s="95">
        <f t="shared" si="0"/>
        <v>0</v>
      </c>
      <c r="F98" s="127"/>
    </row>
    <row r="99" spans="1:6" ht="25.9" outlineLevel="1">
      <c r="A99" s="84" t="s">
        <v>14</v>
      </c>
      <c r="B99" s="116" t="s">
        <v>90</v>
      </c>
      <c r="C99" s="18">
        <v>0</v>
      </c>
      <c r="D99" s="18">
        <v>0</v>
      </c>
      <c r="E99" s="95">
        <f t="shared" si="0"/>
        <v>0</v>
      </c>
      <c r="F99" s="127"/>
    </row>
    <row r="100" spans="1:6" ht="24.75" outlineLevel="1">
      <c r="A100" s="84" t="s">
        <v>15</v>
      </c>
      <c r="B100" s="132" t="s">
        <v>91</v>
      </c>
      <c r="C100" s="18">
        <v>0</v>
      </c>
      <c r="D100" s="18">
        <v>0</v>
      </c>
      <c r="E100" s="95">
        <f t="shared" si="0"/>
        <v>0</v>
      </c>
      <c r="F100" s="127"/>
    </row>
    <row r="101" spans="1:6" ht="25.9" outlineLevel="1">
      <c r="A101" s="84" t="s">
        <v>15</v>
      </c>
      <c r="B101" s="96" t="s">
        <v>66</v>
      </c>
      <c r="C101" s="18">
        <v>0</v>
      </c>
      <c r="D101" s="18">
        <v>0</v>
      </c>
      <c r="E101" s="95">
        <f t="shared" si="0"/>
        <v>0</v>
      </c>
      <c r="F101" s="127"/>
    </row>
    <row r="102" spans="1:6" ht="25.9" outlineLevel="1">
      <c r="A102" s="84" t="s">
        <v>15</v>
      </c>
      <c r="B102" s="116" t="s">
        <v>92</v>
      </c>
      <c r="C102" s="18">
        <v>0</v>
      </c>
      <c r="D102" s="18">
        <v>0</v>
      </c>
      <c r="E102" s="95">
        <f t="shared" si="0"/>
        <v>0</v>
      </c>
      <c r="F102" s="127"/>
    </row>
    <row r="103" spans="1:6" ht="25.9" outlineLevel="1">
      <c r="A103" s="84" t="s">
        <v>15</v>
      </c>
      <c r="B103" s="116" t="s">
        <v>93</v>
      </c>
      <c r="C103" s="18">
        <v>0</v>
      </c>
      <c r="D103" s="18">
        <v>0</v>
      </c>
      <c r="E103" s="95">
        <f t="shared" si="0"/>
        <v>0</v>
      </c>
      <c r="F103" s="127"/>
    </row>
    <row r="104" spans="1:6" ht="25.9" outlineLevel="1">
      <c r="A104" s="84" t="s">
        <v>14</v>
      </c>
      <c r="B104" s="116" t="s">
        <v>94</v>
      </c>
      <c r="C104" s="18">
        <v>0</v>
      </c>
      <c r="D104" s="18">
        <v>0</v>
      </c>
      <c r="E104" s="95">
        <f t="shared" si="0"/>
        <v>0</v>
      </c>
      <c r="F104" s="127"/>
    </row>
    <row r="105" spans="1:6" outlineLevel="1">
      <c r="A105" s="97" t="s">
        <v>42</v>
      </c>
      <c r="B105" s="90" t="str">
        <f>CONCATENATE("Assets attributable to pre / post cut-off date notional sub fund at ",'P1.1 PDAM Licensee provided'!D9,"")</f>
        <v>Assets attributable to pre / post cut-off date notional sub fund at 31 March 2019</v>
      </c>
      <c r="C105" s="45">
        <f>SUM(C90:C104)</f>
        <v>0</v>
      </c>
      <c r="D105" s="45">
        <f>SUM(D90:D104)</f>
        <v>0</v>
      </c>
      <c r="E105" s="45">
        <f>SUM(E90:E104)</f>
        <v>0</v>
      </c>
      <c r="F105" s="72"/>
    </row>
    <row r="106" spans="1:6" outlineLevel="1">
      <c r="A106" s="88"/>
      <c r="B106" s="88"/>
      <c r="C106" s="74"/>
      <c r="D106" s="1"/>
      <c r="E106" s="72"/>
      <c r="F106" s="72"/>
    </row>
    <row r="107" spans="1:6" ht="30" customHeight="1">
      <c r="A107" s="464" t="s">
        <v>270</v>
      </c>
      <c r="B107" s="464"/>
      <c r="C107" s="470"/>
      <c r="D107" s="470"/>
      <c r="E107" s="72"/>
      <c r="F107" s="72"/>
    </row>
    <row r="108" spans="1:6" outlineLevel="1">
      <c r="A108" s="73"/>
      <c r="B108" s="73"/>
      <c r="C108" s="78"/>
      <c r="D108" s="72"/>
      <c r="E108" s="72"/>
      <c r="F108" s="72"/>
    </row>
    <row r="109" spans="1:6" outlineLevel="1">
      <c r="A109" s="73"/>
      <c r="B109" s="98" t="s">
        <v>17</v>
      </c>
      <c r="C109" s="78" t="s">
        <v>0</v>
      </c>
      <c r="D109" s="8">
        <f>D79+E105</f>
        <v>0</v>
      </c>
      <c r="E109" s="72"/>
      <c r="F109" s="72"/>
    </row>
    <row r="110" spans="1:6" outlineLevel="1">
      <c r="A110" s="73"/>
      <c r="B110" s="73"/>
      <c r="C110" s="78"/>
      <c r="D110" s="72"/>
      <c r="E110" s="72"/>
      <c r="F110" s="72"/>
    </row>
    <row r="111" spans="1:6" outlineLevel="1">
      <c r="A111" s="73"/>
      <c r="B111" s="98" t="s">
        <v>18</v>
      </c>
      <c r="C111" s="78" t="s">
        <v>0</v>
      </c>
      <c r="D111" s="8">
        <f>D77+D105</f>
        <v>0</v>
      </c>
      <c r="E111" s="72"/>
      <c r="F111" s="72"/>
    </row>
    <row r="112" spans="1:6" outlineLevel="1">
      <c r="A112" s="73"/>
      <c r="B112" s="73"/>
      <c r="C112" s="78"/>
      <c r="D112" s="72"/>
      <c r="E112" s="72"/>
      <c r="F112" s="72"/>
    </row>
    <row r="162" spans="2:2">
      <c r="B162" s="290"/>
    </row>
    <row r="163" spans="2:2">
      <c r="B163" s="290"/>
    </row>
  </sheetData>
  <mergeCells count="6">
    <mergeCell ref="A107:D107"/>
    <mergeCell ref="D6:F6"/>
    <mergeCell ref="A23:D23"/>
    <mergeCell ref="A44:D44"/>
    <mergeCell ref="A70:D70"/>
    <mergeCell ref="A86:D86"/>
  </mergeCells>
  <pageMargins left="0.70866141732283472" right="0.70866141732283472" top="0.74803149606299213" bottom="0.74803149606299213" header="0.31496062992125984" footer="0.31496062992125984"/>
  <pageSetup paperSize="8" scale="4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Z39"/>
  <sheetViews>
    <sheetView showGridLines="0" zoomScaleNormal="100" workbookViewId="0">
      <selection activeCell="A3" sqref="A3"/>
    </sheetView>
  </sheetViews>
  <sheetFormatPr defaultColWidth="9.1328125" defaultRowHeight="12.4"/>
  <cols>
    <col min="1" max="1" width="89.1328125" style="148" customWidth="1"/>
    <col min="2" max="2" width="4.33203125" style="148" customWidth="1"/>
    <col min="3" max="3" width="9.6640625" style="152" customWidth="1"/>
    <col min="4" max="4" width="11" style="148" customWidth="1"/>
    <col min="5" max="5" width="11.86328125" style="148" customWidth="1"/>
    <col min="6" max="6" width="11" style="148" customWidth="1"/>
    <col min="7" max="16" width="10.86328125" style="148" customWidth="1"/>
    <col min="17" max="19" width="11.86328125" style="148" customWidth="1"/>
    <col min="20" max="21" width="10.33203125" style="148" customWidth="1"/>
    <col min="22" max="16384" width="9.1328125" style="148"/>
  </cols>
  <sheetData>
    <row r="1" spans="1:19" s="146" customFormat="1" ht="20.65">
      <c r="A1" s="265" t="s">
        <v>340</v>
      </c>
      <c r="B1" s="225"/>
      <c r="C1" s="225"/>
      <c r="D1" s="225"/>
      <c r="E1" s="225"/>
      <c r="F1" s="225"/>
      <c r="G1" s="225"/>
      <c r="H1" s="225"/>
      <c r="I1" s="225"/>
      <c r="J1" s="225"/>
      <c r="K1" s="225"/>
      <c r="L1" s="225"/>
      <c r="M1" s="225"/>
      <c r="N1" s="225"/>
      <c r="O1" s="225"/>
      <c r="P1" s="225"/>
      <c r="Q1" s="225"/>
      <c r="R1" s="225"/>
      <c r="S1" s="225"/>
    </row>
    <row r="2" spans="1:19" s="146" customFormat="1" ht="20.65">
      <c r="A2" s="265" t="str">
        <f>+'Pension Pack cover'!D12</f>
        <v xml:space="preserve">NWO Group Name </v>
      </c>
      <c r="B2" s="225"/>
      <c r="C2" s="225"/>
      <c r="D2" s="225"/>
      <c r="E2" s="225"/>
      <c r="F2" s="225"/>
      <c r="G2" s="225"/>
      <c r="H2" s="225"/>
      <c r="I2" s="225"/>
      <c r="J2" s="225"/>
      <c r="K2" s="225"/>
      <c r="L2" s="225"/>
      <c r="M2" s="225"/>
      <c r="N2" s="225"/>
      <c r="O2" s="225"/>
      <c r="P2" s="225"/>
      <c r="Q2" s="225"/>
      <c r="R2" s="225"/>
      <c r="S2" s="225"/>
    </row>
    <row r="3" spans="1:19" s="147" customFormat="1" ht="20.65">
      <c r="A3" s="385">
        <f>+'Pension Pack cover'!D24</f>
        <v>2020</v>
      </c>
      <c r="B3" s="225"/>
      <c r="C3" s="225"/>
      <c r="D3" s="225"/>
      <c r="E3" s="225"/>
      <c r="F3" s="225"/>
      <c r="G3" s="225"/>
      <c r="H3" s="225"/>
      <c r="I3" s="225"/>
      <c r="J3" s="225"/>
      <c r="K3" s="225"/>
      <c r="L3" s="225"/>
      <c r="M3" s="225"/>
      <c r="N3" s="225"/>
      <c r="O3" s="225"/>
      <c r="P3" s="225"/>
      <c r="Q3" s="225"/>
      <c r="R3" s="225"/>
      <c r="S3" s="225"/>
    </row>
    <row r="4" spans="1:19" ht="14.65">
      <c r="B4" s="149"/>
    </row>
    <row r="5" spans="1:19" ht="14.65">
      <c r="B5" s="149"/>
    </row>
    <row r="6" spans="1:19" ht="14.65">
      <c r="B6" s="149"/>
    </row>
    <row r="7" spans="1:19" ht="14.65">
      <c r="B7" s="149"/>
    </row>
    <row r="8" spans="1:19" ht="14.65">
      <c r="B8" s="149"/>
    </row>
    <row r="9" spans="1:19" ht="14.65">
      <c r="B9" s="149"/>
    </row>
    <row r="10" spans="1:19" ht="14.65">
      <c r="B10" s="149"/>
    </row>
    <row r="11" spans="1:19" ht="14.65">
      <c r="B11" s="149"/>
    </row>
    <row r="12" spans="1:19" ht="14.65">
      <c r="B12" s="149"/>
    </row>
    <row r="13" spans="1:19" ht="14.65">
      <c r="B13" s="149"/>
    </row>
    <row r="14" spans="1:19" s="150" customFormat="1" ht="14.65">
      <c r="B14" s="149"/>
      <c r="C14" s="151"/>
    </row>
    <row r="15" spans="1:19" s="150" customFormat="1" ht="14.65">
      <c r="B15" s="149"/>
      <c r="C15" s="151"/>
    </row>
    <row r="16" spans="1:19" s="150" customFormat="1" ht="14.65">
      <c r="B16" s="149"/>
      <c r="C16" s="151"/>
    </row>
    <row r="17" spans="2:3" s="150" customFormat="1" ht="14.65">
      <c r="B17" s="149"/>
      <c r="C17" s="151"/>
    </row>
    <row r="18" spans="2:3" s="150" customFormat="1" ht="14.65">
      <c r="B18" s="149"/>
      <c r="C18" s="151"/>
    </row>
    <row r="19" spans="2:3" s="150" customFormat="1" ht="14.65">
      <c r="B19" s="149"/>
      <c r="C19" s="151"/>
    </row>
    <row r="20" spans="2:3" s="150" customFormat="1" ht="14.65">
      <c r="B20" s="149"/>
      <c r="C20" s="151"/>
    </row>
    <row r="21" spans="2:3" s="150" customFormat="1" ht="14.65">
      <c r="B21" s="149"/>
      <c r="C21" s="151"/>
    </row>
    <row r="22" spans="2:3" s="150" customFormat="1" ht="14.65">
      <c r="B22" s="149"/>
      <c r="C22" s="151"/>
    </row>
    <row r="23" spans="2:3" ht="14.65">
      <c r="B23" s="149"/>
    </row>
    <row r="24" spans="2:3" ht="14.65">
      <c r="B24" s="149"/>
    </row>
    <row r="34" spans="1:26" s="152" customFormat="1">
      <c r="A34" s="148"/>
      <c r="B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row>
    <row r="35" spans="1:26" s="152" customFormat="1">
      <c r="A35" s="148"/>
      <c r="B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row>
    <row r="38" spans="1:26" s="152" customFormat="1">
      <c r="A38" s="148"/>
      <c r="B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row>
    <row r="39" spans="1:26" s="152" customFormat="1">
      <c r="A39" s="148"/>
      <c r="B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row>
  </sheetData>
  <sheetProtection insertRows="0"/>
  <dataConsolidate/>
  <pageMargins left="0.70866141732283472" right="0.70866141732283472" top="0.74803149606299213" bottom="0.74803149606299213" header="0.31496062992125984" footer="0.31496062992125984"/>
  <pageSetup paperSize="8" scale="8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M87"/>
  <sheetViews>
    <sheetView showGridLines="0" zoomScaleNormal="100" workbookViewId="0">
      <selection activeCell="A9" sqref="A9"/>
    </sheetView>
  </sheetViews>
  <sheetFormatPr defaultColWidth="9.1328125" defaultRowHeight="13.5"/>
  <cols>
    <col min="1" max="1" width="85" style="268" customWidth="1"/>
    <col min="2" max="2" width="10.53125" style="268" customWidth="1"/>
    <col min="3" max="6" width="10.6640625" style="268" customWidth="1"/>
    <col min="7" max="7" width="9.1328125" style="267"/>
    <col min="8" max="11" width="11.33203125" style="267" customWidth="1"/>
    <col min="12" max="166" width="9.1328125" style="267"/>
    <col min="167" max="16384" width="9.1328125" style="268"/>
  </cols>
  <sheetData>
    <row r="1" spans="1:18" s="146" customFormat="1" ht="19.899999999999999">
      <c r="A1" s="265" t="s">
        <v>347</v>
      </c>
      <c r="B1" s="265"/>
      <c r="C1" s="265"/>
      <c r="D1" s="265"/>
      <c r="E1" s="265"/>
      <c r="F1" s="265"/>
      <c r="G1" s="265"/>
      <c r="H1" s="265"/>
      <c r="I1" s="265"/>
      <c r="J1" s="265"/>
      <c r="K1" s="265"/>
      <c r="L1" s="265"/>
      <c r="M1" s="265"/>
      <c r="N1" s="265"/>
      <c r="O1" s="265"/>
      <c r="P1" s="265"/>
      <c r="Q1" s="265"/>
      <c r="R1" s="265"/>
    </row>
    <row r="2" spans="1:18" s="146" customFormat="1" ht="19.899999999999999">
      <c r="A2" s="265" t="str">
        <f>+'Pension Pack cover'!D12</f>
        <v xml:space="preserve">NWO Group Name </v>
      </c>
      <c r="B2" s="265"/>
      <c r="C2" s="265"/>
      <c r="D2" s="265"/>
      <c r="E2" s="265"/>
      <c r="F2" s="265"/>
      <c r="G2" s="265"/>
      <c r="H2" s="265"/>
      <c r="I2" s="265"/>
      <c r="J2" s="265"/>
      <c r="K2" s="265"/>
      <c r="L2" s="265"/>
      <c r="M2" s="265"/>
      <c r="N2" s="265"/>
      <c r="O2" s="265"/>
      <c r="P2" s="265"/>
      <c r="Q2" s="265"/>
      <c r="R2" s="265"/>
    </row>
    <row r="3" spans="1:18" s="147" customFormat="1" ht="19.899999999999999">
      <c r="A3" s="385">
        <f>+'Pension Pack cover'!D24</f>
        <v>2020</v>
      </c>
      <c r="B3" s="265"/>
      <c r="C3" s="265"/>
      <c r="D3" s="265"/>
      <c r="E3" s="265"/>
      <c r="F3" s="265"/>
      <c r="G3" s="265"/>
      <c r="H3" s="265"/>
      <c r="I3" s="265"/>
      <c r="J3" s="265"/>
      <c r="K3" s="265"/>
      <c r="L3" s="265"/>
      <c r="M3" s="265"/>
      <c r="N3" s="265"/>
      <c r="O3" s="265"/>
      <c r="P3" s="265"/>
      <c r="Q3" s="265"/>
      <c r="R3" s="265"/>
    </row>
    <row r="4" spans="1:18" s="147" customFormat="1" ht="19.899999999999999">
      <c r="A4" s="265" t="s">
        <v>525</v>
      </c>
      <c r="B4" s="265"/>
      <c r="C4" s="265"/>
      <c r="D4" s="265"/>
      <c r="E4" s="265"/>
      <c r="F4" s="265"/>
      <c r="G4" s="265"/>
      <c r="H4" s="265"/>
      <c r="I4" s="265"/>
      <c r="J4" s="265"/>
      <c r="K4" s="265"/>
      <c r="L4" s="265"/>
      <c r="M4" s="265"/>
      <c r="N4" s="265"/>
      <c r="O4" s="265"/>
      <c r="P4" s="265"/>
      <c r="Q4" s="265"/>
      <c r="R4" s="265"/>
    </row>
    <row r="5" spans="1:18">
      <c r="A5" s="75" t="s">
        <v>19</v>
      </c>
      <c r="B5" s="74"/>
      <c r="C5" s="148"/>
      <c r="D5" s="282" t="str">
        <f>'P2.2 PDAM Actuary provided'!D6:F6</f>
        <v>DB Scheme 2</v>
      </c>
      <c r="E5" s="283"/>
      <c r="F5" s="277"/>
    </row>
    <row r="6" spans="1:18" ht="15" customHeight="1">
      <c r="A6" s="240" t="s">
        <v>242</v>
      </c>
      <c r="B6" s="285" t="s">
        <v>262</v>
      </c>
      <c r="C6" s="241">
        <v>2013</v>
      </c>
      <c r="D6" s="241">
        <f>C6+1</f>
        <v>2014</v>
      </c>
      <c r="E6" s="241">
        <f>D6+1</f>
        <v>2015</v>
      </c>
      <c r="F6" s="241">
        <f>E6+1</f>
        <v>2016</v>
      </c>
      <c r="G6" s="241">
        <f t="shared" ref="G6:J6" si="0">F6+1</f>
        <v>2017</v>
      </c>
      <c r="H6" s="241">
        <f t="shared" si="0"/>
        <v>2018</v>
      </c>
      <c r="I6" s="241">
        <f t="shared" si="0"/>
        <v>2019</v>
      </c>
      <c r="J6" s="241">
        <f t="shared" si="0"/>
        <v>2020</v>
      </c>
    </row>
    <row r="7" spans="1:18" ht="15" customHeight="1">
      <c r="A7" s="242" t="s">
        <v>211</v>
      </c>
      <c r="B7" s="269"/>
      <c r="C7" s="243"/>
      <c r="D7" s="243"/>
      <c r="E7" s="243"/>
      <c r="F7" s="243"/>
      <c r="G7" s="243"/>
      <c r="H7" s="243"/>
      <c r="I7" s="243"/>
      <c r="J7" s="243"/>
    </row>
    <row r="8" spans="1:18" ht="15" customHeight="1">
      <c r="A8" s="240"/>
      <c r="B8" s="269"/>
      <c r="C8" s="266"/>
      <c r="D8" s="266"/>
      <c r="E8" s="266"/>
      <c r="F8" s="266"/>
      <c r="G8" s="266"/>
      <c r="H8" s="266"/>
      <c r="I8" s="266"/>
      <c r="J8" s="266"/>
    </row>
    <row r="9" spans="1:18">
      <c r="A9" s="242" t="s">
        <v>243</v>
      </c>
      <c r="B9" s="269"/>
      <c r="C9" s="269"/>
      <c r="D9" s="269"/>
      <c r="E9" s="269"/>
      <c r="F9" s="269"/>
      <c r="G9" s="269"/>
      <c r="H9" s="269"/>
      <c r="I9" s="269"/>
      <c r="J9" s="269"/>
    </row>
    <row r="10" spans="1:18">
      <c r="A10" s="244" t="s">
        <v>212</v>
      </c>
      <c r="B10" s="245" t="s">
        <v>0</v>
      </c>
      <c r="C10" s="243"/>
      <c r="D10" s="243"/>
      <c r="E10" s="243"/>
      <c r="F10" s="243"/>
      <c r="G10" s="243"/>
      <c r="H10" s="243"/>
      <c r="I10" s="243"/>
      <c r="J10" s="243"/>
    </row>
    <row r="11" spans="1:18">
      <c r="A11" s="246" t="s">
        <v>213</v>
      </c>
      <c r="B11" s="267"/>
      <c r="C11" s="267"/>
      <c r="D11" s="267"/>
      <c r="E11" s="267"/>
      <c r="F11" s="267"/>
    </row>
    <row r="12" spans="1:18">
      <c r="A12" s="270" t="str">
        <f>+'P1.1 PDAM Licensee provided'!$C$153</f>
        <v>Licensee 1</v>
      </c>
      <c r="B12" s="245" t="s">
        <v>0</v>
      </c>
      <c r="C12" s="243"/>
      <c r="D12" s="243"/>
      <c r="E12" s="243"/>
      <c r="F12" s="243"/>
      <c r="G12" s="243"/>
      <c r="H12" s="243"/>
      <c r="I12" s="243"/>
      <c r="J12" s="243"/>
    </row>
    <row r="13" spans="1:18">
      <c r="A13" s="270" t="str">
        <f>+'P1.1 PDAM Licensee provided'!$D$153</f>
        <v>Licensee 2</v>
      </c>
      <c r="B13" s="245" t="s">
        <v>0</v>
      </c>
      <c r="C13" s="243"/>
      <c r="D13" s="243"/>
      <c r="E13" s="243"/>
      <c r="F13" s="243"/>
      <c r="G13" s="243"/>
      <c r="H13" s="243"/>
      <c r="I13" s="243"/>
      <c r="J13" s="243"/>
    </row>
    <row r="14" spans="1:18">
      <c r="A14" s="270" t="str">
        <f>+'P1.1 PDAM Licensee provided'!$E$153</f>
        <v>Licensee 3</v>
      </c>
      <c r="B14" s="245" t="s">
        <v>0</v>
      </c>
      <c r="C14" s="243"/>
      <c r="D14" s="243"/>
      <c r="E14" s="243"/>
      <c r="F14" s="243"/>
      <c r="G14" s="243"/>
      <c r="H14" s="243"/>
      <c r="I14" s="243"/>
      <c r="J14" s="243"/>
    </row>
    <row r="15" spans="1:18">
      <c r="A15" s="270" t="str">
        <f>+'P1.1 PDAM Licensee provided'!$F$153</f>
        <v>Licensee 4</v>
      </c>
      <c r="B15" s="245" t="s">
        <v>0</v>
      </c>
      <c r="C15" s="243"/>
      <c r="D15" s="243"/>
      <c r="E15" s="243"/>
      <c r="F15" s="243"/>
      <c r="G15" s="243"/>
      <c r="H15" s="243"/>
      <c r="I15" s="243"/>
      <c r="J15" s="243"/>
    </row>
    <row r="16" spans="1:18">
      <c r="A16" s="270" t="str">
        <f>+'P1.1 PDAM Licensee provided'!$G$153</f>
        <v>Licensee 5</v>
      </c>
      <c r="B16" s="245" t="s">
        <v>0</v>
      </c>
      <c r="C16" s="243"/>
      <c r="D16" s="243"/>
      <c r="E16" s="243"/>
      <c r="F16" s="243"/>
      <c r="G16" s="243"/>
      <c r="H16" s="243"/>
      <c r="I16" s="243"/>
      <c r="J16" s="243"/>
    </row>
    <row r="17" spans="1:169">
      <c r="A17" s="270" t="str">
        <f>+'P1.1 PDAM Licensee provided'!$H$153</f>
        <v>Licensee 6</v>
      </c>
      <c r="B17" s="245" t="s">
        <v>0</v>
      </c>
      <c r="C17" s="243"/>
      <c r="D17" s="243"/>
      <c r="E17" s="243"/>
      <c r="F17" s="243"/>
      <c r="G17" s="243"/>
      <c r="H17" s="243"/>
      <c r="I17" s="243"/>
      <c r="J17" s="243"/>
    </row>
    <row r="18" spans="1:169">
      <c r="A18" s="247" t="s">
        <v>214</v>
      </c>
      <c r="B18" s="245" t="s">
        <v>0</v>
      </c>
      <c r="C18" s="248">
        <f>SUM(C10:C17)</f>
        <v>0</v>
      </c>
      <c r="D18" s="248">
        <f t="shared" ref="D18:F18" si="1">SUM(D10:D17)</f>
        <v>0</v>
      </c>
      <c r="E18" s="248">
        <f t="shared" si="1"/>
        <v>0</v>
      </c>
      <c r="F18" s="248">
        <f t="shared" si="1"/>
        <v>0</v>
      </c>
      <c r="G18" s="248">
        <f t="shared" ref="G18:J18" si="2">SUM(G10:G17)</f>
        <v>0</v>
      </c>
      <c r="H18" s="248">
        <f t="shared" si="2"/>
        <v>0</v>
      </c>
      <c r="I18" s="248">
        <f t="shared" si="2"/>
        <v>0</v>
      </c>
      <c r="J18" s="248">
        <f t="shared" si="2"/>
        <v>0</v>
      </c>
    </row>
    <row r="19" spans="1:169">
      <c r="B19" s="266"/>
      <c r="C19" s="266"/>
      <c r="D19" s="266"/>
      <c r="E19" s="266"/>
      <c r="F19" s="266"/>
      <c r="G19" s="266"/>
      <c r="H19" s="266"/>
      <c r="I19" s="266"/>
      <c r="J19" s="266"/>
    </row>
    <row r="20" spans="1:169" s="267" customFormat="1" ht="14.25" customHeight="1">
      <c r="A20" s="249" t="s">
        <v>244</v>
      </c>
      <c r="B20" s="269"/>
      <c r="C20" s="269"/>
      <c r="D20" s="269"/>
      <c r="E20" s="269"/>
      <c r="F20" s="269"/>
      <c r="G20" s="269"/>
      <c r="H20" s="269"/>
      <c r="I20" s="269"/>
      <c r="J20" s="269"/>
      <c r="FK20" s="268"/>
      <c r="FL20" s="268"/>
      <c r="FM20" s="268"/>
    </row>
    <row r="21" spans="1:169" s="267" customFormat="1">
      <c r="A21" s="244" t="s">
        <v>212</v>
      </c>
      <c r="B21" s="245" t="s">
        <v>0</v>
      </c>
      <c r="C21" s="243"/>
      <c r="D21" s="243"/>
      <c r="E21" s="243"/>
      <c r="F21" s="243"/>
      <c r="G21" s="243"/>
      <c r="H21" s="243"/>
      <c r="I21" s="243"/>
      <c r="J21" s="243"/>
      <c r="FK21" s="268"/>
      <c r="FL21" s="268"/>
      <c r="FM21" s="268"/>
    </row>
    <row r="22" spans="1:169" s="267" customFormat="1">
      <c r="A22" s="246" t="s">
        <v>213</v>
      </c>
      <c r="K22" s="321"/>
      <c r="L22" s="321"/>
      <c r="M22" s="321"/>
      <c r="N22" s="321"/>
      <c r="O22" s="321"/>
      <c r="P22" s="321"/>
      <c r="Q22" s="321"/>
      <c r="R22" s="321"/>
      <c r="FK22" s="268"/>
      <c r="FL22" s="268"/>
      <c r="FM22" s="268"/>
    </row>
    <row r="23" spans="1:169" s="267" customFormat="1">
      <c r="A23" s="270" t="str">
        <f>+'P1.1 PDAM Licensee provided'!$C$153</f>
        <v>Licensee 1</v>
      </c>
      <c r="B23" s="245" t="s">
        <v>0</v>
      </c>
      <c r="C23" s="243"/>
      <c r="D23" s="243"/>
      <c r="E23" s="243"/>
      <c r="F23" s="243"/>
      <c r="G23" s="243"/>
      <c r="H23" s="243"/>
      <c r="I23" s="243"/>
      <c r="J23" s="243"/>
      <c r="K23" s="321"/>
      <c r="L23" s="321"/>
      <c r="M23" s="321"/>
      <c r="N23" s="321"/>
      <c r="O23" s="321"/>
      <c r="P23" s="321"/>
      <c r="Q23" s="321"/>
      <c r="R23" s="321"/>
      <c r="FK23" s="268"/>
      <c r="FL23" s="268"/>
      <c r="FM23" s="268"/>
    </row>
    <row r="24" spans="1:169" s="267" customFormat="1">
      <c r="A24" s="270" t="str">
        <f>+'P1.1 PDAM Licensee provided'!$D$153</f>
        <v>Licensee 2</v>
      </c>
      <c r="B24" s="245" t="s">
        <v>0</v>
      </c>
      <c r="C24" s="243"/>
      <c r="D24" s="243"/>
      <c r="E24" s="243"/>
      <c r="F24" s="243"/>
      <c r="G24" s="243"/>
      <c r="H24" s="243"/>
      <c r="I24" s="243"/>
      <c r="J24" s="243"/>
      <c r="K24" s="321"/>
      <c r="L24" s="321"/>
      <c r="M24" s="321"/>
      <c r="N24" s="321"/>
      <c r="O24" s="321"/>
      <c r="P24" s="321"/>
      <c r="Q24" s="321"/>
      <c r="R24" s="321"/>
      <c r="FK24" s="268"/>
      <c r="FL24" s="268"/>
      <c r="FM24" s="268"/>
    </row>
    <row r="25" spans="1:169" s="267" customFormat="1">
      <c r="A25" s="270" t="str">
        <f>+'P1.1 PDAM Licensee provided'!$E$153</f>
        <v>Licensee 3</v>
      </c>
      <c r="B25" s="245" t="s">
        <v>0</v>
      </c>
      <c r="C25" s="243"/>
      <c r="D25" s="243"/>
      <c r="E25" s="243"/>
      <c r="F25" s="243"/>
      <c r="G25" s="243"/>
      <c r="H25" s="243"/>
      <c r="I25" s="243"/>
      <c r="J25" s="243"/>
      <c r="K25" s="321"/>
      <c r="L25" s="321"/>
      <c r="M25" s="321"/>
      <c r="N25" s="321"/>
      <c r="O25" s="321"/>
      <c r="P25" s="321"/>
      <c r="Q25" s="321"/>
      <c r="R25" s="321"/>
      <c r="FK25" s="268"/>
      <c r="FL25" s="268"/>
      <c r="FM25" s="268"/>
    </row>
    <row r="26" spans="1:169" s="267" customFormat="1">
      <c r="A26" s="270" t="str">
        <f>+'P1.1 PDAM Licensee provided'!$F$153</f>
        <v>Licensee 4</v>
      </c>
      <c r="B26" s="245" t="s">
        <v>0</v>
      </c>
      <c r="C26" s="243"/>
      <c r="D26" s="243"/>
      <c r="E26" s="243"/>
      <c r="F26" s="243"/>
      <c r="G26" s="243"/>
      <c r="H26" s="243"/>
      <c r="I26" s="243"/>
      <c r="J26" s="243"/>
      <c r="K26" s="321"/>
      <c r="L26" s="321"/>
      <c r="M26" s="321"/>
      <c r="N26" s="321"/>
      <c r="O26" s="321"/>
      <c r="P26" s="321"/>
      <c r="Q26" s="321"/>
      <c r="R26" s="321"/>
      <c r="FK26" s="268"/>
      <c r="FL26" s="268"/>
      <c r="FM26" s="268"/>
    </row>
    <row r="27" spans="1:169" s="267" customFormat="1" ht="14.25" customHeight="1">
      <c r="A27" s="270" t="str">
        <f>+'P1.1 PDAM Licensee provided'!$G$153</f>
        <v>Licensee 5</v>
      </c>
      <c r="B27" s="245" t="s">
        <v>0</v>
      </c>
      <c r="C27" s="243"/>
      <c r="D27" s="243"/>
      <c r="E27" s="243"/>
      <c r="F27" s="243"/>
      <c r="G27" s="243"/>
      <c r="H27" s="243"/>
      <c r="I27" s="243"/>
      <c r="J27" s="243"/>
      <c r="K27" s="444"/>
      <c r="L27" s="321"/>
      <c r="M27" s="471"/>
      <c r="N27" s="471"/>
      <c r="O27" s="471"/>
      <c r="P27" s="471"/>
      <c r="Q27" s="321"/>
      <c r="R27" s="321"/>
      <c r="FK27" s="268"/>
      <c r="FL27" s="268"/>
      <c r="FM27" s="268"/>
    </row>
    <row r="28" spans="1:169" s="267" customFormat="1">
      <c r="A28" s="270" t="str">
        <f>+'P1.1 PDAM Licensee provided'!$H$153</f>
        <v>Licensee 6</v>
      </c>
      <c r="B28" s="245" t="s">
        <v>0</v>
      </c>
      <c r="C28" s="243"/>
      <c r="D28" s="243"/>
      <c r="E28" s="243"/>
      <c r="F28" s="243"/>
      <c r="G28" s="243"/>
      <c r="H28" s="243"/>
      <c r="I28" s="243"/>
      <c r="J28" s="243"/>
      <c r="K28" s="444"/>
      <c r="L28" s="321"/>
      <c r="M28" s="471"/>
      <c r="N28" s="471"/>
      <c r="O28" s="471"/>
      <c r="P28" s="471"/>
      <c r="Q28" s="321"/>
      <c r="R28" s="321"/>
      <c r="FK28" s="268"/>
      <c r="FL28" s="268"/>
      <c r="FM28" s="268"/>
    </row>
    <row r="29" spans="1:169" s="267" customFormat="1">
      <c r="A29" s="247" t="s">
        <v>215</v>
      </c>
      <c r="B29" s="245" t="s">
        <v>0</v>
      </c>
      <c r="C29" s="248">
        <f>SUM(C21:C28)</f>
        <v>0</v>
      </c>
      <c r="D29" s="248">
        <f t="shared" ref="D29:F29" si="3">SUM(D21:D28)</f>
        <v>0</v>
      </c>
      <c r="E29" s="248">
        <f t="shared" si="3"/>
        <v>0</v>
      </c>
      <c r="F29" s="248">
        <f t="shared" si="3"/>
        <v>0</v>
      </c>
      <c r="G29" s="248">
        <f t="shared" ref="G29:J29" si="4">SUM(G21:G28)</f>
        <v>0</v>
      </c>
      <c r="H29" s="248">
        <f t="shared" si="4"/>
        <v>0</v>
      </c>
      <c r="I29" s="248">
        <f t="shared" si="4"/>
        <v>0</v>
      </c>
      <c r="J29" s="248">
        <f t="shared" si="4"/>
        <v>0</v>
      </c>
      <c r="K29" s="322"/>
      <c r="L29" s="321"/>
      <c r="M29" s="322"/>
      <c r="N29" s="322"/>
      <c r="O29" s="322"/>
      <c r="P29" s="322"/>
      <c r="Q29" s="321"/>
      <c r="R29" s="321"/>
      <c r="FK29" s="268"/>
      <c r="FL29" s="268"/>
      <c r="FM29" s="268"/>
    </row>
    <row r="30" spans="1:169" s="267" customFormat="1">
      <c r="A30" s="269" t="s">
        <v>3</v>
      </c>
      <c r="B30" s="269"/>
      <c r="C30" s="271" t="str">
        <f>IF((C7-SUM(C18,C29)&gt;0.1),"Error", "OK")</f>
        <v>OK</v>
      </c>
      <c r="D30" s="271" t="str">
        <f>IF((D7-SUM(D18,D29)&gt;0.1),"Error", "OK")</f>
        <v>OK</v>
      </c>
      <c r="E30" s="271" t="str">
        <f>IF((E7-SUM(E18,E29)&gt;0.1),"Error", "OK")</f>
        <v>OK</v>
      </c>
      <c r="F30" s="271" t="str">
        <f>IF((F7-SUM(F18,F29)&gt;0.1),"Error", "OK")</f>
        <v>OK</v>
      </c>
      <c r="G30" s="271" t="str">
        <f t="shared" ref="G30:J30" si="5">IF((G7-SUM(G18,G29)&gt;0.1),"Error", "OK")</f>
        <v>OK</v>
      </c>
      <c r="H30" s="271" t="str">
        <f t="shared" si="5"/>
        <v>OK</v>
      </c>
      <c r="I30" s="271" t="str">
        <f t="shared" si="5"/>
        <v>OK</v>
      </c>
      <c r="J30" s="271" t="str">
        <f t="shared" si="5"/>
        <v>OK</v>
      </c>
      <c r="K30" s="321"/>
      <c r="L30" s="321"/>
      <c r="M30" s="321"/>
      <c r="N30" s="321"/>
      <c r="O30" s="321"/>
      <c r="P30" s="321"/>
      <c r="Q30" s="321"/>
      <c r="R30" s="321"/>
      <c r="FK30" s="268"/>
      <c r="FL30" s="268"/>
      <c r="FM30" s="268"/>
    </row>
    <row r="31" spans="1:169" s="267" customFormat="1">
      <c r="A31" s="272"/>
      <c r="B31" s="269"/>
      <c r="C31" s="269"/>
      <c r="D31" s="269"/>
      <c r="E31" s="269"/>
      <c r="F31" s="269"/>
      <c r="G31" s="269"/>
      <c r="H31" s="269"/>
      <c r="I31" s="269"/>
      <c r="J31" s="269"/>
      <c r="K31" s="321"/>
      <c r="L31" s="321"/>
      <c r="M31" s="321"/>
      <c r="N31" s="321"/>
      <c r="O31" s="321"/>
      <c r="P31" s="321"/>
      <c r="Q31" s="321"/>
      <c r="R31" s="321"/>
      <c r="FK31" s="268"/>
      <c r="FL31" s="268"/>
      <c r="FM31" s="268"/>
    </row>
    <row r="32" spans="1:169" s="267" customFormat="1">
      <c r="A32" s="250" t="s">
        <v>216</v>
      </c>
      <c r="B32" s="273" t="s">
        <v>2</v>
      </c>
      <c r="C32" s="238">
        <v>0</v>
      </c>
      <c r="D32" s="238">
        <v>0</v>
      </c>
      <c r="E32" s="238">
        <v>0</v>
      </c>
      <c r="F32" s="238">
        <v>0</v>
      </c>
      <c r="G32" s="238">
        <v>0</v>
      </c>
      <c r="H32" s="238">
        <v>0</v>
      </c>
      <c r="I32" s="238">
        <v>0</v>
      </c>
      <c r="J32" s="238">
        <v>0</v>
      </c>
      <c r="FK32" s="268"/>
      <c r="FL32" s="268"/>
      <c r="FM32" s="268"/>
    </row>
    <row r="33" spans="1:169" s="267" customFormat="1">
      <c r="A33" s="269" t="s">
        <v>3</v>
      </c>
      <c r="B33" s="269"/>
      <c r="C33" s="271" t="str">
        <f>IF(ABS(C29-SUM(C21:C28)&gt;0.1),"Error", "OK")</f>
        <v>OK</v>
      </c>
      <c r="D33" s="271" t="str">
        <f>IF(ABS(D29-SUM(D21:D28)&gt;0.1),"Error", "OK")</f>
        <v>OK</v>
      </c>
      <c r="E33" s="271" t="str">
        <f>IF(ABS(E29-SUM(E21:E28)&gt;0.1),"Error", "OK")</f>
        <v>OK</v>
      </c>
      <c r="F33" s="271" t="str">
        <f>IF(ABS(F29-SUM(F21:F28)&gt;0.1),"Error", "OK")</f>
        <v>OK</v>
      </c>
      <c r="G33" s="271" t="str">
        <f t="shared" ref="G33:J33" si="6">IF(ABS(G29-SUM(G21:G28)&gt;0.1),"Error", "OK")</f>
        <v>OK</v>
      </c>
      <c r="H33" s="271" t="str">
        <f t="shared" si="6"/>
        <v>OK</v>
      </c>
      <c r="I33" s="271" t="str">
        <f t="shared" si="6"/>
        <v>OK</v>
      </c>
      <c r="J33" s="271" t="str">
        <f t="shared" si="6"/>
        <v>OK</v>
      </c>
      <c r="FK33" s="268"/>
      <c r="FL33" s="268"/>
      <c r="FM33" s="268"/>
    </row>
    <row r="34" spans="1:169" s="267" customFormat="1">
      <c r="A34" s="268"/>
      <c r="B34" s="266"/>
      <c r="C34" s="266"/>
      <c r="D34" s="266"/>
      <c r="E34" s="266"/>
      <c r="F34" s="266"/>
      <c r="G34" s="266"/>
      <c r="H34" s="266"/>
      <c r="I34" s="266"/>
      <c r="J34" s="266"/>
      <c r="FK34" s="268"/>
      <c r="FL34" s="268"/>
      <c r="FM34" s="268"/>
    </row>
    <row r="35" spans="1:169" s="267" customFormat="1">
      <c r="A35" s="251" t="s">
        <v>217</v>
      </c>
      <c r="B35" s="269"/>
      <c r="C35" s="269"/>
      <c r="D35" s="269"/>
      <c r="E35" s="269"/>
      <c r="F35" s="269"/>
      <c r="G35" s="269"/>
      <c r="H35" s="269"/>
      <c r="I35" s="269"/>
      <c r="J35" s="269"/>
      <c r="FK35" s="268"/>
      <c r="FL35" s="268"/>
      <c r="FM35" s="268"/>
    </row>
    <row r="36" spans="1:169" s="267" customFormat="1">
      <c r="A36" s="252" t="s">
        <v>218</v>
      </c>
      <c r="B36" s="245" t="s">
        <v>0</v>
      </c>
      <c r="C36" s="243"/>
      <c r="D36" s="243"/>
      <c r="E36" s="243"/>
      <c r="F36" s="243"/>
      <c r="G36" s="243"/>
      <c r="H36" s="243"/>
      <c r="I36" s="243"/>
      <c r="J36" s="243"/>
      <c r="FK36" s="268"/>
      <c r="FL36" s="268"/>
      <c r="FM36" s="268"/>
    </row>
    <row r="37" spans="1:169" s="267" customFormat="1">
      <c r="A37" s="253" t="s">
        <v>219</v>
      </c>
      <c r="B37" s="245" t="s">
        <v>0</v>
      </c>
      <c r="C37" s="243"/>
      <c r="D37" s="243"/>
      <c r="E37" s="243"/>
      <c r="F37" s="243"/>
      <c r="G37" s="243"/>
      <c r="H37" s="243"/>
      <c r="I37" s="243"/>
      <c r="J37" s="243"/>
      <c r="FK37" s="268"/>
      <c r="FL37" s="268"/>
      <c r="FM37" s="268"/>
    </row>
    <row r="38" spans="1:169" s="267" customFormat="1">
      <c r="A38" s="254" t="s">
        <v>220</v>
      </c>
      <c r="B38" s="245" t="s">
        <v>0</v>
      </c>
      <c r="C38" s="243"/>
      <c r="D38" s="243"/>
      <c r="E38" s="243"/>
      <c r="F38" s="243"/>
      <c r="G38" s="243"/>
      <c r="H38" s="243"/>
      <c r="I38" s="243"/>
      <c r="J38" s="243"/>
      <c r="FK38" s="268"/>
      <c r="FL38" s="268"/>
      <c r="FM38" s="268"/>
    </row>
    <row r="39" spans="1:169" s="267" customFormat="1">
      <c r="A39" s="254" t="s">
        <v>221</v>
      </c>
      <c r="B39" s="245" t="s">
        <v>0</v>
      </c>
      <c r="C39" s="243"/>
      <c r="D39" s="243"/>
      <c r="E39" s="243"/>
      <c r="F39" s="243"/>
      <c r="G39" s="243"/>
      <c r="H39" s="243"/>
      <c r="I39" s="243"/>
      <c r="J39" s="243"/>
      <c r="FK39" s="268"/>
      <c r="FL39" s="268"/>
      <c r="FM39" s="268"/>
    </row>
    <row r="40" spans="1:169" s="267" customFormat="1">
      <c r="A40" s="254" t="s">
        <v>222</v>
      </c>
      <c r="B40" s="245" t="s">
        <v>0</v>
      </c>
      <c r="C40" s="243"/>
      <c r="D40" s="243"/>
      <c r="E40" s="243"/>
      <c r="F40" s="243"/>
      <c r="G40" s="243"/>
      <c r="H40" s="243"/>
      <c r="I40" s="243"/>
      <c r="J40" s="243"/>
      <c r="FK40" s="268"/>
      <c r="FL40" s="268"/>
      <c r="FM40" s="268"/>
    </row>
    <row r="41" spans="1:169" s="267" customFormat="1">
      <c r="A41" s="255" t="s">
        <v>27</v>
      </c>
      <c r="B41" s="245" t="s">
        <v>0</v>
      </c>
      <c r="C41" s="248">
        <f>SUM(C36:C40)</f>
        <v>0</v>
      </c>
      <c r="D41" s="248">
        <f>SUM(D36:D40)</f>
        <v>0</v>
      </c>
      <c r="E41" s="248">
        <f>SUM(E36:E40)</f>
        <v>0</v>
      </c>
      <c r="F41" s="248">
        <f>SUM(F36:F40)</f>
        <v>0</v>
      </c>
      <c r="G41" s="248">
        <f t="shared" ref="G41:J41" si="7">SUM(G36:G40)</f>
        <v>0</v>
      </c>
      <c r="H41" s="248">
        <f t="shared" si="7"/>
        <v>0</v>
      </c>
      <c r="I41" s="248">
        <f t="shared" si="7"/>
        <v>0</v>
      </c>
      <c r="J41" s="248">
        <f t="shared" si="7"/>
        <v>0</v>
      </c>
      <c r="FK41" s="268"/>
      <c r="FL41" s="268"/>
      <c r="FM41" s="268"/>
    </row>
    <row r="42" spans="1:169" s="267" customFormat="1">
      <c r="A42" s="269" t="s">
        <v>3</v>
      </c>
      <c r="B42" s="269"/>
      <c r="C42" s="274" t="str">
        <f>IF(C41&lt;&gt;SUM(C12,C23), "ERROR","OK")</f>
        <v>OK</v>
      </c>
      <c r="D42" s="274" t="str">
        <f>IF(D41&lt;&gt;SUM(D12,D23), "ERROR","OK")</f>
        <v>OK</v>
      </c>
      <c r="E42" s="274" t="str">
        <f>IF(E41&lt;&gt;SUM(E12,E23), "ERROR","OK")</f>
        <v>OK</v>
      </c>
      <c r="F42" s="274" t="str">
        <f>IF(F41&lt;&gt;SUM(F12,F23), "ERROR","OK")</f>
        <v>OK</v>
      </c>
      <c r="G42" s="274" t="str">
        <f t="shared" ref="G42:J42" si="8">IF(G41&lt;&gt;SUM(G12,G23), "ERROR","OK")</f>
        <v>OK</v>
      </c>
      <c r="H42" s="274" t="str">
        <f t="shared" si="8"/>
        <v>OK</v>
      </c>
      <c r="I42" s="274" t="str">
        <f t="shared" si="8"/>
        <v>OK</v>
      </c>
      <c r="J42" s="274" t="str">
        <f t="shared" si="8"/>
        <v>OK</v>
      </c>
      <c r="FK42" s="268"/>
      <c r="FL42" s="268"/>
      <c r="FM42" s="268"/>
    </row>
    <row r="43" spans="1:169" s="267" customFormat="1">
      <c r="A43" s="269"/>
      <c r="B43" s="269"/>
      <c r="C43" s="269"/>
      <c r="D43" s="269"/>
      <c r="E43" s="269"/>
      <c r="F43" s="269"/>
      <c r="G43" s="269"/>
      <c r="H43" s="269"/>
      <c r="I43" s="269"/>
      <c r="J43" s="269"/>
      <c r="FK43" s="268"/>
      <c r="FL43" s="268"/>
      <c r="FM43" s="268"/>
    </row>
    <row r="44" spans="1:169" s="267" customFormat="1">
      <c r="A44" s="256" t="s">
        <v>241</v>
      </c>
      <c r="B44" s="239" t="s">
        <v>223</v>
      </c>
      <c r="C44" s="243"/>
      <c r="D44" s="243"/>
      <c r="E44" s="243"/>
      <c r="F44" s="243"/>
      <c r="G44" s="243"/>
      <c r="H44" s="243"/>
      <c r="I44" s="243"/>
      <c r="J44" s="243"/>
      <c r="FK44" s="268"/>
      <c r="FL44" s="268"/>
      <c r="FM44" s="268"/>
    </row>
    <row r="45" spans="1:169" s="267" customFormat="1">
      <c r="A45" s="256" t="s">
        <v>224</v>
      </c>
      <c r="B45" s="273" t="s">
        <v>103</v>
      </c>
      <c r="C45" s="257"/>
      <c r="D45" s="257"/>
      <c r="E45" s="257"/>
      <c r="F45" s="257"/>
      <c r="G45" s="257"/>
      <c r="H45" s="257"/>
      <c r="I45" s="257"/>
      <c r="J45" s="257"/>
      <c r="FK45" s="268"/>
      <c r="FL45" s="268"/>
      <c r="FM45" s="268"/>
    </row>
    <row r="46" spans="1:169" s="267" customFormat="1">
      <c r="A46" s="269"/>
      <c r="B46" s="269"/>
      <c r="C46" s="269"/>
      <c r="D46" s="269"/>
      <c r="E46" s="269"/>
      <c r="F46" s="269"/>
      <c r="G46" s="269"/>
      <c r="H46" s="269"/>
      <c r="I46" s="269"/>
      <c r="J46" s="269"/>
      <c r="FK46" s="268"/>
      <c r="FL46" s="268"/>
      <c r="FM46" s="268"/>
    </row>
    <row r="47" spans="1:169" s="267" customFormat="1">
      <c r="A47" s="258" t="s">
        <v>225</v>
      </c>
      <c r="B47" s="266"/>
      <c r="C47" s="241">
        <f>+C6</f>
        <v>2013</v>
      </c>
      <c r="D47" s="241">
        <f>+D6</f>
        <v>2014</v>
      </c>
      <c r="E47" s="241">
        <f>+E6</f>
        <v>2015</v>
      </c>
      <c r="F47" s="241">
        <f>+F6</f>
        <v>2016</v>
      </c>
      <c r="G47" s="241">
        <f t="shared" ref="G47:J47" si="9">+G6</f>
        <v>2017</v>
      </c>
      <c r="H47" s="241">
        <f t="shared" si="9"/>
        <v>2018</v>
      </c>
      <c r="I47" s="241">
        <f t="shared" si="9"/>
        <v>2019</v>
      </c>
      <c r="J47" s="241">
        <f t="shared" si="9"/>
        <v>2020</v>
      </c>
      <c r="FK47" s="268"/>
      <c r="FL47" s="268"/>
      <c r="FM47" s="268"/>
    </row>
    <row r="48" spans="1:169" s="267" customFormat="1">
      <c r="A48" s="242" t="s">
        <v>226</v>
      </c>
      <c r="B48" s="245" t="s">
        <v>0</v>
      </c>
      <c r="C48" s="243"/>
      <c r="D48" s="243"/>
      <c r="E48" s="243"/>
      <c r="F48" s="243"/>
      <c r="G48" s="243"/>
      <c r="H48" s="243"/>
      <c r="I48" s="243"/>
      <c r="J48" s="243"/>
      <c r="FK48" s="268"/>
      <c r="FL48" s="268"/>
      <c r="FM48" s="268"/>
    </row>
    <row r="49" spans="1:169" s="267" customFormat="1">
      <c r="A49" s="266"/>
      <c r="B49" s="266"/>
      <c r="C49" s="266"/>
      <c r="D49" s="266"/>
      <c r="E49" s="266"/>
      <c r="F49" s="266"/>
      <c r="G49" s="266"/>
      <c r="H49" s="266"/>
      <c r="I49" s="266"/>
      <c r="J49" s="266"/>
      <c r="FK49" s="268"/>
      <c r="FL49" s="268"/>
      <c r="FM49" s="268"/>
    </row>
    <row r="50" spans="1:169" s="267" customFormat="1">
      <c r="A50" s="242" t="s">
        <v>227</v>
      </c>
      <c r="B50" s="266"/>
      <c r="C50" s="269"/>
      <c r="D50" s="269"/>
      <c r="E50" s="269"/>
      <c r="F50" s="269"/>
      <c r="G50" s="269"/>
      <c r="H50" s="269"/>
      <c r="I50" s="269"/>
      <c r="J50" s="269"/>
      <c r="FK50" s="268"/>
      <c r="FL50" s="268"/>
      <c r="FM50" s="268"/>
    </row>
    <row r="51" spans="1:169" s="267" customFormat="1">
      <c r="A51" s="244" t="s">
        <v>212</v>
      </c>
      <c r="B51" s="245" t="s">
        <v>0</v>
      </c>
      <c r="C51" s="243"/>
      <c r="D51" s="243"/>
      <c r="E51" s="243"/>
      <c r="F51" s="243"/>
      <c r="G51" s="243"/>
      <c r="H51" s="243"/>
      <c r="I51" s="243"/>
      <c r="J51" s="243"/>
      <c r="FK51" s="268"/>
      <c r="FL51" s="268"/>
      <c r="FM51" s="268"/>
    </row>
    <row r="52" spans="1:169" s="267" customFormat="1">
      <c r="A52" s="246" t="s">
        <v>213</v>
      </c>
      <c r="FK52" s="268"/>
      <c r="FL52" s="268"/>
      <c r="FM52" s="268"/>
    </row>
    <row r="53" spans="1:169" s="267" customFormat="1">
      <c r="A53" s="270" t="str">
        <f>+'P1.1 PDAM Licensee provided'!$C$153</f>
        <v>Licensee 1</v>
      </c>
      <c r="B53" s="245" t="s">
        <v>0</v>
      </c>
      <c r="C53" s="243"/>
      <c r="D53" s="243"/>
      <c r="E53" s="243"/>
      <c r="F53" s="243"/>
      <c r="G53" s="243"/>
      <c r="H53" s="243"/>
      <c r="I53" s="243"/>
      <c r="J53" s="243"/>
      <c r="FK53" s="268"/>
      <c r="FL53" s="268"/>
      <c r="FM53" s="268"/>
    </row>
    <row r="54" spans="1:169" s="267" customFormat="1">
      <c r="A54" s="270" t="str">
        <f>+'P1.1 PDAM Licensee provided'!$D$153</f>
        <v>Licensee 2</v>
      </c>
      <c r="B54" s="245" t="s">
        <v>0</v>
      </c>
      <c r="C54" s="243"/>
      <c r="D54" s="243"/>
      <c r="E54" s="243"/>
      <c r="F54" s="243"/>
      <c r="G54" s="243"/>
      <c r="H54" s="243"/>
      <c r="I54" s="243"/>
      <c r="J54" s="243"/>
      <c r="FK54" s="268"/>
      <c r="FL54" s="268"/>
      <c r="FM54" s="268"/>
    </row>
    <row r="55" spans="1:169" s="267" customFormat="1">
      <c r="A55" s="270" t="str">
        <f>+'P1.1 PDAM Licensee provided'!$E$153</f>
        <v>Licensee 3</v>
      </c>
      <c r="B55" s="245" t="s">
        <v>0</v>
      </c>
      <c r="C55" s="243"/>
      <c r="D55" s="243"/>
      <c r="E55" s="243"/>
      <c r="F55" s="243"/>
      <c r="G55" s="243"/>
      <c r="H55" s="243"/>
      <c r="I55" s="243"/>
      <c r="J55" s="243"/>
      <c r="FK55" s="268"/>
      <c r="FL55" s="268"/>
      <c r="FM55" s="268"/>
    </row>
    <row r="56" spans="1:169" s="267" customFormat="1">
      <c r="A56" s="270" t="str">
        <f>+'P1.1 PDAM Licensee provided'!$F$153</f>
        <v>Licensee 4</v>
      </c>
      <c r="B56" s="245" t="s">
        <v>0</v>
      </c>
      <c r="C56" s="243"/>
      <c r="D56" s="243"/>
      <c r="E56" s="243"/>
      <c r="F56" s="243"/>
      <c r="G56" s="243"/>
      <c r="H56" s="243"/>
      <c r="I56" s="243"/>
      <c r="J56" s="243"/>
      <c r="FK56" s="268"/>
      <c r="FL56" s="268"/>
      <c r="FM56" s="268"/>
    </row>
    <row r="57" spans="1:169" s="267" customFormat="1">
      <c r="A57" s="270" t="str">
        <f>+'P1.1 PDAM Licensee provided'!$G$153</f>
        <v>Licensee 5</v>
      </c>
      <c r="B57" s="245" t="s">
        <v>0</v>
      </c>
      <c r="C57" s="243"/>
      <c r="D57" s="243"/>
      <c r="E57" s="243"/>
      <c r="F57" s="243"/>
      <c r="G57" s="243"/>
      <c r="H57" s="243"/>
      <c r="I57" s="243"/>
      <c r="J57" s="243"/>
      <c r="FK57" s="268"/>
      <c r="FL57" s="268"/>
      <c r="FM57" s="268"/>
    </row>
    <row r="58" spans="1:169" s="267" customFormat="1">
      <c r="A58" s="270" t="str">
        <f>+'P1.1 PDAM Licensee provided'!$H$153</f>
        <v>Licensee 6</v>
      </c>
      <c r="B58" s="245" t="s">
        <v>0</v>
      </c>
      <c r="C58" s="243"/>
      <c r="D58" s="243"/>
      <c r="E58" s="243"/>
      <c r="F58" s="243"/>
      <c r="G58" s="243"/>
      <c r="H58" s="243"/>
      <c r="I58" s="243"/>
      <c r="J58" s="243"/>
      <c r="FK58" s="268"/>
      <c r="FL58" s="268"/>
      <c r="FM58" s="268"/>
    </row>
    <row r="59" spans="1:169" s="267" customFormat="1">
      <c r="A59" s="247" t="s">
        <v>228</v>
      </c>
      <c r="B59" s="245" t="s">
        <v>0</v>
      </c>
      <c r="C59" s="248">
        <f>SUM(C51:C58)</f>
        <v>0</v>
      </c>
      <c r="D59" s="248">
        <f t="shared" ref="D59:E59" si="10">SUM(D51:D58)</f>
        <v>0</v>
      </c>
      <c r="E59" s="248">
        <f t="shared" si="10"/>
        <v>0</v>
      </c>
      <c r="F59" s="248">
        <f>SUM(F51:F58)</f>
        <v>0</v>
      </c>
      <c r="G59" s="248">
        <f t="shared" ref="G59:J59" si="11">SUM(G51:G58)</f>
        <v>0</v>
      </c>
      <c r="H59" s="248">
        <f t="shared" si="11"/>
        <v>0</v>
      </c>
      <c r="I59" s="248">
        <f t="shared" si="11"/>
        <v>0</v>
      </c>
      <c r="J59" s="248">
        <f t="shared" si="11"/>
        <v>0</v>
      </c>
      <c r="FK59" s="268"/>
      <c r="FL59" s="268"/>
      <c r="FM59" s="268"/>
    </row>
    <row r="60" spans="1:169" s="267" customFormat="1">
      <c r="A60" s="268"/>
      <c r="B60" s="266"/>
      <c r="C60" s="266"/>
      <c r="D60" s="266"/>
      <c r="E60" s="266"/>
      <c r="F60" s="266"/>
      <c r="G60" s="266"/>
      <c r="H60" s="266"/>
      <c r="I60" s="266"/>
      <c r="J60" s="266"/>
      <c r="FK60" s="268"/>
      <c r="FL60" s="268"/>
      <c r="FM60" s="268"/>
    </row>
    <row r="61" spans="1:169" s="267" customFormat="1">
      <c r="A61" s="249" t="s">
        <v>229</v>
      </c>
      <c r="B61" s="266"/>
      <c r="C61" s="269"/>
      <c r="D61" s="269"/>
      <c r="E61" s="269"/>
      <c r="F61" s="269"/>
      <c r="G61" s="269"/>
      <c r="H61" s="269"/>
      <c r="I61" s="269"/>
      <c r="J61" s="269"/>
      <c r="FK61" s="268"/>
      <c r="FL61" s="268"/>
      <c r="FM61" s="268"/>
    </row>
    <row r="62" spans="1:169" s="267" customFormat="1">
      <c r="A62" s="244" t="s">
        <v>212</v>
      </c>
      <c r="B62" s="245" t="s">
        <v>0</v>
      </c>
      <c r="C62" s="243"/>
      <c r="D62" s="243"/>
      <c r="E62" s="243"/>
      <c r="F62" s="243"/>
      <c r="G62" s="243"/>
      <c r="H62" s="243"/>
      <c r="I62" s="243"/>
      <c r="J62" s="243"/>
      <c r="FK62" s="268"/>
      <c r="FL62" s="268"/>
      <c r="FM62" s="268"/>
    </row>
    <row r="63" spans="1:169" s="267" customFormat="1">
      <c r="A63" s="246" t="s">
        <v>213</v>
      </c>
      <c r="FK63" s="268"/>
      <c r="FL63" s="268"/>
      <c r="FM63" s="268"/>
    </row>
    <row r="64" spans="1:169" s="267" customFormat="1">
      <c r="A64" s="270" t="str">
        <f>+'P1.1 PDAM Licensee provided'!$C$153</f>
        <v>Licensee 1</v>
      </c>
      <c r="B64" s="245" t="s">
        <v>0</v>
      </c>
      <c r="C64" s="243"/>
      <c r="D64" s="243"/>
      <c r="E64" s="243"/>
      <c r="F64" s="243"/>
      <c r="G64" s="243"/>
      <c r="H64" s="243"/>
      <c r="I64" s="243"/>
      <c r="J64" s="243"/>
      <c r="FK64" s="268"/>
      <c r="FL64" s="268"/>
      <c r="FM64" s="268"/>
    </row>
    <row r="65" spans="1:169" s="267" customFormat="1">
      <c r="A65" s="270" t="str">
        <f>+'P1.1 PDAM Licensee provided'!$D$153</f>
        <v>Licensee 2</v>
      </c>
      <c r="B65" s="245" t="s">
        <v>0</v>
      </c>
      <c r="C65" s="243"/>
      <c r="D65" s="243"/>
      <c r="E65" s="243"/>
      <c r="F65" s="243"/>
      <c r="G65" s="243"/>
      <c r="H65" s="243"/>
      <c r="I65" s="243"/>
      <c r="J65" s="243"/>
      <c r="FK65" s="268"/>
      <c r="FL65" s="268"/>
      <c r="FM65" s="268"/>
    </row>
    <row r="66" spans="1:169" s="267" customFormat="1">
      <c r="A66" s="270" t="str">
        <f>+'P1.1 PDAM Licensee provided'!$E$153</f>
        <v>Licensee 3</v>
      </c>
      <c r="B66" s="245" t="s">
        <v>0</v>
      </c>
      <c r="C66" s="243"/>
      <c r="D66" s="243"/>
      <c r="E66" s="243"/>
      <c r="F66" s="243"/>
      <c r="G66" s="243"/>
      <c r="H66" s="243"/>
      <c r="I66" s="243"/>
      <c r="J66" s="243"/>
      <c r="FK66" s="268"/>
      <c r="FL66" s="268"/>
      <c r="FM66" s="268"/>
    </row>
    <row r="67" spans="1:169" s="267" customFormat="1">
      <c r="A67" s="270" t="str">
        <f>+'P1.1 PDAM Licensee provided'!$F$153</f>
        <v>Licensee 4</v>
      </c>
      <c r="B67" s="245" t="s">
        <v>0</v>
      </c>
      <c r="C67" s="243"/>
      <c r="D67" s="243"/>
      <c r="E67" s="243"/>
      <c r="F67" s="243"/>
      <c r="G67" s="243"/>
      <c r="H67" s="243"/>
      <c r="I67" s="243"/>
      <c r="J67" s="243"/>
      <c r="FK67" s="268"/>
      <c r="FL67" s="268"/>
      <c r="FM67" s="268"/>
    </row>
    <row r="68" spans="1:169" s="267" customFormat="1">
      <c r="A68" s="270" t="str">
        <f>+'P1.1 PDAM Licensee provided'!$G$153</f>
        <v>Licensee 5</v>
      </c>
      <c r="B68" s="245" t="s">
        <v>0</v>
      </c>
      <c r="C68" s="243"/>
      <c r="D68" s="243"/>
      <c r="E68" s="243"/>
      <c r="F68" s="243"/>
      <c r="G68" s="243"/>
      <c r="H68" s="243"/>
      <c r="I68" s="243"/>
      <c r="J68" s="243"/>
      <c r="FK68" s="268"/>
      <c r="FL68" s="268"/>
      <c r="FM68" s="268"/>
    </row>
    <row r="69" spans="1:169" s="267" customFormat="1">
      <c r="A69" s="270" t="str">
        <f>+'P1.1 PDAM Licensee provided'!$H$153</f>
        <v>Licensee 6</v>
      </c>
      <c r="B69" s="245" t="s">
        <v>0</v>
      </c>
      <c r="C69" s="243"/>
      <c r="D69" s="243"/>
      <c r="E69" s="243"/>
      <c r="F69" s="243"/>
      <c r="G69" s="243"/>
      <c r="H69" s="243"/>
      <c r="I69" s="243"/>
      <c r="J69" s="243"/>
      <c r="FK69" s="268"/>
      <c r="FL69" s="268"/>
      <c r="FM69" s="268"/>
    </row>
    <row r="70" spans="1:169" s="267" customFormat="1">
      <c r="A70" s="247" t="s">
        <v>230</v>
      </c>
      <c r="B70" s="245" t="s">
        <v>0</v>
      </c>
      <c r="C70" s="248">
        <f>SUM(C62:C69)</f>
        <v>0</v>
      </c>
      <c r="D70" s="248">
        <f t="shared" ref="D70" si="12">SUM(D62:D69)</f>
        <v>0</v>
      </c>
      <c r="E70" s="248">
        <f>SUM(E62:E69)</f>
        <v>0</v>
      </c>
      <c r="F70" s="248">
        <f>SUM(F62:F69)</f>
        <v>0</v>
      </c>
      <c r="G70" s="248">
        <f t="shared" ref="G70:J70" si="13">SUM(G62:G69)</f>
        <v>0</v>
      </c>
      <c r="H70" s="248">
        <f t="shared" si="13"/>
        <v>0</v>
      </c>
      <c r="I70" s="248">
        <f t="shared" si="13"/>
        <v>0</v>
      </c>
      <c r="J70" s="248">
        <f t="shared" si="13"/>
        <v>0</v>
      </c>
      <c r="FK70" s="268"/>
      <c r="FL70" s="268"/>
      <c r="FM70" s="268"/>
    </row>
    <row r="71" spans="1:169" s="267" customFormat="1">
      <c r="A71" s="269" t="s">
        <v>3</v>
      </c>
      <c r="B71" s="266"/>
      <c r="C71" s="275" t="str">
        <f>IF(ABS(C48-SUM(C59,C70)&gt;0.01),"Error", "OK")</f>
        <v>OK</v>
      </c>
      <c r="D71" s="275" t="str">
        <f>IF(ABS(D48-SUM(D59,D70)&gt;0.01),"Error", "OK")</f>
        <v>OK</v>
      </c>
      <c r="E71" s="275" t="str">
        <f>IF(ABS(E48-SUM(E59,E70)&gt;0.01),"Error", "OK")</f>
        <v>OK</v>
      </c>
      <c r="F71" s="275" t="str">
        <f>IF(ABS(F48-SUM(F59,F70)&gt;0.01),"Error", "OK")</f>
        <v>OK</v>
      </c>
      <c r="G71" s="275" t="str">
        <f t="shared" ref="G71:J71" si="14">IF(ABS(G48-SUM(G59,G70)&gt;0.01),"Error", "OK")</f>
        <v>OK</v>
      </c>
      <c r="H71" s="275" t="str">
        <f t="shared" si="14"/>
        <v>OK</v>
      </c>
      <c r="I71" s="275" t="str">
        <f t="shared" si="14"/>
        <v>OK</v>
      </c>
      <c r="J71" s="275" t="str">
        <f t="shared" si="14"/>
        <v>OK</v>
      </c>
      <c r="FK71" s="268"/>
      <c r="FL71" s="268"/>
      <c r="FM71" s="268"/>
    </row>
    <row r="72" spans="1:169" s="267" customFormat="1">
      <c r="A72" s="280" t="s">
        <v>245</v>
      </c>
      <c r="B72" s="245" t="s">
        <v>0</v>
      </c>
      <c r="C72" s="243"/>
      <c r="D72" s="243"/>
      <c r="E72" s="243"/>
      <c r="F72" s="243"/>
      <c r="G72" s="243"/>
      <c r="H72" s="243"/>
      <c r="I72" s="243"/>
      <c r="J72" s="243"/>
      <c r="FK72" s="268"/>
      <c r="FL72" s="268"/>
      <c r="FM72" s="268"/>
    </row>
    <row r="73" spans="1:169" s="267" customFormat="1">
      <c r="A73" s="280"/>
      <c r="B73" s="245"/>
      <c r="C73" s="248">
        <f>+C51-C72</f>
        <v>0</v>
      </c>
      <c r="D73" s="248">
        <f>+D51-D72</f>
        <v>0</v>
      </c>
      <c r="E73" s="248">
        <f>+E51-E72</f>
        <v>0</v>
      </c>
      <c r="F73" s="248">
        <f>+F51-F72</f>
        <v>0</v>
      </c>
      <c r="G73" s="248">
        <f t="shared" ref="G73:J73" si="15">+G51-G72</f>
        <v>0</v>
      </c>
      <c r="H73" s="248">
        <f t="shared" si="15"/>
        <v>0</v>
      </c>
      <c r="I73" s="248">
        <f t="shared" si="15"/>
        <v>0</v>
      </c>
      <c r="J73" s="248">
        <f t="shared" si="15"/>
        <v>0</v>
      </c>
      <c r="FK73" s="268"/>
      <c r="FL73" s="268"/>
      <c r="FM73" s="268"/>
    </row>
    <row r="74" spans="1:169" s="267" customFormat="1">
      <c r="A74" s="276"/>
      <c r="B74" s="268"/>
      <c r="C74" s="272"/>
      <c r="D74" s="272"/>
      <c r="E74" s="272"/>
      <c r="F74" s="272"/>
      <c r="G74" s="272"/>
      <c r="H74" s="272"/>
      <c r="I74" s="272"/>
      <c r="J74" s="272"/>
      <c r="FK74" s="268"/>
      <c r="FL74" s="268"/>
      <c r="FM74" s="268"/>
    </row>
    <row r="75" spans="1:169" ht="13.5" customHeight="1">
      <c r="A75" s="258" t="s">
        <v>234</v>
      </c>
      <c r="C75" s="272"/>
      <c r="D75" s="272"/>
      <c r="E75" s="272"/>
      <c r="F75" s="272"/>
      <c r="G75" s="272"/>
      <c r="H75" s="272"/>
      <c r="I75" s="272"/>
      <c r="J75" s="272"/>
    </row>
    <row r="76" spans="1:169">
      <c r="A76" s="259" t="s">
        <v>231</v>
      </c>
      <c r="B76" s="245" t="s">
        <v>0</v>
      </c>
      <c r="D76" s="243"/>
      <c r="E76" s="243"/>
      <c r="F76" s="243"/>
      <c r="G76" s="243"/>
      <c r="H76" s="243"/>
      <c r="I76" s="243"/>
      <c r="J76" s="243"/>
    </row>
    <row r="77" spans="1:169">
      <c r="A77" s="259" t="s">
        <v>235</v>
      </c>
      <c r="B77" s="245" t="s">
        <v>0</v>
      </c>
      <c r="D77" s="243"/>
      <c r="E77" s="243"/>
      <c r="F77" s="243"/>
      <c r="G77" s="243"/>
      <c r="H77" s="243"/>
      <c r="I77" s="243"/>
      <c r="J77" s="243"/>
    </row>
    <row r="78" spans="1:169">
      <c r="A78" s="244" t="s">
        <v>236</v>
      </c>
      <c r="G78" s="268"/>
      <c r="H78" s="268"/>
      <c r="I78" s="268"/>
      <c r="J78" s="268"/>
    </row>
    <row r="79" spans="1:169">
      <c r="A79" s="244" t="s">
        <v>212</v>
      </c>
      <c r="B79" s="245" t="s">
        <v>0</v>
      </c>
      <c r="D79" s="243"/>
      <c r="E79" s="243"/>
      <c r="F79" s="243"/>
      <c r="G79" s="243"/>
      <c r="H79" s="243"/>
      <c r="I79" s="243"/>
      <c r="J79" s="243"/>
    </row>
    <row r="80" spans="1:169">
      <c r="A80" s="246" t="s">
        <v>213</v>
      </c>
      <c r="B80" s="267"/>
      <c r="D80" s="267"/>
      <c r="E80" s="267"/>
      <c r="F80" s="267"/>
    </row>
    <row r="81" spans="1:10">
      <c r="A81" s="270" t="str">
        <f>+'P1.1 PDAM Licensee provided'!$C$153</f>
        <v>Licensee 1</v>
      </c>
      <c r="B81" s="245" t="s">
        <v>0</v>
      </c>
      <c r="D81" s="243"/>
      <c r="E81" s="243"/>
      <c r="F81" s="243"/>
      <c r="G81" s="243"/>
      <c r="H81" s="243"/>
      <c r="I81" s="243"/>
      <c r="J81" s="243"/>
    </row>
    <row r="82" spans="1:10">
      <c r="A82" s="270" t="str">
        <f>+'P1.1 PDAM Licensee provided'!$D$153</f>
        <v>Licensee 2</v>
      </c>
      <c r="B82" s="245" t="s">
        <v>0</v>
      </c>
      <c r="D82" s="243"/>
      <c r="E82" s="243"/>
      <c r="F82" s="243"/>
      <c r="G82" s="243"/>
      <c r="H82" s="243"/>
      <c r="I82" s="243"/>
      <c r="J82" s="243"/>
    </row>
    <row r="83" spans="1:10">
      <c r="A83" s="270" t="str">
        <f>+'P1.1 PDAM Licensee provided'!$E$153</f>
        <v>Licensee 3</v>
      </c>
      <c r="B83" s="245" t="s">
        <v>0</v>
      </c>
      <c r="D83" s="243"/>
      <c r="E83" s="243"/>
      <c r="F83" s="243"/>
      <c r="G83" s="243"/>
      <c r="H83" s="243"/>
      <c r="I83" s="243"/>
      <c r="J83" s="243"/>
    </row>
    <row r="84" spans="1:10">
      <c r="A84" s="270" t="str">
        <f>+'P1.1 PDAM Licensee provided'!$F$153</f>
        <v>Licensee 4</v>
      </c>
      <c r="B84" s="245" t="s">
        <v>0</v>
      </c>
      <c r="D84" s="243"/>
      <c r="E84" s="243"/>
      <c r="F84" s="243"/>
      <c r="G84" s="243"/>
      <c r="H84" s="243"/>
      <c r="I84" s="243"/>
      <c r="J84" s="243"/>
    </row>
    <row r="85" spans="1:10">
      <c r="A85" s="270" t="str">
        <f>+'P1.1 PDAM Licensee provided'!$G$153</f>
        <v>Licensee 5</v>
      </c>
      <c r="B85" s="245" t="s">
        <v>0</v>
      </c>
      <c r="D85" s="243"/>
      <c r="E85" s="243"/>
      <c r="F85" s="243"/>
      <c r="G85" s="243"/>
      <c r="H85" s="243"/>
      <c r="I85" s="243"/>
      <c r="J85" s="243"/>
    </row>
    <row r="86" spans="1:10">
      <c r="A86" s="270" t="str">
        <f>+'P1.1 PDAM Licensee provided'!$H$153</f>
        <v>Licensee 6</v>
      </c>
      <c r="B86" s="245" t="s">
        <v>0</v>
      </c>
      <c r="D86" s="243"/>
      <c r="E86" s="243"/>
      <c r="F86" s="243"/>
      <c r="G86" s="243"/>
      <c r="H86" s="243"/>
      <c r="I86" s="243"/>
      <c r="J86" s="243"/>
    </row>
    <row r="87" spans="1:10">
      <c r="A87" s="247" t="s">
        <v>233</v>
      </c>
      <c r="B87" s="245" t="s">
        <v>0</v>
      </c>
      <c r="D87" s="248">
        <f>SUM(D79:D86)</f>
        <v>0</v>
      </c>
      <c r="E87" s="248">
        <f t="shared" ref="E87" si="16">SUM(E79:E86)</f>
        <v>0</v>
      </c>
      <c r="F87" s="248">
        <f>SUM(F79:F86)</f>
        <v>0</v>
      </c>
      <c r="G87" s="248">
        <f t="shared" ref="G87:J87" si="17">SUM(G79:G86)</f>
        <v>0</v>
      </c>
      <c r="H87" s="248">
        <f t="shared" si="17"/>
        <v>0</v>
      </c>
      <c r="I87" s="248">
        <f t="shared" si="17"/>
        <v>0</v>
      </c>
      <c r="J87" s="248">
        <f t="shared" si="17"/>
        <v>0</v>
      </c>
    </row>
  </sheetData>
  <mergeCells count="1">
    <mergeCell ref="M27:P28"/>
  </mergeCells>
  <pageMargins left="0.70866141732283472" right="0.70866141732283472" top="0.74803149606299213" bottom="0.74803149606299213" header="0.31496062992125984" footer="0.31496062992125984"/>
  <pageSetup paperSize="8" scale="88"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V97"/>
  <sheetViews>
    <sheetView showGridLines="0" showZeros="0" workbookViewId="0">
      <pane xSplit="3" ySplit="14" topLeftCell="D70" activePane="bottomRight" state="frozenSplit"/>
      <selection activeCell="C36" sqref="C36"/>
      <selection pane="topRight" activeCell="C36" sqref="C36"/>
      <selection pane="bottomLeft" activeCell="C36" sqref="C36"/>
      <selection pane="bottomRight" activeCell="F78" sqref="F78"/>
    </sheetView>
  </sheetViews>
  <sheetFormatPr defaultRowHeight="14.25"/>
  <cols>
    <col min="1" max="1" width="9.9296875" customWidth="1"/>
    <col min="2" max="2" width="29.86328125" customWidth="1"/>
    <col min="3" max="3" width="22" customWidth="1"/>
    <col min="4" max="11" width="9.1328125" bestFit="1" customWidth="1"/>
    <col min="22" max="22" width="27.33203125" customWidth="1"/>
  </cols>
  <sheetData>
    <row r="1" spans="1:22" s="367" customFormat="1" ht="20.65">
      <c r="A1" s="265" t="s">
        <v>509</v>
      </c>
      <c r="B1" s="265"/>
      <c r="C1" s="225"/>
      <c r="D1" s="389" t="s">
        <v>512</v>
      </c>
      <c r="E1" s="225"/>
      <c r="F1" s="225"/>
      <c r="G1" s="225"/>
      <c r="H1" s="225"/>
      <c r="I1" s="225"/>
      <c r="J1" s="225"/>
      <c r="K1" s="225"/>
      <c r="L1" s="225"/>
      <c r="M1" s="225"/>
      <c r="N1" s="225"/>
      <c r="O1" s="225"/>
      <c r="P1" s="225"/>
      <c r="Q1" s="225"/>
      <c r="R1" s="225"/>
      <c r="S1" s="225"/>
      <c r="T1" s="171"/>
      <c r="U1" s="153" t="s">
        <v>109</v>
      </c>
      <c r="V1" s="154"/>
    </row>
    <row r="2" spans="1:22" s="367" customFormat="1" ht="20.65">
      <c r="A2" s="265" t="str">
        <f>+'Pension Pack cover'!D15</f>
        <v>Licensee 2</v>
      </c>
      <c r="B2" s="265"/>
      <c r="C2" s="225"/>
      <c r="D2" s="389" t="s">
        <v>513</v>
      </c>
      <c r="E2" s="225"/>
      <c r="F2" s="225"/>
      <c r="G2" s="225"/>
      <c r="H2" s="225"/>
      <c r="I2" s="225"/>
      <c r="J2" s="225"/>
      <c r="K2" s="225"/>
      <c r="L2" s="225"/>
      <c r="M2" s="225"/>
      <c r="N2" s="225"/>
      <c r="O2" s="225"/>
      <c r="P2" s="225"/>
      <c r="Q2" s="225"/>
      <c r="R2" s="225"/>
      <c r="S2" s="225"/>
      <c r="T2" s="172"/>
      <c r="U2" s="153" t="s">
        <v>111</v>
      </c>
      <c r="V2" s="154"/>
    </row>
    <row r="3" spans="1:22" s="366" customFormat="1" ht="20.65">
      <c r="A3" s="394">
        <f>+'Pension Pack cover'!D24</f>
        <v>2020</v>
      </c>
      <c r="B3" s="385"/>
      <c r="C3" s="225"/>
      <c r="D3" s="389" t="s">
        <v>514</v>
      </c>
      <c r="E3" s="225"/>
      <c r="F3" s="225"/>
      <c r="G3" s="225"/>
      <c r="H3" s="225"/>
      <c r="I3" s="225"/>
      <c r="J3" s="225"/>
      <c r="K3" s="225"/>
      <c r="L3" s="225"/>
      <c r="M3" s="225"/>
      <c r="N3" s="225"/>
      <c r="O3" s="225"/>
      <c r="P3" s="225"/>
      <c r="Q3" s="225"/>
      <c r="R3" s="225"/>
      <c r="S3" s="225"/>
      <c r="T3" s="173"/>
      <c r="U3" s="153" t="s">
        <v>113</v>
      </c>
      <c r="V3" s="154"/>
    </row>
    <row r="4" spans="1:22">
      <c r="S4" s="398"/>
      <c r="T4" s="174"/>
      <c r="U4" s="153" t="s">
        <v>115</v>
      </c>
      <c r="V4" s="154"/>
    </row>
    <row r="5" spans="1:22" ht="16.5" customHeight="1">
      <c r="B5" t="s">
        <v>403</v>
      </c>
      <c r="S5" s="405"/>
      <c r="T5" s="175"/>
      <c r="U5" s="153" t="s">
        <v>117</v>
      </c>
      <c r="V5" s="154"/>
    </row>
    <row r="6" spans="1:22" ht="16.5" customHeight="1">
      <c r="B6" t="s">
        <v>402</v>
      </c>
      <c r="T6" s="176"/>
      <c r="U6" s="153" t="s">
        <v>119</v>
      </c>
      <c r="V6" s="154"/>
    </row>
    <row r="7" spans="1:22">
      <c r="T7" s="177"/>
      <c r="U7" s="153" t="s">
        <v>121</v>
      </c>
      <c r="V7" s="154"/>
    </row>
    <row r="8" spans="1:22" hidden="1">
      <c r="B8" t="s">
        <v>401</v>
      </c>
      <c r="D8">
        <v>1</v>
      </c>
      <c r="E8">
        <v>2</v>
      </c>
      <c r="F8">
        <v>3</v>
      </c>
      <c r="G8">
        <v>4</v>
      </c>
      <c r="H8">
        <v>5</v>
      </c>
      <c r="I8">
        <v>6</v>
      </c>
      <c r="J8">
        <v>7</v>
      </c>
      <c r="K8">
        <v>8</v>
      </c>
      <c r="L8">
        <v>9</v>
      </c>
      <c r="M8">
        <v>10</v>
      </c>
      <c r="N8">
        <v>11</v>
      </c>
      <c r="O8">
        <v>12</v>
      </c>
      <c r="P8">
        <v>13</v>
      </c>
      <c r="Q8">
        <v>14</v>
      </c>
      <c r="R8">
        <v>15</v>
      </c>
      <c r="S8">
        <v>16</v>
      </c>
      <c r="T8">
        <v>17</v>
      </c>
      <c r="U8">
        <v>18</v>
      </c>
    </row>
    <row r="9" spans="1:22" hidden="1">
      <c r="B9" t="s">
        <v>400</v>
      </c>
      <c r="D9">
        <f t="shared" ref="D9:U9" si="0">pco1_num+D8-1</f>
        <v>2</v>
      </c>
      <c r="E9">
        <f t="shared" si="0"/>
        <v>3</v>
      </c>
      <c r="F9">
        <f t="shared" si="0"/>
        <v>4</v>
      </c>
      <c r="G9">
        <f t="shared" si="0"/>
        <v>5</v>
      </c>
      <c r="H9">
        <f t="shared" si="0"/>
        <v>6</v>
      </c>
      <c r="I9">
        <f t="shared" si="0"/>
        <v>7</v>
      </c>
      <c r="J9">
        <f t="shared" si="0"/>
        <v>8</v>
      </c>
      <c r="K9">
        <f t="shared" si="0"/>
        <v>9</v>
      </c>
      <c r="L9">
        <f t="shared" si="0"/>
        <v>10</v>
      </c>
      <c r="M9">
        <f t="shared" si="0"/>
        <v>11</v>
      </c>
      <c r="N9">
        <f t="shared" si="0"/>
        <v>12</v>
      </c>
      <c r="O9">
        <f t="shared" si="0"/>
        <v>13</v>
      </c>
      <c r="P9">
        <f t="shared" si="0"/>
        <v>14</v>
      </c>
      <c r="Q9">
        <f t="shared" si="0"/>
        <v>15</v>
      </c>
      <c r="R9">
        <f t="shared" si="0"/>
        <v>16</v>
      </c>
      <c r="S9">
        <f t="shared" si="0"/>
        <v>17</v>
      </c>
      <c r="T9">
        <f t="shared" si="0"/>
        <v>18</v>
      </c>
      <c r="U9">
        <f t="shared" si="0"/>
        <v>19</v>
      </c>
    </row>
    <row r="10" spans="1:22" ht="16.5">
      <c r="D10" s="365" t="str">
        <f t="shared" ref="D10:U10" si="1">INDEX(yearQ,D9)</f>
        <v>2010-11</v>
      </c>
      <c r="E10" s="365" t="str">
        <f t="shared" si="1"/>
        <v>2011-12</v>
      </c>
      <c r="F10" s="365" t="str">
        <f t="shared" si="1"/>
        <v>2012-13</v>
      </c>
      <c r="G10" s="365" t="str">
        <f t="shared" si="1"/>
        <v>2013-14</v>
      </c>
      <c r="H10" s="365" t="str">
        <f t="shared" si="1"/>
        <v>2014-15</v>
      </c>
      <c r="I10" s="365" t="str">
        <f t="shared" si="1"/>
        <v>2015-16</v>
      </c>
      <c r="J10" s="365" t="str">
        <f t="shared" si="1"/>
        <v>2016-17</v>
      </c>
      <c r="K10" s="365" t="str">
        <f t="shared" si="1"/>
        <v>2017-18</v>
      </c>
      <c r="L10" s="365" t="str">
        <f t="shared" si="1"/>
        <v>2018-19</v>
      </c>
      <c r="M10" s="365" t="str">
        <f t="shared" si="1"/>
        <v>2019-20</v>
      </c>
      <c r="N10" s="365" t="str">
        <f t="shared" si="1"/>
        <v>2020-21</v>
      </c>
      <c r="O10" s="365" t="str">
        <f t="shared" si="1"/>
        <v>2021-22</v>
      </c>
      <c r="P10" s="365" t="str">
        <f t="shared" si="1"/>
        <v>2022-23</v>
      </c>
      <c r="Q10" s="365" t="str">
        <f t="shared" si="1"/>
        <v>2023-24</v>
      </c>
      <c r="R10" s="365" t="str">
        <f t="shared" si="1"/>
        <v>2024-25</v>
      </c>
      <c r="S10" s="365" t="str">
        <f t="shared" si="1"/>
        <v>2025-26</v>
      </c>
      <c r="T10" s="365" t="str">
        <f t="shared" si="1"/>
        <v>2026-27</v>
      </c>
      <c r="U10" s="365" t="str">
        <f t="shared" si="1"/>
        <v>2027-28</v>
      </c>
    </row>
    <row r="11" spans="1:22">
      <c r="B11" t="s">
        <v>399</v>
      </c>
      <c r="D11" s="425" t="str">
        <f t="shared" ref="D11:U11" si="2">IF(D9=rr_num,1,"")</f>
        <v/>
      </c>
      <c r="E11" s="425" t="str">
        <f t="shared" si="2"/>
        <v/>
      </c>
      <c r="F11" s="425" t="str">
        <f t="shared" si="2"/>
        <v/>
      </c>
      <c r="G11" s="425" t="str">
        <f t="shared" si="2"/>
        <v/>
      </c>
      <c r="H11" s="425" t="str">
        <f t="shared" si="2"/>
        <v/>
      </c>
      <c r="I11" s="425" t="str">
        <f t="shared" si="2"/>
        <v/>
      </c>
      <c r="J11" s="425" t="str">
        <f t="shared" si="2"/>
        <v/>
      </c>
      <c r="K11" s="425" t="str">
        <f t="shared" si="2"/>
        <v/>
      </c>
      <c r="L11" s="425" t="str">
        <f t="shared" si="2"/>
        <v/>
      </c>
      <c r="M11" s="425" t="str">
        <f t="shared" si="2"/>
        <v/>
      </c>
      <c r="N11" s="425" t="str">
        <f t="shared" si="2"/>
        <v/>
      </c>
      <c r="O11" s="425" t="str">
        <f t="shared" si="2"/>
        <v/>
      </c>
      <c r="P11" s="425" t="str">
        <f t="shared" si="2"/>
        <v/>
      </c>
      <c r="Q11" s="425" t="str">
        <f t="shared" si="2"/>
        <v/>
      </c>
      <c r="R11" s="425" t="str">
        <f t="shared" si="2"/>
        <v/>
      </c>
      <c r="S11" s="425" t="str">
        <f t="shared" si="2"/>
        <v/>
      </c>
      <c r="T11" s="425">
        <f t="shared" si="2"/>
        <v>1</v>
      </c>
      <c r="U11" s="425" t="str">
        <f t="shared" si="2"/>
        <v/>
      </c>
    </row>
    <row r="12" spans="1:22">
      <c r="B12" t="s">
        <v>398</v>
      </c>
      <c r="D12" s="425">
        <f t="shared" ref="D12:U12" si="3">IF(D9&lt;=rr_num-2,1,0)</f>
        <v>1</v>
      </c>
      <c r="E12" s="425">
        <f t="shared" si="3"/>
        <v>1</v>
      </c>
      <c r="F12" s="425">
        <f t="shared" si="3"/>
        <v>1</v>
      </c>
      <c r="G12" s="425">
        <f t="shared" si="3"/>
        <v>1</v>
      </c>
      <c r="H12" s="425">
        <f t="shared" si="3"/>
        <v>1</v>
      </c>
      <c r="I12" s="425">
        <f t="shared" si="3"/>
        <v>1</v>
      </c>
      <c r="J12" s="425">
        <f t="shared" si="3"/>
        <v>1</v>
      </c>
      <c r="K12" s="425">
        <f t="shared" si="3"/>
        <v>1</v>
      </c>
      <c r="L12" s="425">
        <f t="shared" si="3"/>
        <v>1</v>
      </c>
      <c r="M12" s="425">
        <f t="shared" si="3"/>
        <v>1</v>
      </c>
      <c r="N12" s="425">
        <f t="shared" si="3"/>
        <v>1</v>
      </c>
      <c r="O12" s="425">
        <f t="shared" si="3"/>
        <v>1</v>
      </c>
      <c r="P12" s="425">
        <f t="shared" si="3"/>
        <v>1</v>
      </c>
      <c r="Q12" s="425">
        <f t="shared" si="3"/>
        <v>1</v>
      </c>
      <c r="R12" s="425">
        <f t="shared" si="3"/>
        <v>1</v>
      </c>
      <c r="S12" s="425">
        <f t="shared" si="3"/>
        <v>0</v>
      </c>
      <c r="T12" s="425">
        <f t="shared" si="3"/>
        <v>0</v>
      </c>
      <c r="U12" s="425">
        <f t="shared" si="3"/>
        <v>0</v>
      </c>
    </row>
    <row r="13" spans="1:22">
      <c r="B13" t="s">
        <v>397</v>
      </c>
      <c r="D13" s="425">
        <f t="shared" ref="D13:U13" si="4">IF(OR(D9=rr_num,D9=rr_num-1),1,0)</f>
        <v>0</v>
      </c>
      <c r="E13" s="425">
        <f t="shared" si="4"/>
        <v>0</v>
      </c>
      <c r="F13" s="425">
        <f t="shared" si="4"/>
        <v>0</v>
      </c>
      <c r="G13" s="425">
        <f t="shared" si="4"/>
        <v>0</v>
      </c>
      <c r="H13" s="425">
        <f t="shared" si="4"/>
        <v>0</v>
      </c>
      <c r="I13" s="425">
        <f t="shared" si="4"/>
        <v>0</v>
      </c>
      <c r="J13" s="425">
        <f t="shared" si="4"/>
        <v>0</v>
      </c>
      <c r="K13" s="425">
        <f t="shared" si="4"/>
        <v>0</v>
      </c>
      <c r="L13" s="425">
        <f t="shared" si="4"/>
        <v>0</v>
      </c>
      <c r="M13" s="425">
        <f t="shared" si="4"/>
        <v>0</v>
      </c>
      <c r="N13" s="425">
        <f t="shared" si="4"/>
        <v>0</v>
      </c>
      <c r="O13" s="425">
        <f t="shared" si="4"/>
        <v>0</v>
      </c>
      <c r="P13" s="425">
        <f t="shared" si="4"/>
        <v>0</v>
      </c>
      <c r="Q13" s="425">
        <f t="shared" si="4"/>
        <v>0</v>
      </c>
      <c r="R13" s="425">
        <f t="shared" si="4"/>
        <v>0</v>
      </c>
      <c r="S13" s="425">
        <f t="shared" si="4"/>
        <v>1</v>
      </c>
      <c r="T13" s="425">
        <f t="shared" si="4"/>
        <v>1</v>
      </c>
      <c r="U13" s="425">
        <f t="shared" si="4"/>
        <v>0</v>
      </c>
    </row>
    <row r="14" spans="1:22">
      <c r="B14" t="s">
        <v>396</v>
      </c>
      <c r="D14" s="425">
        <f t="shared" ref="D14:U14" si="5">IF(D9&gt;rr_num,1,0)</f>
        <v>0</v>
      </c>
      <c r="E14" s="425">
        <f t="shared" si="5"/>
        <v>0</v>
      </c>
      <c r="F14" s="425">
        <f t="shared" si="5"/>
        <v>0</v>
      </c>
      <c r="G14" s="425">
        <f t="shared" si="5"/>
        <v>0</v>
      </c>
      <c r="H14" s="425">
        <f t="shared" si="5"/>
        <v>0</v>
      </c>
      <c r="I14" s="425">
        <f t="shared" si="5"/>
        <v>0</v>
      </c>
      <c r="J14" s="425">
        <f t="shared" si="5"/>
        <v>0</v>
      </c>
      <c r="K14" s="425">
        <f t="shared" si="5"/>
        <v>0</v>
      </c>
      <c r="L14" s="425">
        <f t="shared" si="5"/>
        <v>0</v>
      </c>
      <c r="M14" s="425">
        <f t="shared" si="5"/>
        <v>0</v>
      </c>
      <c r="N14" s="425">
        <f t="shared" si="5"/>
        <v>0</v>
      </c>
      <c r="O14" s="425">
        <f t="shared" si="5"/>
        <v>0</v>
      </c>
      <c r="P14" s="425">
        <f t="shared" si="5"/>
        <v>0</v>
      </c>
      <c r="Q14" s="425">
        <f t="shared" si="5"/>
        <v>0</v>
      </c>
      <c r="R14" s="425">
        <f t="shared" si="5"/>
        <v>0</v>
      </c>
      <c r="S14" s="425">
        <f t="shared" si="5"/>
        <v>0</v>
      </c>
      <c r="T14" s="425">
        <f t="shared" si="5"/>
        <v>0</v>
      </c>
      <c r="U14" s="425">
        <f t="shared" si="5"/>
        <v>1</v>
      </c>
    </row>
    <row r="16" spans="1:22">
      <c r="B16" s="338" t="s">
        <v>395</v>
      </c>
    </row>
    <row r="17" spans="2:21">
      <c r="B17" t="s">
        <v>394</v>
      </c>
      <c r="D17" s="402"/>
      <c r="E17" s="402"/>
      <c r="F17" s="402"/>
      <c r="G17" s="402"/>
      <c r="H17" s="402"/>
      <c r="I17" s="402"/>
      <c r="J17" s="402"/>
      <c r="K17" s="402"/>
      <c r="L17" s="402"/>
      <c r="M17" s="402"/>
      <c r="N17" s="402"/>
      <c r="O17" s="402"/>
      <c r="P17" s="402"/>
      <c r="Q17" s="402"/>
      <c r="R17" s="402"/>
      <c r="S17" s="402"/>
      <c r="T17" s="402"/>
      <c r="U17" s="362"/>
    </row>
    <row r="18" spans="2:21">
      <c r="B18" t="s">
        <v>393</v>
      </c>
      <c r="D18" s="402"/>
      <c r="E18" s="402">
        <v>0</v>
      </c>
      <c r="F18" s="402"/>
      <c r="G18" s="402"/>
      <c r="H18" s="402"/>
      <c r="I18" s="402"/>
      <c r="J18" s="402"/>
      <c r="K18" s="402"/>
      <c r="L18" s="402"/>
      <c r="M18" s="402"/>
      <c r="N18" s="402"/>
      <c r="O18" s="402"/>
      <c r="P18" s="402"/>
      <c r="Q18" s="402"/>
      <c r="R18" s="402"/>
      <c r="S18" s="402"/>
      <c r="T18" s="402"/>
      <c r="U18" s="362"/>
    </row>
    <row r="19" spans="2:21">
      <c r="B19" s="364" t="s">
        <v>392</v>
      </c>
      <c r="C19" s="364"/>
      <c r="D19" s="406">
        <f t="shared" ref="D19:U19" si="6">SUM(D17:D18)</f>
        <v>0</v>
      </c>
      <c r="E19" s="406">
        <f t="shared" si="6"/>
        <v>0</v>
      </c>
      <c r="F19" s="406">
        <f t="shared" si="6"/>
        <v>0</v>
      </c>
      <c r="G19" s="406">
        <f t="shared" si="6"/>
        <v>0</v>
      </c>
      <c r="H19" s="406">
        <f t="shared" si="6"/>
        <v>0</v>
      </c>
      <c r="I19" s="406">
        <f t="shared" si="6"/>
        <v>0</v>
      </c>
      <c r="J19" s="406">
        <f t="shared" si="6"/>
        <v>0</v>
      </c>
      <c r="K19" s="406">
        <f t="shared" si="6"/>
        <v>0</v>
      </c>
      <c r="L19" s="406">
        <f t="shared" si="6"/>
        <v>0</v>
      </c>
      <c r="M19" s="406">
        <f t="shared" si="6"/>
        <v>0</v>
      </c>
      <c r="N19" s="406">
        <f t="shared" si="6"/>
        <v>0</v>
      </c>
      <c r="O19" s="406">
        <f t="shared" si="6"/>
        <v>0</v>
      </c>
      <c r="P19" s="406">
        <f t="shared" si="6"/>
        <v>0</v>
      </c>
      <c r="Q19" s="406">
        <f t="shared" si="6"/>
        <v>0</v>
      </c>
      <c r="R19" s="406">
        <f t="shared" si="6"/>
        <v>0</v>
      </c>
      <c r="S19" s="406">
        <f t="shared" si="6"/>
        <v>0</v>
      </c>
      <c r="T19" s="406">
        <f t="shared" si="6"/>
        <v>0</v>
      </c>
      <c r="U19" s="406">
        <f t="shared" si="6"/>
        <v>0</v>
      </c>
    </row>
    <row r="20" spans="2:21">
      <c r="B20" t="s">
        <v>391</v>
      </c>
      <c r="D20" s="402"/>
      <c r="E20" s="402"/>
      <c r="F20" s="402"/>
      <c r="G20" s="402"/>
      <c r="H20" s="402"/>
      <c r="I20" s="402"/>
      <c r="J20" s="402"/>
      <c r="K20" s="402"/>
      <c r="L20" s="402"/>
      <c r="M20" s="402"/>
      <c r="N20" s="402"/>
      <c r="O20" s="402"/>
      <c r="P20" s="402"/>
      <c r="Q20" s="402"/>
      <c r="R20" s="402"/>
      <c r="S20" s="402"/>
      <c r="T20" s="402"/>
      <c r="U20" s="362"/>
    </row>
    <row r="21" spans="2:21">
      <c r="B21" s="363" t="s">
        <v>390</v>
      </c>
      <c r="C21" s="363"/>
      <c r="D21" s="406">
        <f t="shared" ref="D21:U21" si="7">D19-D20</f>
        <v>0</v>
      </c>
      <c r="E21" s="406">
        <f t="shared" si="7"/>
        <v>0</v>
      </c>
      <c r="F21" s="406">
        <f t="shared" si="7"/>
        <v>0</v>
      </c>
      <c r="G21" s="406">
        <f t="shared" si="7"/>
        <v>0</v>
      </c>
      <c r="H21" s="406">
        <f t="shared" si="7"/>
        <v>0</v>
      </c>
      <c r="I21" s="406">
        <f t="shared" si="7"/>
        <v>0</v>
      </c>
      <c r="J21" s="406">
        <f t="shared" si="7"/>
        <v>0</v>
      </c>
      <c r="K21" s="406">
        <f t="shared" si="7"/>
        <v>0</v>
      </c>
      <c r="L21" s="406">
        <f t="shared" si="7"/>
        <v>0</v>
      </c>
      <c r="M21" s="406">
        <f t="shared" si="7"/>
        <v>0</v>
      </c>
      <c r="N21" s="406">
        <f t="shared" si="7"/>
        <v>0</v>
      </c>
      <c r="O21" s="406">
        <f t="shared" si="7"/>
        <v>0</v>
      </c>
      <c r="P21" s="406">
        <f t="shared" si="7"/>
        <v>0</v>
      </c>
      <c r="Q21" s="406">
        <f t="shared" si="7"/>
        <v>0</v>
      </c>
      <c r="R21" s="406">
        <f t="shared" si="7"/>
        <v>0</v>
      </c>
      <c r="S21" s="406">
        <f t="shared" si="7"/>
        <v>0</v>
      </c>
      <c r="T21" s="406">
        <f t="shared" si="7"/>
        <v>0</v>
      </c>
      <c r="U21" s="406">
        <f t="shared" si="7"/>
        <v>0</v>
      </c>
    </row>
    <row r="22" spans="2:21">
      <c r="B22" t="s">
        <v>389</v>
      </c>
      <c r="D22" s="402"/>
      <c r="E22" s="402"/>
      <c r="F22" s="402"/>
      <c r="G22" s="402"/>
      <c r="H22" s="402"/>
      <c r="I22" s="402"/>
      <c r="J22" s="402"/>
      <c r="K22" s="402"/>
      <c r="L22" s="402"/>
      <c r="M22" s="402"/>
      <c r="N22" s="402"/>
      <c r="O22" s="402"/>
      <c r="P22" s="402"/>
      <c r="Q22" s="402"/>
      <c r="R22" s="402"/>
      <c r="S22" s="362"/>
      <c r="T22" s="362"/>
      <c r="U22" s="362"/>
    </row>
    <row r="23" spans="2:21" s="359" customFormat="1">
      <c r="B23" s="359" t="s">
        <v>388</v>
      </c>
      <c r="C23" s="361"/>
      <c r="D23" s="360"/>
      <c r="E23" s="360"/>
      <c r="F23" s="360"/>
      <c r="G23" s="360"/>
      <c r="H23" s="360"/>
      <c r="I23" s="360"/>
      <c r="J23" s="360"/>
      <c r="K23" s="360"/>
      <c r="L23" s="360"/>
      <c r="M23" s="360"/>
      <c r="N23" s="360"/>
      <c r="O23" s="360"/>
      <c r="P23" s="360"/>
      <c r="Q23" s="360"/>
      <c r="R23" s="360"/>
      <c r="S23" s="360"/>
      <c r="T23" s="360"/>
      <c r="U23" s="360"/>
    </row>
    <row r="24" spans="2:21" ht="14.65" thickBot="1">
      <c r="B24" s="358" t="s">
        <v>387</v>
      </c>
      <c r="C24" s="358"/>
      <c r="D24" s="407">
        <f t="shared" ref="D24:U24" si="8">D22-D21</f>
        <v>0</v>
      </c>
      <c r="E24" s="407">
        <f t="shared" si="8"/>
        <v>0</v>
      </c>
      <c r="F24" s="407">
        <f t="shared" si="8"/>
        <v>0</v>
      </c>
      <c r="G24" s="407">
        <f t="shared" si="8"/>
        <v>0</v>
      </c>
      <c r="H24" s="407">
        <f t="shared" si="8"/>
        <v>0</v>
      </c>
      <c r="I24" s="407">
        <f t="shared" si="8"/>
        <v>0</v>
      </c>
      <c r="J24" s="407">
        <f t="shared" si="8"/>
        <v>0</v>
      </c>
      <c r="K24" s="407">
        <f t="shared" si="8"/>
        <v>0</v>
      </c>
      <c r="L24" s="407">
        <f t="shared" si="8"/>
        <v>0</v>
      </c>
      <c r="M24" s="407">
        <f t="shared" si="8"/>
        <v>0</v>
      </c>
      <c r="N24" s="407">
        <f t="shared" si="8"/>
        <v>0</v>
      </c>
      <c r="O24" s="407">
        <f t="shared" si="8"/>
        <v>0</v>
      </c>
      <c r="P24" s="407">
        <f t="shared" si="8"/>
        <v>0</v>
      </c>
      <c r="Q24" s="407">
        <f t="shared" si="8"/>
        <v>0</v>
      </c>
      <c r="R24" s="407">
        <f t="shared" si="8"/>
        <v>0</v>
      </c>
      <c r="S24" s="407">
        <f t="shared" si="8"/>
        <v>0</v>
      </c>
      <c r="T24" s="407">
        <f t="shared" si="8"/>
        <v>0</v>
      </c>
      <c r="U24" s="407">
        <f t="shared" si="8"/>
        <v>0</v>
      </c>
    </row>
    <row r="26" spans="2:21">
      <c r="B26" s="338" t="s">
        <v>386</v>
      </c>
    </row>
    <row r="27" spans="2:21">
      <c r="B27" t="s">
        <v>385</v>
      </c>
      <c r="D27" s="428">
        <f t="shared" ref="D27:U27" si="9">INDEX(CT,D9)</f>
        <v>0.28000000000000003</v>
      </c>
      <c r="E27" s="428">
        <f t="shared" si="9"/>
        <v>0.26</v>
      </c>
      <c r="F27" s="428">
        <f t="shared" si="9"/>
        <v>0.24</v>
      </c>
      <c r="G27" s="428">
        <f t="shared" si="9"/>
        <v>0.23</v>
      </c>
      <c r="H27" s="428">
        <f t="shared" si="9"/>
        <v>0.21</v>
      </c>
      <c r="I27" s="428">
        <f t="shared" si="9"/>
        <v>0.2</v>
      </c>
      <c r="J27" s="428">
        <f t="shared" si="9"/>
        <v>0.2</v>
      </c>
      <c r="K27" s="428">
        <f t="shared" si="9"/>
        <v>0.19</v>
      </c>
      <c r="L27" s="428">
        <f t="shared" si="9"/>
        <v>0.19</v>
      </c>
      <c r="M27" s="428">
        <f t="shared" si="9"/>
        <v>0.19</v>
      </c>
      <c r="N27" s="428">
        <f t="shared" si="9"/>
        <v>0.19</v>
      </c>
      <c r="O27" s="428">
        <f t="shared" si="9"/>
        <v>0</v>
      </c>
      <c r="P27" s="428">
        <f t="shared" si="9"/>
        <v>0</v>
      </c>
      <c r="Q27" s="428">
        <f t="shared" si="9"/>
        <v>0</v>
      </c>
      <c r="R27" s="428">
        <f t="shared" si="9"/>
        <v>0</v>
      </c>
      <c r="S27" s="428">
        <f t="shared" si="9"/>
        <v>0</v>
      </c>
      <c r="T27" s="428">
        <f t="shared" si="9"/>
        <v>0</v>
      </c>
      <c r="U27" s="428">
        <f t="shared" si="9"/>
        <v>0</v>
      </c>
    </row>
    <row r="28" spans="2:21">
      <c r="B28" t="s">
        <v>384</v>
      </c>
      <c r="D28" s="357">
        <v>0.17</v>
      </c>
      <c r="E28" s="357">
        <v>0.17</v>
      </c>
      <c r="F28" s="357">
        <v>0.17</v>
      </c>
      <c r="G28" s="357">
        <v>0.17</v>
      </c>
      <c r="H28" s="357">
        <v>0.17</v>
      </c>
      <c r="I28" s="357">
        <v>0.17</v>
      </c>
      <c r="J28" s="357">
        <v>0.17</v>
      </c>
      <c r="K28" s="357">
        <v>0.17</v>
      </c>
      <c r="L28" s="357">
        <v>0.17</v>
      </c>
      <c r="M28" s="357">
        <v>0.17</v>
      </c>
      <c r="N28" s="357">
        <v>0.17</v>
      </c>
      <c r="O28" s="399"/>
      <c r="P28" s="399"/>
      <c r="Q28" s="399"/>
      <c r="R28" s="399"/>
      <c r="S28" s="399"/>
      <c r="T28" s="399"/>
      <c r="U28" s="399"/>
    </row>
    <row r="29" spans="2:21" ht="14.65" thickBot="1">
      <c r="B29" s="344" t="s">
        <v>383</v>
      </c>
      <c r="C29" s="344"/>
      <c r="D29" s="408">
        <f t="shared" ref="D29:U29" si="10">IF(D27=0,D28,D27)</f>
        <v>0.28000000000000003</v>
      </c>
      <c r="E29" s="408">
        <f t="shared" si="10"/>
        <v>0.26</v>
      </c>
      <c r="F29" s="408">
        <f t="shared" si="10"/>
        <v>0.24</v>
      </c>
      <c r="G29" s="408">
        <f t="shared" si="10"/>
        <v>0.23</v>
      </c>
      <c r="H29" s="408">
        <f t="shared" si="10"/>
        <v>0.21</v>
      </c>
      <c r="I29" s="408">
        <f t="shared" si="10"/>
        <v>0.2</v>
      </c>
      <c r="J29" s="408">
        <f t="shared" si="10"/>
        <v>0.2</v>
      </c>
      <c r="K29" s="408">
        <f t="shared" si="10"/>
        <v>0.19</v>
      </c>
      <c r="L29" s="408">
        <f t="shared" si="10"/>
        <v>0.19</v>
      </c>
      <c r="M29" s="408">
        <f t="shared" si="10"/>
        <v>0.19</v>
      </c>
      <c r="N29" s="408">
        <f t="shared" si="10"/>
        <v>0.19</v>
      </c>
      <c r="O29" s="408">
        <f t="shared" si="10"/>
        <v>0</v>
      </c>
      <c r="P29" s="408">
        <f t="shared" si="10"/>
        <v>0</v>
      </c>
      <c r="Q29" s="408">
        <f t="shared" si="10"/>
        <v>0</v>
      </c>
      <c r="R29" s="408">
        <f t="shared" si="10"/>
        <v>0</v>
      </c>
      <c r="S29" s="408">
        <f t="shared" si="10"/>
        <v>0</v>
      </c>
      <c r="T29" s="408">
        <f t="shared" si="10"/>
        <v>0</v>
      </c>
      <c r="U29" s="408">
        <f t="shared" si="10"/>
        <v>0</v>
      </c>
    </row>
    <row r="30" spans="2:21" hidden="1"/>
    <row r="32" spans="2:21">
      <c r="B32" t="s">
        <v>382</v>
      </c>
      <c r="C32" s="434">
        <f>1-SUM(D32:U32)</f>
        <v>1</v>
      </c>
      <c r="D32" s="405"/>
      <c r="E32" s="433">
        <f t="shared" ref="E32:U32" si="11">IF(D11=1,E29,0)</f>
        <v>0</v>
      </c>
      <c r="F32" s="433">
        <f t="shared" si="11"/>
        <v>0</v>
      </c>
      <c r="G32" s="433">
        <f t="shared" si="11"/>
        <v>0</v>
      </c>
      <c r="H32" s="433">
        <f t="shared" si="11"/>
        <v>0</v>
      </c>
      <c r="I32" s="433">
        <f t="shared" si="11"/>
        <v>0</v>
      </c>
      <c r="J32" s="433">
        <f t="shared" si="11"/>
        <v>0</v>
      </c>
      <c r="K32" s="433">
        <f t="shared" si="11"/>
        <v>0</v>
      </c>
      <c r="L32" s="433">
        <f t="shared" si="11"/>
        <v>0</v>
      </c>
      <c r="M32" s="433">
        <f t="shared" si="11"/>
        <v>0</v>
      </c>
      <c r="N32" s="433">
        <f t="shared" si="11"/>
        <v>0</v>
      </c>
      <c r="O32" s="433">
        <f t="shared" si="11"/>
        <v>0</v>
      </c>
      <c r="P32" s="433">
        <f t="shared" si="11"/>
        <v>0</v>
      </c>
      <c r="Q32" s="433">
        <f t="shared" si="11"/>
        <v>0</v>
      </c>
      <c r="R32" s="433">
        <f t="shared" si="11"/>
        <v>0</v>
      </c>
      <c r="S32" s="433">
        <f t="shared" si="11"/>
        <v>0</v>
      </c>
      <c r="T32" s="433">
        <f t="shared" si="11"/>
        <v>0</v>
      </c>
      <c r="U32" s="433">
        <f t="shared" si="11"/>
        <v>0</v>
      </c>
    </row>
    <row r="34" spans="2:21">
      <c r="B34" s="338" t="s">
        <v>381</v>
      </c>
    </row>
    <row r="35" spans="2:21">
      <c r="B35" t="s">
        <v>380</v>
      </c>
      <c r="D35" s="400"/>
      <c r="E35" s="400"/>
      <c r="F35" s="400"/>
      <c r="G35" s="400"/>
      <c r="H35" s="400"/>
      <c r="I35" s="400"/>
      <c r="J35" s="400"/>
      <c r="K35" s="400"/>
      <c r="L35" s="400"/>
      <c r="M35" s="400"/>
      <c r="N35" s="400"/>
      <c r="O35" s="400"/>
      <c r="P35" s="400"/>
      <c r="Q35" s="400"/>
      <c r="R35" s="400"/>
      <c r="S35" s="400"/>
      <c r="T35" s="400"/>
      <c r="U35" s="356"/>
    </row>
    <row r="36" spans="2:21">
      <c r="B36" t="s">
        <v>379</v>
      </c>
      <c r="D36" s="409">
        <f t="shared" ref="D36:U36" si="12">1/(2+D35)</f>
        <v>0.5</v>
      </c>
      <c r="E36" s="409">
        <f t="shared" si="12"/>
        <v>0.5</v>
      </c>
      <c r="F36" s="409">
        <f t="shared" si="12"/>
        <v>0.5</v>
      </c>
      <c r="G36" s="409">
        <f t="shared" si="12"/>
        <v>0.5</v>
      </c>
      <c r="H36" s="409">
        <f t="shared" si="12"/>
        <v>0.5</v>
      </c>
      <c r="I36" s="409">
        <f t="shared" si="12"/>
        <v>0.5</v>
      </c>
      <c r="J36" s="409">
        <f t="shared" si="12"/>
        <v>0.5</v>
      </c>
      <c r="K36" s="409">
        <f t="shared" si="12"/>
        <v>0.5</v>
      </c>
      <c r="L36" s="409">
        <f t="shared" si="12"/>
        <v>0.5</v>
      </c>
      <c r="M36" s="409">
        <f t="shared" si="12"/>
        <v>0.5</v>
      </c>
      <c r="N36" s="409">
        <f t="shared" si="12"/>
        <v>0.5</v>
      </c>
      <c r="O36" s="409">
        <f t="shared" si="12"/>
        <v>0.5</v>
      </c>
      <c r="P36" s="409">
        <f t="shared" si="12"/>
        <v>0.5</v>
      </c>
      <c r="Q36" s="409">
        <f t="shared" si="12"/>
        <v>0.5</v>
      </c>
      <c r="R36" s="409">
        <f t="shared" si="12"/>
        <v>0.5</v>
      </c>
      <c r="S36" s="409">
        <f t="shared" si="12"/>
        <v>0.5</v>
      </c>
      <c r="T36" s="409">
        <f t="shared" si="12"/>
        <v>0.5</v>
      </c>
      <c r="U36" s="409">
        <f t="shared" si="12"/>
        <v>0.5</v>
      </c>
    </row>
    <row r="37" spans="2:21" ht="14.65" thickBot="1">
      <c r="B37" s="344" t="s">
        <v>378</v>
      </c>
      <c r="C37" s="344"/>
      <c r="D37" s="410">
        <f t="shared" ref="D37:U37" si="13">1+D36*D35</f>
        <v>1</v>
      </c>
      <c r="E37" s="410">
        <f t="shared" si="13"/>
        <v>1</v>
      </c>
      <c r="F37" s="410">
        <f t="shared" si="13"/>
        <v>1</v>
      </c>
      <c r="G37" s="410">
        <f t="shared" si="13"/>
        <v>1</v>
      </c>
      <c r="H37" s="410">
        <f t="shared" si="13"/>
        <v>1</v>
      </c>
      <c r="I37" s="410">
        <f t="shared" si="13"/>
        <v>1</v>
      </c>
      <c r="J37" s="410">
        <f t="shared" si="13"/>
        <v>1</v>
      </c>
      <c r="K37" s="410">
        <f t="shared" si="13"/>
        <v>1</v>
      </c>
      <c r="L37" s="410">
        <f t="shared" si="13"/>
        <v>1</v>
      </c>
      <c r="M37" s="410">
        <f t="shared" si="13"/>
        <v>1</v>
      </c>
      <c r="N37" s="410">
        <f t="shared" si="13"/>
        <v>1</v>
      </c>
      <c r="O37" s="410">
        <f t="shared" si="13"/>
        <v>1</v>
      </c>
      <c r="P37" s="410">
        <f t="shared" si="13"/>
        <v>1</v>
      </c>
      <c r="Q37" s="410">
        <f t="shared" si="13"/>
        <v>1</v>
      </c>
      <c r="R37" s="410">
        <f t="shared" si="13"/>
        <v>1</v>
      </c>
      <c r="S37" s="410">
        <f t="shared" si="13"/>
        <v>1</v>
      </c>
      <c r="T37" s="410">
        <f t="shared" si="13"/>
        <v>1</v>
      </c>
      <c r="U37" s="410">
        <f t="shared" si="13"/>
        <v>1</v>
      </c>
    </row>
    <row r="43" spans="2:21">
      <c r="B43" s="338" t="s">
        <v>377</v>
      </c>
    </row>
    <row r="44" spans="2:21" s="354" customFormat="1" ht="42.5" customHeight="1">
      <c r="D44" s="429">
        <f t="shared" ref="D44:U44" si="14">IF(D9&gt;rr_num,0,IF(D9=rr_num,1+D35,(1+D35)*E44))</f>
        <v>1</v>
      </c>
      <c r="E44" s="429">
        <f t="shared" si="14"/>
        <v>1</v>
      </c>
      <c r="F44" s="429">
        <f t="shared" si="14"/>
        <v>1</v>
      </c>
      <c r="G44" s="429">
        <f t="shared" si="14"/>
        <v>1</v>
      </c>
      <c r="H44" s="429">
        <f t="shared" si="14"/>
        <v>1</v>
      </c>
      <c r="I44" s="429">
        <f t="shared" si="14"/>
        <v>1</v>
      </c>
      <c r="J44" s="429">
        <f t="shared" si="14"/>
        <v>1</v>
      </c>
      <c r="K44" s="429">
        <f t="shared" si="14"/>
        <v>1</v>
      </c>
      <c r="L44" s="429">
        <f t="shared" si="14"/>
        <v>1</v>
      </c>
      <c r="M44" s="429">
        <f t="shared" si="14"/>
        <v>1</v>
      </c>
      <c r="N44" s="429">
        <f t="shared" si="14"/>
        <v>1</v>
      </c>
      <c r="O44" s="429">
        <f t="shared" si="14"/>
        <v>1</v>
      </c>
      <c r="P44" s="429">
        <f t="shared" si="14"/>
        <v>1</v>
      </c>
      <c r="Q44" s="429">
        <f t="shared" si="14"/>
        <v>1</v>
      </c>
      <c r="R44" s="429">
        <f t="shared" si="14"/>
        <v>1</v>
      </c>
      <c r="S44" s="429">
        <f t="shared" si="14"/>
        <v>1</v>
      </c>
      <c r="T44" s="429">
        <f t="shared" si="14"/>
        <v>1</v>
      </c>
      <c r="U44" s="429">
        <f t="shared" si="14"/>
        <v>0</v>
      </c>
    </row>
    <row r="45" spans="2:21" s="354" customFormat="1">
      <c r="B45"/>
      <c r="D45" s="355"/>
      <c r="E45" s="355"/>
      <c r="F45" s="355"/>
      <c r="G45" s="355"/>
      <c r="H45" s="355"/>
      <c r="I45" s="353"/>
      <c r="J45" s="355"/>
      <c r="K45" s="355"/>
      <c r="L45" s="355"/>
      <c r="M45" s="355"/>
      <c r="N45" s="355"/>
      <c r="O45" s="355"/>
      <c r="P45" s="355"/>
      <c r="Q45" s="355"/>
      <c r="R45" s="355"/>
      <c r="S45" s="355"/>
      <c r="T45" s="355"/>
      <c r="U45" s="355"/>
    </row>
    <row r="46" spans="2:21">
      <c r="B46" s="338" t="s">
        <v>376</v>
      </c>
    </row>
    <row r="47" spans="2:21">
      <c r="B47" t="s">
        <v>375</v>
      </c>
      <c r="C47" s="401"/>
    </row>
    <row r="48" spans="2:21">
      <c r="B48" t="s">
        <v>374</v>
      </c>
      <c r="C48" s="401">
        <f t="array" ref="C48">-SUM(D12:U12*D20:U20*D44:U44*(1-D29:U29)/D37:U37)/C32</f>
        <v>0</v>
      </c>
    </row>
    <row r="49" spans="2:21" ht="14.65" thickBot="1">
      <c r="B49" s="386" t="s">
        <v>373</v>
      </c>
      <c r="C49" s="426">
        <f>SUM(C47:C48)</f>
        <v>0</v>
      </c>
    </row>
    <row r="50" spans="2:21" s="354" customFormat="1">
      <c r="B50"/>
      <c r="D50" s="355"/>
      <c r="E50" s="355"/>
      <c r="F50" s="355"/>
      <c r="G50" s="355"/>
      <c r="H50" s="355"/>
      <c r="I50" s="353"/>
      <c r="J50" s="355"/>
      <c r="K50" s="355"/>
      <c r="L50" s="355"/>
      <c r="M50" s="355"/>
      <c r="N50" s="355"/>
      <c r="O50" s="355"/>
      <c r="P50" s="355"/>
      <c r="Q50" s="355"/>
      <c r="R50" s="355"/>
      <c r="S50" s="355"/>
      <c r="T50" s="355"/>
      <c r="U50" s="355"/>
    </row>
    <row r="51" spans="2:21" s="354" customFormat="1" ht="21">
      <c r="B51" s="352" t="s">
        <v>372</v>
      </c>
      <c r="C51" s="351">
        <f>C49</f>
        <v>0</v>
      </c>
      <c r="D51" s="355"/>
      <c r="E51" s="355"/>
      <c r="F51" s="355"/>
      <c r="G51" s="355"/>
      <c r="H51" s="355"/>
      <c r="I51" s="355"/>
      <c r="J51" s="355"/>
      <c r="K51" s="355"/>
      <c r="L51" s="355"/>
      <c r="M51" s="355"/>
      <c r="N51" s="355"/>
      <c r="O51" s="355"/>
      <c r="P51" s="355"/>
      <c r="Q51" s="355"/>
      <c r="R51" s="355"/>
      <c r="S51" s="355"/>
      <c r="T51" s="355"/>
      <c r="U51" s="355"/>
    </row>
    <row r="52" spans="2:21" s="354" customFormat="1">
      <c r="B52"/>
      <c r="D52" s="355"/>
      <c r="E52" s="355"/>
      <c r="F52" s="355"/>
      <c r="G52" s="355"/>
      <c r="H52" s="355"/>
      <c r="I52" s="355"/>
      <c r="J52" s="355"/>
      <c r="K52" s="355"/>
      <c r="L52" s="355"/>
      <c r="M52" s="355"/>
      <c r="N52" s="355"/>
      <c r="O52" s="355"/>
      <c r="P52" s="355"/>
      <c r="Q52" s="355"/>
      <c r="R52" s="355"/>
      <c r="S52" s="355"/>
      <c r="T52" s="355"/>
      <c r="U52" s="355"/>
    </row>
    <row r="53" spans="2:21" ht="36.5" customHeight="1">
      <c r="D53" s="411">
        <f t="shared" ref="D53:U53" si="15">IF(D12=1,D24*(1-D29)/(D37*$C$32),0)</f>
        <v>0</v>
      </c>
      <c r="E53" s="411">
        <f t="shared" si="15"/>
        <v>0</v>
      </c>
      <c r="F53" s="411">
        <f t="shared" si="15"/>
        <v>0</v>
      </c>
      <c r="G53" s="411">
        <f t="shared" si="15"/>
        <v>0</v>
      </c>
      <c r="H53" s="411">
        <f t="shared" si="15"/>
        <v>0</v>
      </c>
      <c r="I53" s="411">
        <f t="shared" si="15"/>
        <v>0</v>
      </c>
      <c r="J53" s="411">
        <f t="shared" si="15"/>
        <v>0</v>
      </c>
      <c r="K53" s="411">
        <f t="shared" si="15"/>
        <v>0</v>
      </c>
      <c r="L53" s="411">
        <f t="shared" si="15"/>
        <v>0</v>
      </c>
      <c r="M53" s="411">
        <f t="shared" si="15"/>
        <v>0</v>
      </c>
      <c r="N53" s="411">
        <f t="shared" si="15"/>
        <v>0</v>
      </c>
      <c r="O53" s="411">
        <f t="shared" si="15"/>
        <v>0</v>
      </c>
      <c r="P53" s="411">
        <f t="shared" si="15"/>
        <v>0</v>
      </c>
      <c r="Q53" s="411">
        <f t="shared" si="15"/>
        <v>0</v>
      </c>
      <c r="R53" s="411">
        <f t="shared" si="15"/>
        <v>0</v>
      </c>
      <c r="S53" s="411">
        <f t="shared" si="15"/>
        <v>0</v>
      </c>
      <c r="T53" s="411">
        <f t="shared" si="15"/>
        <v>0</v>
      </c>
      <c r="U53" s="411">
        <f t="shared" si="15"/>
        <v>0</v>
      </c>
    </row>
    <row r="54" spans="2:21" ht="48.5" customHeight="1">
      <c r="D54" s="411">
        <f t="shared" ref="D54:U54" si="16">IF(D12=1,D53*D44,0)</f>
        <v>0</v>
      </c>
      <c r="E54" s="411">
        <f t="shared" si="16"/>
        <v>0</v>
      </c>
      <c r="F54" s="411">
        <f t="shared" si="16"/>
        <v>0</v>
      </c>
      <c r="G54" s="411">
        <f t="shared" si="16"/>
        <v>0</v>
      </c>
      <c r="H54" s="411">
        <f t="shared" si="16"/>
        <v>0</v>
      </c>
      <c r="I54" s="411">
        <f t="shared" si="16"/>
        <v>0</v>
      </c>
      <c r="J54" s="411">
        <f t="shared" si="16"/>
        <v>0</v>
      </c>
      <c r="K54" s="411">
        <f t="shared" si="16"/>
        <v>0</v>
      </c>
      <c r="L54" s="411">
        <f t="shared" si="16"/>
        <v>0</v>
      </c>
      <c r="M54" s="411">
        <f t="shared" si="16"/>
        <v>0</v>
      </c>
      <c r="N54" s="411">
        <f t="shared" si="16"/>
        <v>0</v>
      </c>
      <c r="O54" s="411">
        <f t="shared" si="16"/>
        <v>0</v>
      </c>
      <c r="P54" s="411">
        <f t="shared" si="16"/>
        <v>0</v>
      </c>
      <c r="Q54" s="411">
        <f t="shared" si="16"/>
        <v>0</v>
      </c>
      <c r="R54" s="411">
        <f t="shared" si="16"/>
        <v>0</v>
      </c>
      <c r="S54" s="411">
        <f t="shared" si="16"/>
        <v>0</v>
      </c>
      <c r="T54" s="411">
        <f t="shared" si="16"/>
        <v>0</v>
      </c>
      <c r="U54" s="411">
        <f t="shared" si="16"/>
        <v>0</v>
      </c>
    </row>
    <row r="56" spans="2:21" ht="21">
      <c r="B56" s="352" t="s">
        <v>371</v>
      </c>
      <c r="C56" s="351">
        <f>SUM(D54:U54)</f>
        <v>0</v>
      </c>
    </row>
    <row r="58" spans="2:21" ht="35" customHeight="1">
      <c r="D58" s="411">
        <f t="shared" ref="D58:U58" si="17">IF(D13=1,D18*(1-D29)/(D37*$C$32),0)</f>
        <v>0</v>
      </c>
      <c r="E58" s="411">
        <f t="shared" si="17"/>
        <v>0</v>
      </c>
      <c r="F58" s="411">
        <f t="shared" si="17"/>
        <v>0</v>
      </c>
      <c r="G58" s="411">
        <f t="shared" si="17"/>
        <v>0</v>
      </c>
      <c r="H58" s="411">
        <f t="shared" si="17"/>
        <v>0</v>
      </c>
      <c r="I58" s="411">
        <f t="shared" si="17"/>
        <v>0</v>
      </c>
      <c r="J58" s="411">
        <f t="shared" si="17"/>
        <v>0</v>
      </c>
      <c r="K58" s="411">
        <f t="shared" si="17"/>
        <v>0</v>
      </c>
      <c r="L58" s="411">
        <f t="shared" si="17"/>
        <v>0</v>
      </c>
      <c r="M58" s="411">
        <f t="shared" si="17"/>
        <v>0</v>
      </c>
      <c r="N58" s="411">
        <f t="shared" si="17"/>
        <v>0</v>
      </c>
      <c r="O58" s="411">
        <f t="shared" si="17"/>
        <v>0</v>
      </c>
      <c r="P58" s="411">
        <f t="shared" si="17"/>
        <v>0</v>
      </c>
      <c r="Q58" s="411">
        <f t="shared" si="17"/>
        <v>0</v>
      </c>
      <c r="R58" s="411">
        <f t="shared" si="17"/>
        <v>0</v>
      </c>
      <c r="S58" s="411">
        <f t="shared" si="17"/>
        <v>0</v>
      </c>
      <c r="T58" s="411">
        <f t="shared" si="17"/>
        <v>0</v>
      </c>
      <c r="U58" s="411">
        <f t="shared" si="17"/>
        <v>0</v>
      </c>
    </row>
    <row r="59" spans="2:21" ht="48.5" customHeight="1">
      <c r="D59" s="411">
        <f t="shared" ref="D59:U59" si="18">IF(D13=1,-D58*D44,0)</f>
        <v>0</v>
      </c>
      <c r="E59" s="411">
        <f t="shared" si="18"/>
        <v>0</v>
      </c>
      <c r="F59" s="411">
        <f t="shared" si="18"/>
        <v>0</v>
      </c>
      <c r="G59" s="411">
        <f t="shared" si="18"/>
        <v>0</v>
      </c>
      <c r="H59" s="411">
        <f t="shared" si="18"/>
        <v>0</v>
      </c>
      <c r="I59" s="411">
        <f t="shared" si="18"/>
        <v>0</v>
      </c>
      <c r="J59" s="411">
        <f t="shared" si="18"/>
        <v>0</v>
      </c>
      <c r="K59" s="411">
        <f t="shared" si="18"/>
        <v>0</v>
      </c>
      <c r="L59" s="411">
        <f t="shared" si="18"/>
        <v>0</v>
      </c>
      <c r="M59" s="411">
        <f t="shared" si="18"/>
        <v>0</v>
      </c>
      <c r="N59" s="411">
        <f t="shared" si="18"/>
        <v>0</v>
      </c>
      <c r="O59" s="411">
        <f t="shared" si="18"/>
        <v>0</v>
      </c>
      <c r="P59" s="411">
        <f t="shared" si="18"/>
        <v>0</v>
      </c>
      <c r="Q59" s="411">
        <f t="shared" si="18"/>
        <v>0</v>
      </c>
      <c r="R59" s="411">
        <f t="shared" si="18"/>
        <v>0</v>
      </c>
      <c r="S59" s="411">
        <f t="shared" si="18"/>
        <v>0</v>
      </c>
      <c r="T59" s="411">
        <f t="shared" si="18"/>
        <v>0</v>
      </c>
      <c r="U59" s="411">
        <f t="shared" si="18"/>
        <v>0</v>
      </c>
    </row>
    <row r="61" spans="2:21" ht="21">
      <c r="B61" s="352" t="s">
        <v>370</v>
      </c>
      <c r="C61" s="412">
        <f>SUM(D59:U59)</f>
        <v>0</v>
      </c>
    </row>
    <row r="63" spans="2:21" ht="21.4" thickBot="1">
      <c r="B63" s="350" t="s">
        <v>369</v>
      </c>
      <c r="C63" s="413">
        <f>C51+C56+C61</f>
        <v>0</v>
      </c>
    </row>
    <row r="67" spans="1:22" ht="21">
      <c r="A67" s="329" t="s">
        <v>368</v>
      </c>
      <c r="B67" s="328"/>
      <c r="C67" s="328"/>
    </row>
    <row r="69" spans="1:22">
      <c r="B69" t="s">
        <v>367</v>
      </c>
      <c r="D69" s="349"/>
      <c r="E69" s="349"/>
      <c r="F69" s="349"/>
      <c r="G69" s="349"/>
      <c r="H69" s="349"/>
      <c r="I69" s="349"/>
      <c r="J69" s="349"/>
      <c r="K69" s="349"/>
      <c r="L69" s="420"/>
      <c r="M69" s="420"/>
      <c r="N69" s="420"/>
      <c r="O69" s="420"/>
      <c r="P69" s="420"/>
      <c r="Q69" s="420"/>
      <c r="R69" s="420"/>
      <c r="S69" s="420"/>
      <c r="T69" s="420"/>
      <c r="U69" s="420"/>
    </row>
    <row r="70" spans="1:22">
      <c r="B70" t="s">
        <v>366</v>
      </c>
      <c r="D70" s="409">
        <f t="shared" ref="D70:U70" si="19">1/(2+D69)</f>
        <v>0.5</v>
      </c>
      <c r="E70" s="409">
        <f t="shared" si="19"/>
        <v>0.5</v>
      </c>
      <c r="F70" s="409">
        <f t="shared" si="19"/>
        <v>0.5</v>
      </c>
      <c r="G70" s="409">
        <f t="shared" si="19"/>
        <v>0.5</v>
      </c>
      <c r="H70" s="409">
        <f t="shared" si="19"/>
        <v>0.5</v>
      </c>
      <c r="I70" s="409">
        <f t="shared" si="19"/>
        <v>0.5</v>
      </c>
      <c r="J70" s="409">
        <f t="shared" si="19"/>
        <v>0.5</v>
      </c>
      <c r="K70" s="409">
        <f t="shared" si="19"/>
        <v>0.5</v>
      </c>
      <c r="L70" s="409">
        <f t="shared" si="19"/>
        <v>0.5</v>
      </c>
      <c r="M70" s="409">
        <f t="shared" si="19"/>
        <v>0.5</v>
      </c>
      <c r="N70" s="409">
        <f t="shared" si="19"/>
        <v>0.5</v>
      </c>
      <c r="O70" s="409">
        <f t="shared" si="19"/>
        <v>0.5</v>
      </c>
      <c r="P70" s="409">
        <f t="shared" si="19"/>
        <v>0.5</v>
      </c>
      <c r="Q70" s="409">
        <f t="shared" si="19"/>
        <v>0.5</v>
      </c>
      <c r="R70" s="409">
        <f t="shared" si="19"/>
        <v>0.5</v>
      </c>
      <c r="S70" s="409">
        <f t="shared" si="19"/>
        <v>0.5</v>
      </c>
      <c r="T70" s="409">
        <f t="shared" si="19"/>
        <v>0.5</v>
      </c>
      <c r="U70" s="409">
        <f t="shared" si="19"/>
        <v>0.5</v>
      </c>
    </row>
    <row r="71" spans="1:22" ht="42.75" customHeight="1">
      <c r="D71" s="432">
        <f t="shared" ref="D71:U71" si="20">IF(D9=rr_num+1,1/(1+D69),IF(D9&lt;=rr_num,0,C71/(1+D69)))</f>
        <v>0</v>
      </c>
      <c r="E71" s="432">
        <f t="shared" si="20"/>
        <v>0</v>
      </c>
      <c r="F71" s="432">
        <f t="shared" si="20"/>
        <v>0</v>
      </c>
      <c r="G71" s="432">
        <f t="shared" si="20"/>
        <v>0</v>
      </c>
      <c r="H71" s="432">
        <f t="shared" si="20"/>
        <v>0</v>
      </c>
      <c r="I71" s="432">
        <f t="shared" si="20"/>
        <v>0</v>
      </c>
      <c r="J71" s="432">
        <f t="shared" si="20"/>
        <v>0</v>
      </c>
      <c r="K71" s="432">
        <f t="shared" si="20"/>
        <v>0</v>
      </c>
      <c r="L71" s="432">
        <f t="shared" si="20"/>
        <v>0</v>
      </c>
      <c r="M71" s="432">
        <f t="shared" si="20"/>
        <v>0</v>
      </c>
      <c r="N71" s="432">
        <f t="shared" si="20"/>
        <v>0</v>
      </c>
      <c r="O71" s="432">
        <f t="shared" si="20"/>
        <v>0</v>
      </c>
      <c r="P71" s="432">
        <f t="shared" si="20"/>
        <v>0</v>
      </c>
      <c r="Q71" s="432">
        <f t="shared" si="20"/>
        <v>0</v>
      </c>
      <c r="R71" s="432">
        <f t="shared" si="20"/>
        <v>0</v>
      </c>
      <c r="S71" s="432">
        <f t="shared" si="20"/>
        <v>0</v>
      </c>
      <c r="T71" s="432">
        <f t="shared" si="20"/>
        <v>0</v>
      </c>
      <c r="U71" s="432">
        <f t="shared" si="20"/>
        <v>1</v>
      </c>
    </row>
    <row r="72" spans="1:22" ht="42.75" customHeight="1">
      <c r="D72" s="414">
        <f t="shared" ref="D72:U72" si="21">(1+D70*D69)*D71</f>
        <v>0</v>
      </c>
      <c r="E72" s="414">
        <f t="shared" si="21"/>
        <v>0</v>
      </c>
      <c r="F72" s="414">
        <f t="shared" si="21"/>
        <v>0</v>
      </c>
      <c r="G72" s="414">
        <f t="shared" si="21"/>
        <v>0</v>
      </c>
      <c r="H72" s="414">
        <f t="shared" si="21"/>
        <v>0</v>
      </c>
      <c r="I72" s="414">
        <f t="shared" si="21"/>
        <v>0</v>
      </c>
      <c r="J72" s="414">
        <f t="shared" si="21"/>
        <v>0</v>
      </c>
      <c r="K72" s="414">
        <f t="shared" si="21"/>
        <v>0</v>
      </c>
      <c r="L72" s="414">
        <f t="shared" si="21"/>
        <v>0</v>
      </c>
      <c r="M72" s="414">
        <f t="shared" si="21"/>
        <v>0</v>
      </c>
      <c r="N72" s="414">
        <f t="shared" si="21"/>
        <v>0</v>
      </c>
      <c r="O72" s="414">
        <f t="shared" si="21"/>
        <v>0</v>
      </c>
      <c r="P72" s="414">
        <f t="shared" si="21"/>
        <v>0</v>
      </c>
      <c r="Q72" s="414">
        <f t="shared" si="21"/>
        <v>0</v>
      </c>
      <c r="R72" s="414">
        <f t="shared" si="21"/>
        <v>0</v>
      </c>
      <c r="S72" s="414">
        <f t="shared" si="21"/>
        <v>0</v>
      </c>
      <c r="T72" s="414">
        <f t="shared" si="21"/>
        <v>0</v>
      </c>
      <c r="U72" s="414">
        <f t="shared" si="21"/>
        <v>1</v>
      </c>
    </row>
    <row r="73" spans="1:22" s="346" customFormat="1" ht="22.5" customHeight="1">
      <c r="B73" s="346" t="s">
        <v>365</v>
      </c>
      <c r="D73" s="347"/>
      <c r="E73" s="347"/>
      <c r="F73" s="347"/>
      <c r="G73" s="347"/>
      <c r="H73" s="347"/>
      <c r="I73" s="347"/>
      <c r="J73" s="347"/>
      <c r="K73" s="347"/>
      <c r="L73" s="421"/>
      <c r="M73" s="421"/>
      <c r="N73" s="421"/>
      <c r="O73" s="421"/>
      <c r="P73" s="421"/>
      <c r="Q73" s="421"/>
      <c r="R73" s="421"/>
      <c r="S73" s="421"/>
      <c r="T73" s="421"/>
      <c r="U73" s="421">
        <f t="array" ref="U73">(C87-SUM(D73:T73*D72:T72))/U72</f>
        <v>0</v>
      </c>
      <c r="V73" s="472" t="s">
        <v>364</v>
      </c>
    </row>
    <row r="74" spans="1:22" ht="14.65" thickBot="1">
      <c r="B74" t="s">
        <v>363</v>
      </c>
      <c r="D74" s="345">
        <f t="shared" ref="D74:U74" si="22">D73*D72</f>
        <v>0</v>
      </c>
      <c r="E74" s="345">
        <f t="shared" si="22"/>
        <v>0</v>
      </c>
      <c r="F74" s="345">
        <f t="shared" si="22"/>
        <v>0</v>
      </c>
      <c r="G74" s="345">
        <f t="shared" si="22"/>
        <v>0</v>
      </c>
      <c r="H74" s="345">
        <f t="shared" si="22"/>
        <v>0</v>
      </c>
      <c r="I74" s="345">
        <f t="shared" si="22"/>
        <v>0</v>
      </c>
      <c r="J74" s="345">
        <f t="shared" si="22"/>
        <v>0</v>
      </c>
      <c r="K74" s="345">
        <f t="shared" si="22"/>
        <v>0</v>
      </c>
      <c r="L74" s="345">
        <f t="shared" si="22"/>
        <v>0</v>
      </c>
      <c r="M74" s="345">
        <f t="shared" si="22"/>
        <v>0</v>
      </c>
      <c r="N74" s="345">
        <f t="shared" si="22"/>
        <v>0</v>
      </c>
      <c r="O74" s="345">
        <f t="shared" si="22"/>
        <v>0</v>
      </c>
      <c r="P74" s="345">
        <f t="shared" si="22"/>
        <v>0</v>
      </c>
      <c r="Q74" s="345">
        <f t="shared" si="22"/>
        <v>0</v>
      </c>
      <c r="R74" s="345">
        <f t="shared" si="22"/>
        <v>0</v>
      </c>
      <c r="S74" s="345">
        <f t="shared" si="22"/>
        <v>0</v>
      </c>
      <c r="T74" s="345">
        <f t="shared" si="22"/>
        <v>0</v>
      </c>
      <c r="U74" s="345">
        <f t="shared" si="22"/>
        <v>0</v>
      </c>
      <c r="V74" s="472"/>
    </row>
    <row r="75" spans="1:22" ht="14.65" thickBot="1">
      <c r="B75" s="344" t="s">
        <v>362</v>
      </c>
      <c r="C75" s="417">
        <f>SUM(D74:U74)</f>
        <v>0</v>
      </c>
      <c r="D75" s="332"/>
      <c r="E75" s="332"/>
      <c r="F75" s="332"/>
      <c r="G75" s="332"/>
      <c r="H75" s="332"/>
      <c r="I75" s="332"/>
      <c r="J75" s="332"/>
      <c r="K75" s="332"/>
      <c r="L75" s="332"/>
      <c r="M75" s="332"/>
      <c r="N75" s="332"/>
      <c r="O75" s="332"/>
      <c r="P75" s="332"/>
      <c r="Q75" s="332"/>
      <c r="R75" s="332"/>
      <c r="S75" s="332"/>
      <c r="T75" s="332"/>
      <c r="U75" s="332"/>
      <c r="V75" s="472"/>
    </row>
    <row r="76" spans="1:22">
      <c r="B76" s="4"/>
      <c r="C76" s="343"/>
      <c r="D76" s="332"/>
      <c r="E76" s="332"/>
      <c r="F76" s="332"/>
      <c r="G76" s="332"/>
      <c r="H76" s="332"/>
      <c r="I76" s="332"/>
      <c r="J76" s="332"/>
      <c r="K76" s="332"/>
      <c r="L76" s="332"/>
      <c r="M76" s="332"/>
      <c r="N76" s="332"/>
      <c r="O76" s="332"/>
      <c r="P76" s="332"/>
      <c r="Q76" s="332"/>
      <c r="R76" s="332"/>
      <c r="S76" s="332"/>
      <c r="T76" s="332"/>
      <c r="U76" s="332"/>
      <c r="V76" s="472"/>
    </row>
    <row r="77" spans="1:22" s="341" customFormat="1">
      <c r="B77" s="341" t="s">
        <v>361</v>
      </c>
      <c r="C77" s="342"/>
      <c r="D77" s="431" t="e">
        <f>D73+INDEX('P2.6 IBAPA and PBAPA - L2'!9:9,MATCH(D10,'P2.6 IBAPA and PBAPA - L2'!4:4,0))</f>
        <v>#N/A</v>
      </c>
      <c r="E77" s="431" t="e">
        <f>E73+INDEX('P2.6 IBAPA and PBAPA - L2'!9:9,MATCH(E10,'P2.6 IBAPA and PBAPA - L2'!4:4,0))</f>
        <v>#N/A</v>
      </c>
      <c r="F77" s="431" t="e">
        <f>F73+INDEX('P2.6 IBAPA and PBAPA - L2'!9:9,MATCH(F10,'P2.6 IBAPA and PBAPA - L2'!4:4,0))</f>
        <v>#N/A</v>
      </c>
      <c r="G77" s="431" t="e">
        <f>G73+INDEX('P2.6 IBAPA and PBAPA - L2'!9:9,MATCH(G10,'P2.6 IBAPA and PBAPA - L2'!4:4,0))</f>
        <v>#N/A</v>
      </c>
      <c r="H77" s="431" t="e">
        <f>H73+INDEX('P2.6 IBAPA and PBAPA - L2'!9:9,MATCH(H10,'P2.6 IBAPA and PBAPA - L2'!4:4,0))</f>
        <v>#N/A</v>
      </c>
      <c r="I77" s="431" t="e">
        <f>I73+INDEX('P2.6 IBAPA and PBAPA - L2'!9:9,MATCH(I10,'P2.6 IBAPA and PBAPA - L2'!4:4,0))</f>
        <v>#N/A</v>
      </c>
      <c r="J77" s="431" t="e">
        <f>J73+INDEX('P2.6 IBAPA and PBAPA - L2'!9:9,MATCH(J10,'P2.6 IBAPA and PBAPA - L2'!4:4,0))</f>
        <v>#N/A</v>
      </c>
      <c r="K77" s="431" t="e">
        <f>K73+INDEX('P2.6 IBAPA and PBAPA - L2'!9:9,MATCH(K10,'P2.6 IBAPA and PBAPA - L2'!4:4,0))</f>
        <v>#N/A</v>
      </c>
      <c r="L77" s="431" t="e">
        <f>L73+INDEX('P2.6 IBAPA and PBAPA - L2'!9:9,MATCH(L10,'P2.6 IBAPA and PBAPA - L2'!4:4,0))</f>
        <v>#N/A</v>
      </c>
      <c r="M77" s="431" t="e">
        <f>M73+INDEX('P2.6 IBAPA and PBAPA - L2'!9:9,MATCH(M10,'P2.6 IBAPA and PBAPA - L2'!4:4,0))</f>
        <v>#N/A</v>
      </c>
      <c r="N77" s="431" t="e">
        <f>N73+INDEX('P2.6 IBAPA and PBAPA - L2'!9:9,MATCH(N10,'P2.6 IBAPA and PBAPA - L2'!4:4,0))</f>
        <v>#N/A</v>
      </c>
      <c r="O77" s="431" t="e">
        <f>O73+INDEX('P2.6 IBAPA and PBAPA - L2'!9:9,MATCH(O10,'P2.6 IBAPA and PBAPA - L2'!4:4,0))</f>
        <v>#N/A</v>
      </c>
      <c r="P77" s="431" t="e">
        <f>P73+INDEX('P2.6 IBAPA and PBAPA - L2'!9:9,MATCH(P10,'P2.6 IBAPA and PBAPA - L2'!4:4,0))</f>
        <v>#N/A</v>
      </c>
      <c r="Q77" s="431" t="e">
        <f>Q73+INDEX('P2.6 IBAPA and PBAPA - L2'!9:9,MATCH(Q10,'P2.6 IBAPA and PBAPA - L2'!4:4,0))</f>
        <v>#N/A</v>
      </c>
      <c r="R77" s="431" t="e">
        <f>R73+INDEX('P2.6 IBAPA and PBAPA - L2'!9:9,MATCH(R10,'P2.6 IBAPA and PBAPA - L2'!4:4,0))</f>
        <v>#N/A</v>
      </c>
      <c r="S77" s="431">
        <f ca="1">S73+INDEX('P2.6 IBAPA and PBAPA - L2'!9:9,MATCH(S10,'P2.6 IBAPA and PBAPA - L2'!4:4,0))</f>
        <v>0</v>
      </c>
      <c r="T77" s="431">
        <f ca="1">T73+INDEX('P2.6 IBAPA and PBAPA - L2'!9:9,MATCH(T10,'P2.6 IBAPA and PBAPA - L2'!4:4,0))</f>
        <v>0</v>
      </c>
      <c r="U77" s="431">
        <f>U73+INDEX('P2.6 IBAPA and PBAPA - L2'!9:9,MATCH(U10,'P2.6 IBAPA and PBAPA - L2'!4:4,0))</f>
        <v>0</v>
      </c>
      <c r="V77" s="472"/>
    </row>
    <row r="78" spans="1:22" s="338" customFormat="1">
      <c r="B78" s="338" t="s">
        <v>360</v>
      </c>
      <c r="C78" s="339"/>
      <c r="D78" s="340"/>
      <c r="E78" s="340"/>
      <c r="F78" s="340"/>
      <c r="G78" s="340"/>
      <c r="H78" s="340"/>
      <c r="I78" s="340"/>
      <c r="J78" s="340"/>
      <c r="K78" s="340"/>
      <c r="L78" s="340"/>
      <c r="M78" s="340"/>
      <c r="N78" s="340"/>
      <c r="O78" s="340"/>
      <c r="P78" s="340"/>
      <c r="Q78" s="340"/>
      <c r="R78" s="340"/>
      <c r="S78" s="340"/>
      <c r="T78" s="340"/>
      <c r="U78" s="340"/>
      <c r="V78" s="472"/>
    </row>
    <row r="79" spans="1:22" s="338" customFormat="1" ht="14.65" thickBot="1">
      <c r="B79" s="338" t="s">
        <v>359</v>
      </c>
      <c r="C79" s="339"/>
      <c r="D79" s="427" t="e">
        <f t="shared" ref="D79:U79" si="23">SUM(D77:D78)</f>
        <v>#N/A</v>
      </c>
      <c r="E79" s="427" t="e">
        <f t="shared" si="23"/>
        <v>#N/A</v>
      </c>
      <c r="F79" s="427" t="e">
        <f t="shared" si="23"/>
        <v>#N/A</v>
      </c>
      <c r="G79" s="427" t="e">
        <f t="shared" si="23"/>
        <v>#N/A</v>
      </c>
      <c r="H79" s="427" t="e">
        <f t="shared" si="23"/>
        <v>#N/A</v>
      </c>
      <c r="I79" s="427" t="e">
        <f t="shared" si="23"/>
        <v>#N/A</v>
      </c>
      <c r="J79" s="427" t="e">
        <f t="shared" si="23"/>
        <v>#N/A</v>
      </c>
      <c r="K79" s="427" t="e">
        <f t="shared" si="23"/>
        <v>#N/A</v>
      </c>
      <c r="L79" s="427" t="e">
        <f t="shared" si="23"/>
        <v>#N/A</v>
      </c>
      <c r="M79" s="427" t="e">
        <f t="shared" si="23"/>
        <v>#N/A</v>
      </c>
      <c r="N79" s="427" t="e">
        <f t="shared" si="23"/>
        <v>#N/A</v>
      </c>
      <c r="O79" s="427" t="e">
        <f t="shared" si="23"/>
        <v>#N/A</v>
      </c>
      <c r="P79" s="427" t="e">
        <f t="shared" si="23"/>
        <v>#N/A</v>
      </c>
      <c r="Q79" s="427" t="e">
        <f t="shared" si="23"/>
        <v>#N/A</v>
      </c>
      <c r="R79" s="427" t="e">
        <f t="shared" si="23"/>
        <v>#N/A</v>
      </c>
      <c r="S79" s="427">
        <f t="shared" ca="1" si="23"/>
        <v>0</v>
      </c>
      <c r="T79" s="427">
        <f t="shared" ca="1" si="23"/>
        <v>0</v>
      </c>
      <c r="U79" s="427">
        <f t="shared" si="23"/>
        <v>0</v>
      </c>
      <c r="V79" s="472"/>
    </row>
    <row r="80" spans="1:22">
      <c r="C80" s="337"/>
      <c r="D80" s="327"/>
      <c r="E80" s="327"/>
      <c r="F80" s="327"/>
      <c r="G80" s="327"/>
      <c r="H80" s="327"/>
      <c r="I80" s="327"/>
      <c r="J80" s="327"/>
      <c r="K80" s="327"/>
      <c r="L80" s="327"/>
      <c r="M80" s="327"/>
      <c r="N80" s="327"/>
      <c r="O80" s="327"/>
      <c r="P80" s="327"/>
      <c r="Q80" s="327"/>
      <c r="R80" s="327"/>
      <c r="S80" s="327"/>
      <c r="T80" s="327"/>
      <c r="U80" s="327"/>
      <c r="V80" s="472"/>
    </row>
    <row r="81" spans="1:22">
      <c r="B81" t="s">
        <v>358</v>
      </c>
      <c r="C81" s="335">
        <f>'P2.6 IBAPA and PBAPA - L2'!C16</f>
        <v>0</v>
      </c>
      <c r="D81" s="327"/>
      <c r="E81" s="327"/>
      <c r="F81" s="327"/>
      <c r="G81" s="327"/>
      <c r="H81" s="327"/>
      <c r="I81" s="327"/>
      <c r="J81" s="327"/>
      <c r="K81" s="327"/>
      <c r="L81" s="327"/>
      <c r="M81" s="327"/>
      <c r="N81" s="327"/>
      <c r="O81" s="327"/>
      <c r="P81" s="327"/>
      <c r="Q81" s="327"/>
      <c r="R81" s="327"/>
      <c r="S81" s="327"/>
      <c r="T81" s="327"/>
      <c r="U81" s="327"/>
      <c r="V81" s="387"/>
    </row>
    <row r="82" spans="1:22">
      <c r="B82" t="s">
        <v>357</v>
      </c>
      <c r="C82" s="430">
        <f>INDEX($D$44:$U$44,MATCH(rr_num-1,$D$9:$U$9,0))</f>
        <v>1</v>
      </c>
      <c r="D82" s="327"/>
      <c r="E82" s="327"/>
      <c r="F82" s="327"/>
      <c r="G82" s="327"/>
      <c r="H82" s="327"/>
      <c r="I82" s="327"/>
      <c r="J82" s="327"/>
      <c r="K82" s="327"/>
      <c r="L82" s="327"/>
      <c r="M82" s="327"/>
      <c r="N82" s="327"/>
      <c r="O82" s="327"/>
      <c r="P82" s="327"/>
      <c r="Q82" s="327"/>
      <c r="R82" s="327"/>
      <c r="S82" s="327"/>
      <c r="T82" s="327"/>
      <c r="U82" s="327"/>
      <c r="V82" s="387"/>
    </row>
    <row r="83" spans="1:22">
      <c r="B83" t="s">
        <v>356</v>
      </c>
      <c r="C83" s="415">
        <f>C81*C82</f>
        <v>0</v>
      </c>
      <c r="D83" s="327"/>
      <c r="E83" s="327"/>
      <c r="F83" s="327"/>
      <c r="G83" s="327"/>
      <c r="H83" s="327"/>
      <c r="I83" s="327"/>
      <c r="J83" s="327"/>
      <c r="K83" s="327"/>
      <c r="L83" s="327"/>
      <c r="M83" s="327"/>
      <c r="N83" s="327"/>
      <c r="O83" s="327"/>
      <c r="P83" s="327"/>
      <c r="Q83" s="327"/>
      <c r="R83" s="327"/>
      <c r="S83" s="327"/>
      <c r="T83" s="327"/>
      <c r="U83" s="327"/>
      <c r="V83" s="387"/>
    </row>
    <row r="84" spans="1:22">
      <c r="B84" t="s">
        <v>355</v>
      </c>
      <c r="C84" s="401"/>
      <c r="D84" s="327"/>
      <c r="E84" s="327"/>
      <c r="F84" s="327"/>
      <c r="G84" s="327"/>
      <c r="H84" s="327"/>
      <c r="I84" s="327"/>
      <c r="J84" s="327"/>
      <c r="K84" s="327"/>
      <c r="L84" s="327"/>
      <c r="M84" s="327"/>
      <c r="N84" s="327"/>
      <c r="O84" s="327"/>
      <c r="P84" s="327"/>
      <c r="Q84" s="327"/>
      <c r="R84" s="327"/>
      <c r="S84" s="327"/>
      <c r="T84" s="327"/>
      <c r="U84" s="327"/>
      <c r="V84" s="387"/>
    </row>
    <row r="85" spans="1:22">
      <c r="B85" t="s">
        <v>354</v>
      </c>
      <c r="C85" s="415">
        <f>C83+C84</f>
        <v>0</v>
      </c>
      <c r="D85" s="327"/>
      <c r="E85" s="327"/>
      <c r="F85" s="327"/>
      <c r="G85" s="327"/>
      <c r="H85" s="327"/>
      <c r="I85" s="327"/>
      <c r="J85" s="327"/>
      <c r="K85" s="327"/>
      <c r="L85" s="327"/>
      <c r="M85" s="327"/>
      <c r="N85" s="327"/>
      <c r="O85" s="327"/>
      <c r="P85" s="327"/>
      <c r="Q85" s="327"/>
      <c r="R85" s="327"/>
      <c r="S85" s="327"/>
      <c r="T85" s="327"/>
      <c r="U85" s="327"/>
    </row>
    <row r="86" spans="1:22">
      <c r="B86" t="s">
        <v>353</v>
      </c>
      <c r="C86" s="416">
        <f>C63</f>
        <v>0</v>
      </c>
      <c r="D86" s="327"/>
      <c r="E86" s="327"/>
      <c r="F86" s="327"/>
      <c r="G86" s="327"/>
      <c r="H86" s="327"/>
      <c r="I86" s="327"/>
      <c r="J86" s="327"/>
      <c r="K86" s="327"/>
      <c r="L86" s="327"/>
      <c r="M86" s="327"/>
      <c r="N86" s="327"/>
      <c r="O86" s="327"/>
      <c r="P86" s="327"/>
      <c r="Q86" s="327"/>
      <c r="R86" s="327"/>
      <c r="S86" s="327"/>
      <c r="T86" s="327"/>
      <c r="U86" s="327"/>
    </row>
    <row r="87" spans="1:22" ht="14.65" thickBot="1">
      <c r="B87" s="334" t="s">
        <v>352</v>
      </c>
      <c r="C87" s="417">
        <f>C85+C86</f>
        <v>0</v>
      </c>
      <c r="D87" s="327"/>
      <c r="E87" s="327"/>
      <c r="F87" s="327"/>
      <c r="G87" s="327"/>
      <c r="H87" s="327"/>
      <c r="I87" s="327"/>
      <c r="J87" s="327"/>
      <c r="K87" s="327"/>
      <c r="L87" s="327"/>
      <c r="M87" s="327"/>
      <c r="N87" s="327"/>
      <c r="O87" s="327"/>
      <c r="P87" s="327"/>
      <c r="Q87" s="327"/>
      <c r="R87" s="327"/>
      <c r="S87" s="327"/>
      <c r="T87" s="327"/>
      <c r="U87" s="327"/>
    </row>
    <row r="88" spans="1:22">
      <c r="B88" s="4"/>
      <c r="C88" s="332"/>
      <c r="D88" s="327"/>
      <c r="E88" s="327"/>
      <c r="F88" s="327"/>
      <c r="G88" s="327"/>
      <c r="H88" s="327"/>
      <c r="I88" s="327"/>
      <c r="J88" s="327"/>
      <c r="K88" s="327"/>
      <c r="L88" s="327"/>
      <c r="M88" s="327"/>
      <c r="N88" s="327"/>
      <c r="O88" s="327"/>
      <c r="P88" s="327"/>
      <c r="Q88" s="327"/>
      <c r="R88" s="327"/>
      <c r="S88" s="327"/>
      <c r="T88" s="327"/>
      <c r="U88" s="327"/>
    </row>
    <row r="89" spans="1:22">
      <c r="B89" s="4"/>
      <c r="C89" s="332"/>
      <c r="D89" s="327"/>
      <c r="E89" s="327"/>
      <c r="F89" s="327"/>
      <c r="G89" s="327"/>
      <c r="H89" s="327"/>
      <c r="I89" s="327"/>
      <c r="J89" s="327"/>
      <c r="K89" s="327"/>
      <c r="L89" s="327"/>
      <c r="M89" s="327"/>
      <c r="N89" s="327"/>
      <c r="O89" s="327"/>
      <c r="P89" s="327"/>
      <c r="Q89" s="327"/>
      <c r="R89" s="327"/>
      <c r="S89" s="327"/>
      <c r="T89" s="327"/>
      <c r="U89" s="327"/>
    </row>
    <row r="90" spans="1:22">
      <c r="B90" s="333" t="s">
        <v>351</v>
      </c>
      <c r="C90" s="332"/>
      <c r="D90" s="327"/>
      <c r="E90" s="327"/>
      <c r="F90" s="327"/>
      <c r="G90" s="327"/>
      <c r="H90" s="327"/>
      <c r="I90" s="327"/>
      <c r="J90" s="327"/>
      <c r="K90" s="327"/>
      <c r="L90" s="327"/>
      <c r="M90" s="327"/>
      <c r="N90" s="327"/>
      <c r="O90" s="327"/>
      <c r="P90" s="327"/>
      <c r="Q90" s="327"/>
      <c r="R90" s="327"/>
      <c r="S90" s="327"/>
      <c r="T90" s="327"/>
      <c r="U90" s="327"/>
    </row>
    <row r="91" spans="1:22" ht="21.4" thickBot="1">
      <c r="B91" s="331">
        <f>C75</f>
        <v>0</v>
      </c>
      <c r="C91" s="330">
        <f>C87</f>
        <v>0</v>
      </c>
    </row>
    <row r="94" spans="1:22" ht="21">
      <c r="A94" s="329" t="s">
        <v>350</v>
      </c>
      <c r="B94" s="328"/>
      <c r="C94" s="328"/>
    </row>
    <row r="96" spans="1:22">
      <c r="B96" t="s">
        <v>349</v>
      </c>
      <c r="C96" s="418">
        <f>C51</f>
        <v>0</v>
      </c>
    </row>
    <row r="97" spans="2:3" ht="14.65" thickBot="1">
      <c r="B97" s="326" t="s">
        <v>348</v>
      </c>
      <c r="C97" s="419">
        <f>C56</f>
        <v>0</v>
      </c>
    </row>
  </sheetData>
  <mergeCells count="1">
    <mergeCell ref="V73:V80"/>
  </mergeCells>
  <conditionalFormatting sqref="D11:U11">
    <cfRule type="cellIs" dxfId="21" priority="22" operator="equal">
      <formula>1</formula>
    </cfRule>
  </conditionalFormatting>
  <conditionalFormatting sqref="D12:U12">
    <cfRule type="cellIs" dxfId="20" priority="21" operator="equal">
      <formula>1</formula>
    </cfRule>
  </conditionalFormatting>
  <conditionalFormatting sqref="D28:U28">
    <cfRule type="expression" dxfId="19" priority="20">
      <formula>D27&gt;0</formula>
    </cfRule>
  </conditionalFormatting>
  <conditionalFormatting sqref="D32:U32">
    <cfRule type="cellIs" dxfId="18" priority="19" operator="equal">
      <formula>0</formula>
    </cfRule>
  </conditionalFormatting>
  <conditionalFormatting sqref="D54:U54 I50">
    <cfRule type="expression" dxfId="17" priority="18">
      <formula>D8=1</formula>
    </cfRule>
  </conditionalFormatting>
  <conditionalFormatting sqref="D13:U14">
    <cfRule type="cellIs" dxfId="16" priority="17" operator="equal">
      <formula>1</formula>
    </cfRule>
  </conditionalFormatting>
  <conditionalFormatting sqref="I45">
    <cfRule type="expression" dxfId="15" priority="16">
      <formula>#REF!=1</formula>
    </cfRule>
  </conditionalFormatting>
  <conditionalFormatting sqref="D59:U59">
    <cfRule type="expression" dxfId="14" priority="15">
      <formula>OR(D12=1,D13=1)</formula>
    </cfRule>
  </conditionalFormatting>
  <conditionalFormatting sqref="D14:U14">
    <cfRule type="cellIs" dxfId="13" priority="14" operator="equal">
      <formula>1</formula>
    </cfRule>
  </conditionalFormatting>
  <conditionalFormatting sqref="D69:D70">
    <cfRule type="expression" dxfId="12" priority="13">
      <formula>D$14=0</formula>
    </cfRule>
  </conditionalFormatting>
  <conditionalFormatting sqref="E69:U70">
    <cfRule type="expression" dxfId="11" priority="12">
      <formula>E$14=0</formula>
    </cfRule>
  </conditionalFormatting>
  <conditionalFormatting sqref="D73">
    <cfRule type="expression" dxfId="10" priority="11">
      <formula>D$14=0</formula>
    </cfRule>
  </conditionalFormatting>
  <conditionalFormatting sqref="E73:U73">
    <cfRule type="expression" dxfId="9" priority="10">
      <formula>E$14=0</formula>
    </cfRule>
  </conditionalFormatting>
  <conditionalFormatting sqref="L35:U37">
    <cfRule type="expression" dxfId="8" priority="9">
      <formula>L$14=1</formula>
    </cfRule>
  </conditionalFormatting>
  <conditionalFormatting sqref="D35:K37">
    <cfRule type="expression" dxfId="7" priority="8">
      <formula>D$14=1</formula>
    </cfRule>
  </conditionalFormatting>
  <conditionalFormatting sqref="D17:D20 E19:U20">
    <cfRule type="expression" dxfId="6" priority="7">
      <formula>D$9&gt;rr_num</formula>
    </cfRule>
  </conditionalFormatting>
  <conditionalFormatting sqref="E17:U18">
    <cfRule type="expression" dxfId="5" priority="6">
      <formula>E$9&gt;rr_num</formula>
    </cfRule>
  </conditionalFormatting>
  <conditionalFormatting sqref="D22:D23">
    <cfRule type="expression" dxfId="4" priority="5">
      <formula>D$9&gt;=rr_num-1</formula>
    </cfRule>
  </conditionalFormatting>
  <conditionalFormatting sqref="E22:U23">
    <cfRule type="expression" dxfId="3" priority="4">
      <formula>E$9&gt;=rr_num-1</formula>
    </cfRule>
  </conditionalFormatting>
  <conditionalFormatting sqref="D24:U24">
    <cfRule type="expression" dxfId="2" priority="3">
      <formula>D$9&gt;=rr_num-1</formula>
    </cfRule>
  </conditionalFormatting>
  <conditionalFormatting sqref="D77:U79">
    <cfRule type="expression" dxfId="1" priority="2">
      <formula>D$14=0</formula>
    </cfRule>
  </conditionalFormatting>
  <conditionalFormatting sqref="D21:U21">
    <cfRule type="expression" dxfId="0" priority="1">
      <formula>D$9&gt;rr_num</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Drop Down 1">
              <controlPr defaultSize="0" autoLine="0" autoPict="0">
                <anchor moveWithCells="1">
                  <from>
                    <xdr:col>2</xdr:col>
                    <xdr:colOff>0</xdr:colOff>
                    <xdr:row>3</xdr:row>
                    <xdr:rowOff>176213</xdr:rowOff>
                  </from>
                  <to>
                    <xdr:col>3</xdr:col>
                    <xdr:colOff>0</xdr:colOff>
                    <xdr:row>4</xdr:row>
                    <xdr:rowOff>200025</xdr:rowOff>
                  </to>
                </anchor>
              </controlPr>
            </control>
          </mc:Choice>
        </mc:AlternateContent>
        <mc:AlternateContent xmlns:mc="http://schemas.openxmlformats.org/markup-compatibility/2006">
          <mc:Choice Requires="x14">
            <control shapeId="22530" r:id="rId5" name="Drop Down 2">
              <controlPr defaultSize="0" autoLine="0" autoPict="0">
                <anchor moveWithCells="1">
                  <from>
                    <xdr:col>2</xdr:col>
                    <xdr:colOff>0</xdr:colOff>
                    <xdr:row>4</xdr:row>
                    <xdr:rowOff>200025</xdr:rowOff>
                  </from>
                  <to>
                    <xdr:col>3</xdr:col>
                    <xdr:colOff>0</xdr:colOff>
                    <xdr:row>5</xdr:row>
                    <xdr:rowOff>190500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AM50"/>
  <sheetViews>
    <sheetView showGridLines="0" topLeftCell="A5" zoomScaleNormal="100" workbookViewId="0">
      <pane xSplit="4" topLeftCell="AE1" activePane="topRight" state="frozenSplit"/>
      <selection activeCell="I13" sqref="I13"/>
      <selection pane="topRight" activeCell="C22" sqref="C22"/>
    </sheetView>
  </sheetViews>
  <sheetFormatPr defaultRowHeight="14.25"/>
  <cols>
    <col min="1" max="1" width="10.53125" customWidth="1"/>
    <col min="2" max="2" width="28.86328125" customWidth="1"/>
    <col min="3" max="3" width="15.1328125" customWidth="1"/>
    <col min="4" max="4" width="3.6640625" customWidth="1"/>
    <col min="5" max="5" width="35.59765625" customWidth="1"/>
    <col min="8" max="8" width="17.3984375" bestFit="1" customWidth="1"/>
    <col min="9" max="9" width="14.1328125" customWidth="1"/>
    <col min="10" max="24" width="11.59765625" bestFit="1" customWidth="1"/>
    <col min="25" max="39" width="10.6640625" bestFit="1" customWidth="1"/>
  </cols>
  <sheetData>
    <row r="1" spans="1:39" s="367" customFormat="1" ht="20.65">
      <c r="A1" s="265" t="s">
        <v>510</v>
      </c>
      <c r="B1" s="265"/>
      <c r="C1" s="225"/>
      <c r="D1" s="389" t="s">
        <v>512</v>
      </c>
      <c r="E1" s="225"/>
      <c r="F1" s="225"/>
      <c r="G1" s="225"/>
      <c r="H1" s="225"/>
      <c r="I1" s="225"/>
      <c r="J1" s="225"/>
      <c r="K1" s="225"/>
      <c r="L1" s="225"/>
      <c r="M1" s="225"/>
      <c r="N1" s="225"/>
      <c r="O1" s="225"/>
      <c r="P1" s="225"/>
      <c r="Q1" s="225"/>
      <c r="R1" s="225"/>
      <c r="S1" s="225"/>
    </row>
    <row r="2" spans="1:39" s="367" customFormat="1" ht="20.65">
      <c r="A2" s="265" t="str">
        <f>+'Pension Pack cover'!D15</f>
        <v>Licensee 2</v>
      </c>
      <c r="B2" s="265"/>
      <c r="C2" s="225"/>
      <c r="D2" s="389" t="s">
        <v>513</v>
      </c>
      <c r="E2" s="225"/>
      <c r="F2" s="225"/>
      <c r="G2" s="225"/>
      <c r="H2" s="225"/>
      <c r="I2" s="225"/>
      <c r="J2" s="225"/>
      <c r="K2" s="225"/>
      <c r="L2" s="225"/>
      <c r="M2" s="225"/>
      <c r="N2" s="225"/>
      <c r="O2" s="225"/>
      <c r="P2" s="225"/>
      <c r="Q2" s="225"/>
      <c r="R2" s="225"/>
      <c r="S2" s="225"/>
    </row>
    <row r="3" spans="1:39" s="366" customFormat="1" ht="20.65">
      <c r="A3" s="385">
        <f>+'Pension Pack cover'!D24</f>
        <v>2020</v>
      </c>
      <c r="B3" s="265"/>
      <c r="C3" s="225"/>
      <c r="D3" s="389" t="s">
        <v>514</v>
      </c>
      <c r="E3" s="225"/>
      <c r="F3" s="225"/>
      <c r="G3" s="225"/>
      <c r="H3" s="225"/>
      <c r="I3" s="225"/>
      <c r="J3" s="225"/>
      <c r="K3" s="225"/>
      <c r="L3" s="225"/>
      <c r="M3" s="225"/>
      <c r="N3" s="225"/>
      <c r="O3" s="225"/>
      <c r="P3" s="225"/>
      <c r="Q3" s="225"/>
      <c r="R3" s="225"/>
      <c r="S3" s="225"/>
    </row>
    <row r="4" spans="1:39" ht="16.5">
      <c r="J4" s="365" t="str">
        <f t="shared" ref="J4:AM4" si="0">INDEX(yearQ,J6+rr_num-2)</f>
        <v>2025-26</v>
      </c>
      <c r="K4" s="365" t="str">
        <f t="shared" si="0"/>
        <v>2026-27</v>
      </c>
      <c r="L4" s="365" t="str">
        <f t="shared" si="0"/>
        <v>2027-28</v>
      </c>
      <c r="M4" s="365" t="str">
        <f t="shared" si="0"/>
        <v>2028-29</v>
      </c>
      <c r="N4" s="365" t="str">
        <f t="shared" si="0"/>
        <v>2029-30</v>
      </c>
      <c r="O4" s="365" t="str">
        <f t="shared" si="0"/>
        <v>2030-31</v>
      </c>
      <c r="P4" s="365" t="str">
        <f t="shared" si="0"/>
        <v>2031-32</v>
      </c>
      <c r="Q4" s="365" t="str">
        <f t="shared" si="0"/>
        <v>2032-33</v>
      </c>
      <c r="R4" s="365" t="str">
        <f t="shared" si="0"/>
        <v>2033-34</v>
      </c>
      <c r="S4" s="365" t="str">
        <f t="shared" si="0"/>
        <v>2034-35</v>
      </c>
      <c r="T4" s="365" t="str">
        <f t="shared" si="0"/>
        <v>2035-36</v>
      </c>
      <c r="U4" s="365" t="str">
        <f t="shared" si="0"/>
        <v>2036-37</v>
      </c>
      <c r="V4" s="365" t="str">
        <f t="shared" si="0"/>
        <v>2037-38</v>
      </c>
      <c r="W4" s="365" t="str">
        <f t="shared" si="0"/>
        <v>2038-39</v>
      </c>
      <c r="X4" s="365" t="str">
        <f t="shared" si="0"/>
        <v>2039-40</v>
      </c>
      <c r="Y4" s="365" t="str">
        <f t="shared" si="0"/>
        <v>2040-41</v>
      </c>
      <c r="Z4" s="365" t="str">
        <f t="shared" si="0"/>
        <v>2041-42</v>
      </c>
      <c r="AA4" s="365" t="str">
        <f t="shared" si="0"/>
        <v>2042-43</v>
      </c>
      <c r="AB4" s="365" t="str">
        <f t="shared" si="0"/>
        <v>2043-44</v>
      </c>
      <c r="AC4" s="365" t="str">
        <f t="shared" si="0"/>
        <v>2044-45</v>
      </c>
      <c r="AD4" s="365" t="str">
        <f t="shared" si="0"/>
        <v>2045-46</v>
      </c>
      <c r="AE4" s="365" t="str">
        <f t="shared" si="0"/>
        <v>2046-47</v>
      </c>
      <c r="AF4" s="365" t="str">
        <f t="shared" si="0"/>
        <v>2047-48</v>
      </c>
      <c r="AG4" s="365" t="str">
        <f t="shared" si="0"/>
        <v>2048-49</v>
      </c>
      <c r="AH4" s="365" t="str">
        <f t="shared" si="0"/>
        <v>2049-50</v>
      </c>
      <c r="AI4" s="365" t="str">
        <f t="shared" si="0"/>
        <v>2050-51</v>
      </c>
      <c r="AJ4" s="365" t="str">
        <f t="shared" si="0"/>
        <v>2051-52</v>
      </c>
      <c r="AK4" s="365" t="str">
        <f t="shared" si="0"/>
        <v>2052-53</v>
      </c>
      <c r="AL4" s="365" t="str">
        <f t="shared" si="0"/>
        <v>2053-54</v>
      </c>
      <c r="AM4" s="365" t="str">
        <f t="shared" si="0"/>
        <v>2054-55</v>
      </c>
    </row>
    <row r="5" spans="1:39" ht="16.5">
      <c r="B5" s="378" t="s">
        <v>466</v>
      </c>
      <c r="C5" s="365" t="s">
        <v>465</v>
      </c>
      <c r="E5" s="377" t="s">
        <v>464</v>
      </c>
      <c r="H5" s="378" t="s">
        <v>463</v>
      </c>
      <c r="I5" s="378"/>
      <c r="J5" s="365" t="s">
        <v>462</v>
      </c>
      <c r="K5" s="365" t="s">
        <v>461</v>
      </c>
      <c r="L5" s="365" t="s">
        <v>460</v>
      </c>
      <c r="M5" s="365" t="s">
        <v>459</v>
      </c>
      <c r="N5" s="365" t="s">
        <v>458</v>
      </c>
      <c r="O5" s="365" t="s">
        <v>457</v>
      </c>
      <c r="P5" s="365" t="s">
        <v>456</v>
      </c>
      <c r="Q5" s="365" t="s">
        <v>455</v>
      </c>
      <c r="R5" s="365" t="s">
        <v>454</v>
      </c>
      <c r="S5" s="365" t="s">
        <v>453</v>
      </c>
      <c r="T5" s="365" t="s">
        <v>452</v>
      </c>
      <c r="U5" s="365" t="s">
        <v>451</v>
      </c>
      <c r="V5" s="365" t="s">
        <v>450</v>
      </c>
      <c r="W5" s="365" t="s">
        <v>449</v>
      </c>
      <c r="X5" s="365" t="s">
        <v>448</v>
      </c>
      <c r="Y5" s="365" t="s">
        <v>447</v>
      </c>
      <c r="Z5" s="365" t="s">
        <v>446</v>
      </c>
      <c r="AA5" s="365" t="s">
        <v>445</v>
      </c>
      <c r="AB5" s="365" t="s">
        <v>444</v>
      </c>
      <c r="AC5" s="365" t="s">
        <v>443</v>
      </c>
      <c r="AD5" s="365" t="s">
        <v>442</v>
      </c>
      <c r="AE5" s="365" t="s">
        <v>441</v>
      </c>
      <c r="AF5" s="365" t="s">
        <v>440</v>
      </c>
      <c r="AG5" s="365" t="s">
        <v>439</v>
      </c>
      <c r="AH5" s="365" t="s">
        <v>438</v>
      </c>
      <c r="AI5" s="365" t="s">
        <v>437</v>
      </c>
      <c r="AJ5" s="365" t="s">
        <v>436</v>
      </c>
      <c r="AK5" s="365" t="s">
        <v>435</v>
      </c>
      <c r="AL5" s="365" t="s">
        <v>434</v>
      </c>
      <c r="AM5" s="365" t="s">
        <v>433</v>
      </c>
    </row>
    <row r="6" spans="1:39" ht="16.5" hidden="1">
      <c r="B6" s="378"/>
      <c r="C6" s="365"/>
      <c r="E6" s="377"/>
      <c r="H6" s="378"/>
      <c r="I6" s="378"/>
      <c r="J6" s="379">
        <v>1</v>
      </c>
      <c r="K6" s="379">
        <v>2</v>
      </c>
      <c r="L6" s="379">
        <v>3</v>
      </c>
      <c r="M6" s="379">
        <v>4</v>
      </c>
      <c r="N6" s="379">
        <v>5</v>
      </c>
      <c r="O6" s="379">
        <v>6</v>
      </c>
      <c r="P6" s="379">
        <v>7</v>
      </c>
      <c r="Q6" s="379">
        <v>8</v>
      </c>
      <c r="R6" s="379">
        <v>9</v>
      </c>
      <c r="S6" s="379">
        <v>10</v>
      </c>
      <c r="T6" s="379">
        <v>11</v>
      </c>
      <c r="U6" s="379">
        <v>12</v>
      </c>
      <c r="V6" s="379">
        <v>13</v>
      </c>
      <c r="W6" s="379">
        <v>14</v>
      </c>
      <c r="X6" s="379">
        <v>15</v>
      </c>
      <c r="Y6" s="379">
        <v>16</v>
      </c>
      <c r="Z6" s="379">
        <v>17</v>
      </c>
      <c r="AA6" s="379">
        <v>18</v>
      </c>
      <c r="AB6" s="379">
        <v>19</v>
      </c>
      <c r="AC6" s="379">
        <v>20</v>
      </c>
      <c r="AD6" s="379">
        <v>21</v>
      </c>
      <c r="AE6" s="379">
        <v>22</v>
      </c>
      <c r="AF6" s="379">
        <v>23</v>
      </c>
      <c r="AG6" s="379">
        <v>24</v>
      </c>
      <c r="AH6" s="379">
        <v>25</v>
      </c>
      <c r="AI6" s="379">
        <v>26</v>
      </c>
      <c r="AJ6" s="379">
        <v>27</v>
      </c>
      <c r="AK6" s="379">
        <v>28</v>
      </c>
      <c r="AL6" s="379">
        <v>29</v>
      </c>
      <c r="AM6" s="379">
        <v>30</v>
      </c>
    </row>
    <row r="7" spans="1:39" ht="16.5">
      <c r="B7" t="s">
        <v>402</v>
      </c>
      <c r="E7" s="377"/>
      <c r="H7" t="s">
        <v>432</v>
      </c>
      <c r="J7" s="435">
        <f t="array" aca="1" ref="J7" ca="1">IF(J6&lt;=$C$23,flatBAPA2,IF(J6&gt;$C$23,(PSEDB-SUM($I7:I7*$I16:I16))/J16,0))</f>
        <v>0.66666666666666663</v>
      </c>
      <c r="K7" s="435">
        <f t="array" aca="1" ref="K7" ca="1">IF(K6&lt;=$C$23,flatBAPA2,IF(K6&gt;$C$23,(PSEDB-SUM($I7:J7*$I16:J16))/K16,0))</f>
        <v>0.66666666666666663</v>
      </c>
      <c r="L7" s="435">
        <f t="array" aca="1" ref="L7" ca="1">IF(L6&lt;=$C$23,flatBAPA2,IF(L6&gt;$C$23,(PSEDB-SUM($I7:K7*$I16:K16))/L16,0))</f>
        <v>0.66666666666666663</v>
      </c>
      <c r="M7" s="435">
        <f t="array" aca="1" ref="M7" ca="1">IF(M6&lt;=$C$23,flatBAPA2,IF(M6&gt;$C$23,(PSEDB-SUM($I7:L7*$I16:L16))/M16,0))</f>
        <v>0.66666666666666663</v>
      </c>
      <c r="N7" s="435">
        <f t="array" aca="1" ref="N7" ca="1">IF(N6&lt;=$C$23,flatBAPA2,IF(N6&gt;$C$23,(PSEDB-SUM($I7:M7*$I16:M16))/N16,0))</f>
        <v>0.66666666666666663</v>
      </c>
      <c r="O7" s="435">
        <f t="array" aca="1" ref="O7" ca="1">IF(O6&lt;=$C$23,flatBAPA2,IF(O6&gt;$C$23,(PSEDB-SUM($I7:N7*$I16:N16))/O16,0))</f>
        <v>0.66666666666666663</v>
      </c>
      <c r="P7" s="435">
        <f t="array" aca="1" ref="P7" ca="1">IF(P6&lt;=$C$23,flatBAPA2,IF(P6&gt;$C$23,(PSEDB-SUM($I7:O7*$I16:O16))/P16,0))</f>
        <v>0.66666666666666663</v>
      </c>
      <c r="Q7" s="435">
        <f t="array" aca="1" ref="Q7" ca="1">IF(Q6&lt;=$C$23,flatBAPA2,IF(Q6&gt;$C$23,(PSEDB-SUM($I7:P7*$I16:P16))/Q16,0))</f>
        <v>0.66666666666666663</v>
      </c>
      <c r="R7" s="435">
        <f t="array" aca="1" ref="R7" ca="1">IF(R6&lt;=$C$23,flatBAPA2,IF(R6&gt;$C$23,(PSEDB-SUM($I7:Q7*$I16:Q16))/R16,0))</f>
        <v>0.66666666666666663</v>
      </c>
      <c r="S7" s="435">
        <f t="array" aca="1" ref="S7" ca="1">IF(S6&lt;=$C$23,flatBAPA2,IF(S6&gt;$C$23,(PSEDB-SUM($I7:R7*$I16:R16))/S16,0))</f>
        <v>0.66666666666666663</v>
      </c>
      <c r="T7" s="435">
        <f t="array" aca="1" ref="T7" ca="1">IF(T6&lt;=$C$23,flatBAPA2,IF(T6&gt;$C$23,(PSEDB-SUM($I7:S7*$I16:S16))/T16,0))</f>
        <v>0.66666666666666663</v>
      </c>
      <c r="U7" s="435">
        <f t="array" aca="1" ref="U7" ca="1">IF(U6&lt;=$C$23,flatBAPA2,IF(U6&gt;$C$23,(PSEDB-SUM($I7:T7*$I16:T16))/U16,0))</f>
        <v>0.66666666666666663</v>
      </c>
      <c r="V7" s="435">
        <f t="array" aca="1" ref="V7" ca="1">IF(V6&lt;=$C$23,flatBAPA2,IF(V6&gt;$C$23,(PSEDB-SUM($I7:U7*$I16:U16))/V16,0))</f>
        <v>0.66666666666666663</v>
      </c>
      <c r="W7" s="435">
        <f t="array" aca="1" ref="W7" ca="1">IF(W6&lt;=$C$23,flatBAPA2,IF(W6&gt;$C$23,(PSEDB-SUM($I7:V7*$I16:V16))/W16,0))</f>
        <v>0.66666666666666663</v>
      </c>
      <c r="X7" s="435">
        <f t="array" aca="1" ref="X7" ca="1">IF(X6&lt;=$C$23,flatBAPA2,IF(X6&gt;$C$23,(PSEDB-SUM($I7:W7*$I16:W16))/X16,0))</f>
        <v>0.66666666666666663</v>
      </c>
      <c r="Y7" s="435">
        <f t="array" aca="1" ref="Y7" ca="1">IF(Y6&lt;=$C$23,flatBAPA2,IF(Y6&gt;$C$23,(PSEDB-SUM($I7:X7*$I16:X16))/Y16,0))</f>
        <v>1.7763568394002505E-15</v>
      </c>
      <c r="Z7" s="435">
        <f t="array" aca="1" ref="Z7" ca="1">IF(Z6&lt;=$C$23,flatBAPA2,IF(Z6&gt;$C$23,(PSEDB-SUM($I7:Y7*$I16:Y16))/Z16,0))</f>
        <v>0</v>
      </c>
      <c r="AA7" s="435">
        <f t="array" aca="1" ref="AA7" ca="1">IF(AA6&lt;=$C$23,flatBAPA2,IF(AA6&gt;$C$23,(PSEDB-SUM($I7:Z7*$I16:Z16))/AA16,0))</f>
        <v>0</v>
      </c>
      <c r="AB7" s="435">
        <f t="array" aca="1" ref="AB7" ca="1">IF(AB6&lt;=$C$23,flatBAPA2,IF(AB6&gt;$C$23,(PSEDB-SUM($I7:AA7*$I16:AA16))/AB16,0))</f>
        <v>0</v>
      </c>
      <c r="AC7" s="435">
        <f t="array" aca="1" ref="AC7" ca="1">IF(AC6&lt;=$C$23,flatBAPA2,IF(AC6&gt;$C$23,(PSEDB-SUM($I7:AB7*$I16:AB16))/AC16,0))</f>
        <v>0</v>
      </c>
      <c r="AD7" s="435">
        <f t="array" aca="1" ref="AD7" ca="1">IF(AD6&lt;=$C$23,flatBAPA2,IF(AD6&gt;$C$23,(PSEDB-SUM($I7:AC7*$I16:AC16))/AD16,0))</f>
        <v>0</v>
      </c>
      <c r="AE7" s="435">
        <f t="array" aca="1" ref="AE7" ca="1">IF(AE6&lt;=$C$23,flatBAPA2,IF(AE6&gt;$C$23,(PSEDB-SUM($I7:AD7*$I16:AD16))/AE16,0))</f>
        <v>0</v>
      </c>
      <c r="AF7" s="435">
        <f t="array" aca="1" ref="AF7" ca="1">IF(AF6&lt;=$C$23,flatBAPA2,IF(AF6&gt;$C$23,(PSEDB-SUM($I7:AE7*$I16:AE16))/AF16,0))</f>
        <v>0</v>
      </c>
      <c r="AG7" s="435">
        <f t="array" aca="1" ref="AG7" ca="1">IF(AG6&lt;=$C$23,flatBAPA2,IF(AG6&gt;$C$23,(PSEDB-SUM($I7:AF7*$I16:AF16))/AG16,0))</f>
        <v>0</v>
      </c>
      <c r="AH7" s="435">
        <f t="array" aca="1" ref="AH7" ca="1">IF(AH6&lt;=$C$23,flatBAPA2,IF(AH6&gt;$C$23,(PSEDB-SUM($I7:AG7*$I16:AG16))/AH16,0))</f>
        <v>0</v>
      </c>
      <c r="AI7" s="435">
        <f t="array" aca="1" ref="AI7" ca="1">IF(AI6&lt;=$C$23,flatBAPA2,IF(AI6&gt;$C$23,(PSEDB-SUM($I7:AH7*$I16:AH16))/AI16,0))</f>
        <v>0</v>
      </c>
      <c r="AJ7" s="435">
        <f t="array" aca="1" ref="AJ7" ca="1">IF(AJ6&lt;=$C$23,flatBAPA2,IF(AJ6&gt;$C$23,(PSEDB-SUM($I7:AI7*$I16:AI16))/AJ16,0))</f>
        <v>0</v>
      </c>
      <c r="AK7" s="435">
        <f t="array" aca="1" ref="AK7" ca="1">IF(AK6&lt;=$C$23,flatBAPA2,IF(AK6&gt;$C$23,(PSEDB-SUM($I7:AJ7*$I16:AJ16))/AK16,0))</f>
        <v>0</v>
      </c>
      <c r="AL7" s="435">
        <f t="array" aca="1" ref="AL7" ca="1">IF(AL6&lt;=$C$23,flatBAPA2,IF(AL6&gt;$C$23,(PSEDB-SUM($I7:AK7*$I16:AK16))/AL16,0))</f>
        <v>0</v>
      </c>
      <c r="AM7" s="435">
        <f t="array" aca="1" ref="AM7" ca="1">IF(AM6&lt;=$C$23,flatBAPA2,IF(AM6&gt;$C$23,(PSEDB-SUM($I7:AL7*$I16:AL16))/AM16,0))</f>
        <v>0</v>
      </c>
    </row>
    <row r="8" spans="1:39" ht="16.5">
      <c r="B8" s="378"/>
      <c r="C8" s="365"/>
      <c r="E8" s="377"/>
      <c r="H8" t="s">
        <v>431</v>
      </c>
      <c r="J8" s="435">
        <f ca="1">IF(J6&lt;=y_2,flatPBAPA2,IF(J6&gt;C28,($C$17-SUM($I8:I8*$I16:I16))/J16,0))</f>
        <v>1.0001000100010001E-3</v>
      </c>
      <c r="K8" s="435">
        <f ca="1">IF(K6&lt;=y_2,flatPBAPA2,IF(K6&gt;D28,($C$17-SUM($I8:J8*$I16:J16))/K16,0))</f>
        <v>1.0001000100010001E-3</v>
      </c>
      <c r="L8" s="435">
        <f ca="1">IF(L6&lt;=y_2,flatPBAPA2,IF(L6&gt;E28,($C$17-SUM($I8:K8*$I16:K16))/L16,0))</f>
        <v>1.0001000100010001E-3</v>
      </c>
      <c r="M8" s="435">
        <f ca="1">IF(M6&lt;=y_2,flatPBAPA2,IF(M6&gt;F28,($C$17-SUM($I8:L8*$I16:L16))/M16,0))</f>
        <v>1.0001000100010001E-3</v>
      </c>
      <c r="N8" s="435">
        <f ca="1">IF(N6&lt;=y_2,flatPBAPA2,IF(N6&gt;G28,($C$17-SUM($I8:M8*$I16:M16))/N16,0))</f>
        <v>1.0001000100010001E-3</v>
      </c>
      <c r="O8" s="435">
        <f ca="1">IF(O6&lt;=y_2,flatPBAPA2,IF(O6&gt;H28,($C$17-SUM($I8:N8*$I16:N16))/O16,0))</f>
        <v>1.0001000100010001E-3</v>
      </c>
      <c r="P8" s="435">
        <f ca="1">IF(P6&lt;=y_2,flatPBAPA2,IF(P6&gt;I28,($C$17-SUM($I8:O8*$I16:O16))/P16,0))</f>
        <v>1.0001000100010001E-3</v>
      </c>
      <c r="Q8" s="435">
        <f ca="1">IF(Q6&lt;=y_2,flatPBAPA2,IF(Q6&gt;J28,($C$17-SUM($I8:P8*$I16:P16))/Q16,0))</f>
        <v>1.0001000100010001E-3</v>
      </c>
      <c r="R8" s="435">
        <f ca="1">IF(R6&lt;=y_2,flatPBAPA2,IF(R6&gt;K28,($C$17-SUM($I8:Q8*$I16:Q16))/R16,0))</f>
        <v>1.0001000100010001E-3</v>
      </c>
      <c r="S8" s="435">
        <f ca="1">IF(S6&lt;=y_2,flatPBAPA2,IF(S6&gt;L28,($C$17-SUM($I8:R8*$I16:R16))/S16,0))</f>
        <v>1.0001000100010001E-3</v>
      </c>
      <c r="T8" s="435">
        <f ca="1">IF(T6&lt;=y_2,flatPBAPA2,IF(T6&gt;M28,($C$17-SUM($I8:S8*$I16:S16))/T16,0))</f>
        <v>1.0001000100010001E-3</v>
      </c>
      <c r="U8" s="435">
        <f ca="1">IF(U6&lt;=y_2,flatPBAPA2,IF(U6&gt;N28,($C$17-SUM($I8:T8*$I16:T16))/U16,0))</f>
        <v>1.0001000100010001E-3</v>
      </c>
      <c r="V8" s="435">
        <f ca="1">IF(V6&lt;=y_2,flatPBAPA2,IF(V6&gt;O28,($C$17-SUM($I8:U8*$I16:U16))/V16,0))</f>
        <v>1.0001000100010001E-3</v>
      </c>
      <c r="W8" s="435">
        <f ca="1">IF(W6&lt;=y_2,flatPBAPA2,IF(W6&gt;P28,($C$17-SUM($I8:V8*$I16:V16))/W16,0))</f>
        <v>1.0001000100010001E-3</v>
      </c>
      <c r="X8" s="435">
        <f ca="1">IF(X6&lt;=y_2,flatPBAPA2,IF(X6&gt;Q28,($C$17-SUM($I8:W8*$I16:W16))/X16,0))</f>
        <v>1.0001000100010001E-3</v>
      </c>
      <c r="Y8" s="435">
        <f ca="1">IF(Y6&lt;=y_2,flatPBAPA2,IF(Y6&gt;R28,($C$17-SUM($I8:X8*$I16:X16))/Y16,0))</f>
        <v>1.0001000100010001E-3</v>
      </c>
      <c r="Z8" s="435">
        <f ca="1">IF(Z6&lt;=y_2,flatPBAPA2,IF(Z6&gt;S28,($C$17-SUM($I8:Y8*$I16:Y16))/Z16,0))</f>
        <v>1.0001000100010001E-3</v>
      </c>
      <c r="AA8" s="435">
        <f ca="1">IF(AA6&lt;=y_2,flatPBAPA2,IF(AA6&gt;T28,($C$17-SUM($I8:Z8*$I16:Z16))/AA16,0))</f>
        <v>1.0001000100010001E-3</v>
      </c>
      <c r="AB8" s="435">
        <f ca="1">IF(AB6&lt;=y_2,flatPBAPA2,IF(AB6&gt;U28,($C$17-SUM($I8:AA8*$I16:AA16))/AB16,0))</f>
        <v>1.0001000100010001E-3</v>
      </c>
      <c r="AC8" s="435">
        <f ca="1">IF(AC6&lt;=y_2,flatPBAPA2,IF(AC6&gt;V28,($C$17-SUM($I8:AB8*$I16:AB16))/AC16,0))</f>
        <v>1.0001000100010001E-3</v>
      </c>
      <c r="AD8" s="435">
        <f ca="1">IF(AD6&lt;=y_2,flatPBAPA2,IF(AD6&gt;W28,($C$17-SUM($I8:AC8*$I16:AC16))/AD16,0))</f>
        <v>1.0001000100010001E-3</v>
      </c>
      <c r="AE8" s="435">
        <f ca="1">IF(AE6&lt;=y_2,flatPBAPA2,IF(AE6&gt;X28,($C$17-SUM($I8:AD8*$I16:AD16))/AE16,0))</f>
        <v>1.0001000100010001E-3</v>
      </c>
      <c r="AF8" s="435">
        <f ca="1">IF(AF6&lt;=y_2,flatPBAPA2,IF(AF6&gt;Y28,($C$17-SUM($I8:AE8*$I16:AE16))/AF16,0))</f>
        <v>1.0001000100010001E-3</v>
      </c>
      <c r="AG8" s="435">
        <f ca="1">IF(AG6&lt;=y_2,flatPBAPA2,IF(AG6&gt;Z28,($C$17-SUM($I8:AF8*$I16:AF16))/AG16,0))</f>
        <v>1.0001000100010001E-3</v>
      </c>
      <c r="AH8" s="435">
        <f ca="1">IF(AH6&lt;=y_2,flatPBAPA2,IF(AH6&gt;AA28,($C$17-SUM($I8:AG8*$I16:AG16))/AH16,0))</f>
        <v>1.0001000100010001E-3</v>
      </c>
      <c r="AI8" s="435">
        <f ca="1">IF(AI6&lt;=y_2,flatPBAPA2,IF(AI6&gt;AB28,($C$17-SUM($I8:AH8*$I16:AH16))/AI16,0))</f>
        <v>1.0001000100010001E-3</v>
      </c>
      <c r="AJ8" s="435">
        <f ca="1">IF(AJ6&lt;=y_2,flatPBAPA2,IF(AJ6&gt;AC28,($C$17-SUM($I8:AI8*$I16:AI16))/AJ16,0))</f>
        <v>1.0001000100010001E-3</v>
      </c>
      <c r="AK8" s="435">
        <f ca="1">IF(AK6&lt;=y_2,flatPBAPA2,IF(AK6&gt;AD28,($C$17-SUM($I8:AJ8*$I16:AJ16))/AK16,0))</f>
        <v>1.0001000100010001E-3</v>
      </c>
      <c r="AL8" s="435">
        <f ca="1">IF(AL6&lt;=y_2,flatPBAPA2,IF(AL6&gt;AE28,($C$17-SUM($I8:AK8*$I16:AK16))/AL16,0))</f>
        <v>1.0001000100010001E-3</v>
      </c>
      <c r="AM8" s="435">
        <f ca="1">IF(AM6&lt;=y_2,flatPBAPA2,IF(AM6&gt;AF28,($C$17-SUM($I8:AL8*$I16:AL16))/AM16,0))</f>
        <v>1.0001000100010001E-3</v>
      </c>
    </row>
    <row r="9" spans="1:39">
      <c r="B9" s="473" t="s">
        <v>430</v>
      </c>
      <c r="C9" s="474"/>
      <c r="H9" t="s">
        <v>429</v>
      </c>
      <c r="J9" s="437">
        <f ca="1">OFFSET('P2.5 Calculation of Vrr - L2'!$D$17,,rr_num-2+J6-'P2.5 Calculation of Vrr - L2'!$D$9)</f>
        <v>0</v>
      </c>
      <c r="K9" s="437">
        <f ca="1">OFFSET('P2.5 Calculation of Vrr - L2'!$D$17,,rr_num-2+K6-'P2.5 Calculation of Vrr - L2'!$D$9)</f>
        <v>0</v>
      </c>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row>
    <row r="10" spans="1:39">
      <c r="B10" s="475"/>
      <c r="C10" s="476"/>
      <c r="J10" s="376" t="s">
        <v>428</v>
      </c>
      <c r="K10" s="374"/>
    </row>
    <row r="11" spans="1:39">
      <c r="B11" s="475"/>
      <c r="C11" s="476"/>
      <c r="J11" s="375"/>
      <c r="K11" s="374"/>
    </row>
    <row r="12" spans="1:39">
      <c r="B12" s="475"/>
      <c r="C12" s="476"/>
      <c r="J12" s="375"/>
      <c r="K12" s="374"/>
    </row>
    <row r="13" spans="1:39">
      <c r="B13" s="475"/>
      <c r="C13" s="476"/>
      <c r="J13" s="375"/>
      <c r="K13" s="374"/>
    </row>
    <row r="14" spans="1:39">
      <c r="B14" s="477"/>
      <c r="C14" s="478"/>
      <c r="J14" s="375"/>
      <c r="K14" s="374"/>
    </row>
    <row r="15" spans="1:39">
      <c r="B15" t="s">
        <v>427</v>
      </c>
      <c r="C15" s="403">
        <v>10</v>
      </c>
      <c r="J15" s="375"/>
      <c r="K15" s="374"/>
    </row>
    <row r="16" spans="1:39">
      <c r="B16" t="s">
        <v>426</v>
      </c>
      <c r="C16" s="403"/>
      <c r="D16" s="373"/>
      <c r="H16" t="s">
        <v>408</v>
      </c>
      <c r="I16" s="435">
        <f>(1+DRB*f_2)/(1+DRB)^I5</f>
        <v>1</v>
      </c>
      <c r="J16" s="435">
        <f t="shared" ref="J16:AM16" si="1">(1+DRB*f_2)/(1+DRB)^J6</f>
        <v>1</v>
      </c>
      <c r="K16" s="435">
        <f t="shared" si="1"/>
        <v>1</v>
      </c>
      <c r="L16" s="435">
        <f t="shared" si="1"/>
        <v>1</v>
      </c>
      <c r="M16" s="435">
        <f t="shared" si="1"/>
        <v>1</v>
      </c>
      <c r="N16" s="435">
        <f t="shared" si="1"/>
        <v>1</v>
      </c>
      <c r="O16" s="435">
        <f t="shared" si="1"/>
        <v>1</v>
      </c>
      <c r="P16" s="435">
        <f t="shared" si="1"/>
        <v>1</v>
      </c>
      <c r="Q16" s="435">
        <f t="shared" si="1"/>
        <v>1</v>
      </c>
      <c r="R16" s="435">
        <f t="shared" si="1"/>
        <v>1</v>
      </c>
      <c r="S16" s="435">
        <f t="shared" si="1"/>
        <v>1</v>
      </c>
      <c r="T16" s="435">
        <f t="shared" si="1"/>
        <v>1</v>
      </c>
      <c r="U16" s="435">
        <f t="shared" si="1"/>
        <v>1</v>
      </c>
      <c r="V16" s="435">
        <f t="shared" si="1"/>
        <v>1</v>
      </c>
      <c r="W16" s="435">
        <f t="shared" si="1"/>
        <v>1</v>
      </c>
      <c r="X16" s="435">
        <f t="shared" si="1"/>
        <v>1</v>
      </c>
      <c r="Y16" s="435">
        <f t="shared" si="1"/>
        <v>1</v>
      </c>
      <c r="Z16" s="435">
        <f t="shared" si="1"/>
        <v>1</v>
      </c>
      <c r="AA16" s="435">
        <f t="shared" si="1"/>
        <v>1</v>
      </c>
      <c r="AB16" s="435">
        <f t="shared" si="1"/>
        <v>1</v>
      </c>
      <c r="AC16" s="435">
        <f t="shared" si="1"/>
        <v>1</v>
      </c>
      <c r="AD16" s="435">
        <f t="shared" si="1"/>
        <v>1</v>
      </c>
      <c r="AE16" s="435">
        <f t="shared" si="1"/>
        <v>1</v>
      </c>
      <c r="AF16" s="435">
        <f t="shared" si="1"/>
        <v>1</v>
      </c>
      <c r="AG16" s="435">
        <f t="shared" si="1"/>
        <v>1</v>
      </c>
      <c r="AH16" s="435">
        <f t="shared" si="1"/>
        <v>1</v>
      </c>
      <c r="AI16" s="435">
        <f t="shared" si="1"/>
        <v>1</v>
      </c>
      <c r="AJ16" s="435">
        <f t="shared" si="1"/>
        <v>1</v>
      </c>
      <c r="AK16" s="435">
        <f t="shared" si="1"/>
        <v>1</v>
      </c>
      <c r="AL16" s="435">
        <f t="shared" si="1"/>
        <v>1</v>
      </c>
      <c r="AM16" s="435">
        <f t="shared" si="1"/>
        <v>1</v>
      </c>
    </row>
    <row r="17" spans="2:39" ht="14.65" thickBot="1">
      <c r="B17" s="344" t="s">
        <v>425</v>
      </c>
      <c r="C17" s="438">
        <f>PSEDB-C16</f>
        <v>10</v>
      </c>
      <c r="H17" t="s">
        <v>424</v>
      </c>
      <c r="J17" s="409">
        <f t="shared" ref="J17:AM17" ca="1" si="2">J9*J16</f>
        <v>0</v>
      </c>
      <c r="K17" s="409">
        <f t="shared" ca="1" si="2"/>
        <v>0</v>
      </c>
      <c r="L17" s="409">
        <f t="shared" si="2"/>
        <v>0</v>
      </c>
      <c r="M17" s="409">
        <f t="shared" si="2"/>
        <v>0</v>
      </c>
      <c r="N17" s="409">
        <f t="shared" si="2"/>
        <v>0</v>
      </c>
      <c r="O17" s="409">
        <f t="shared" si="2"/>
        <v>0</v>
      </c>
      <c r="P17" s="409">
        <f t="shared" si="2"/>
        <v>0</v>
      </c>
      <c r="Q17" s="409">
        <f t="shared" si="2"/>
        <v>0</v>
      </c>
      <c r="R17" s="409">
        <f t="shared" si="2"/>
        <v>0</v>
      </c>
      <c r="S17" s="409">
        <f t="shared" si="2"/>
        <v>0</v>
      </c>
      <c r="T17" s="409">
        <f t="shared" si="2"/>
        <v>0</v>
      </c>
      <c r="U17" s="409">
        <f t="shared" si="2"/>
        <v>0</v>
      </c>
      <c r="V17" s="409">
        <f t="shared" si="2"/>
        <v>0</v>
      </c>
      <c r="W17" s="409">
        <f t="shared" si="2"/>
        <v>0</v>
      </c>
      <c r="X17" s="409">
        <f t="shared" si="2"/>
        <v>0</v>
      </c>
      <c r="Y17" s="409">
        <f t="shared" si="2"/>
        <v>0</v>
      </c>
      <c r="Z17" s="409">
        <f t="shared" si="2"/>
        <v>0</v>
      </c>
      <c r="AA17" s="409">
        <f t="shared" si="2"/>
        <v>0</v>
      </c>
      <c r="AB17" s="409">
        <f t="shared" si="2"/>
        <v>0</v>
      </c>
      <c r="AC17" s="409">
        <f t="shared" si="2"/>
        <v>0</v>
      </c>
      <c r="AD17" s="409">
        <f t="shared" si="2"/>
        <v>0</v>
      </c>
      <c r="AE17" s="409">
        <f t="shared" si="2"/>
        <v>0</v>
      </c>
      <c r="AF17" s="409">
        <f t="shared" si="2"/>
        <v>0</v>
      </c>
      <c r="AG17" s="409">
        <f t="shared" si="2"/>
        <v>0</v>
      </c>
      <c r="AH17" s="409">
        <f t="shared" si="2"/>
        <v>0</v>
      </c>
      <c r="AI17" s="409">
        <f t="shared" si="2"/>
        <v>0</v>
      </c>
      <c r="AJ17" s="409">
        <f t="shared" si="2"/>
        <v>0</v>
      </c>
      <c r="AK17" s="409">
        <f t="shared" si="2"/>
        <v>0</v>
      </c>
      <c r="AL17" s="409">
        <f t="shared" si="2"/>
        <v>0</v>
      </c>
      <c r="AM17" s="409">
        <f t="shared" si="2"/>
        <v>0</v>
      </c>
    </row>
    <row r="18" spans="2:39">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row>
    <row r="19" spans="2:39">
      <c r="B19" t="s">
        <v>423</v>
      </c>
      <c r="C19" s="424">
        <f ca="1">AVERAGE(J9:K9)</f>
        <v>0</v>
      </c>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row>
    <row r="20" spans="2:39">
      <c r="B20" t="s">
        <v>422</v>
      </c>
      <c r="C20" s="404"/>
    </row>
    <row r="21" spans="2:39" ht="14.65" thickBot="1"/>
    <row r="22" spans="2:39">
      <c r="B22" t="s">
        <v>421</v>
      </c>
      <c r="C22" s="435">
        <f ca="1">IF(PSEDB&lt;0,0,IF(EBAPA2=0,9999,IF(DRB=0,PSEDB/EBAPA2,-LN(1-LN(1+DRB)*PSEDB/C19)/LN(1+DRB))))</f>
        <v>9999</v>
      </c>
      <c r="H22" s="371" t="s">
        <v>420</v>
      </c>
      <c r="I22" s="422">
        <f ca="1">SUM(J17:AM17)</f>
        <v>0</v>
      </c>
    </row>
    <row r="23" spans="2:39" ht="14.65" thickBot="1">
      <c r="B23" t="s">
        <v>419</v>
      </c>
      <c r="C23" s="409">
        <f ca="1">MIN(C22,15)</f>
        <v>15</v>
      </c>
      <c r="H23" s="370" t="s">
        <v>418</v>
      </c>
      <c r="I23" s="423">
        <f ca="1">I22-C17</f>
        <v>-10</v>
      </c>
    </row>
    <row r="24" spans="2:39" ht="14.65" thickBot="1">
      <c r="B24" s="344" t="s">
        <v>417</v>
      </c>
      <c r="C24" s="436">
        <f ca="1">IF(DRB=0,PSEDB/C23,PSEDB*LN(1+DRB)/(1-(1+DRB)^-C23))</f>
        <v>0.66666666666666663</v>
      </c>
      <c r="E24" s="369" t="s">
        <v>416</v>
      </c>
    </row>
    <row r="25" spans="2:39">
      <c r="E25" s="369"/>
    </row>
    <row r="26" spans="2:39">
      <c r="E26" s="369" t="s">
        <v>415</v>
      </c>
    </row>
    <row r="27" spans="2:39">
      <c r="B27" t="s">
        <v>414</v>
      </c>
      <c r="C27" s="348">
        <f ca="1">IF(EBAPA2=0,9999,MIN(IF(DRB=0,C17/EBAPA2,-LN(1-LN(1+DRB)*C17/C19)/LN(1+DRB)),15))</f>
        <v>9999</v>
      </c>
    </row>
    <row r="28" spans="2:39">
      <c r="B28" t="s">
        <v>413</v>
      </c>
      <c r="C28" s="403">
        <f ca="1">C27</f>
        <v>9999</v>
      </c>
      <c r="E28" s="369" t="s">
        <v>412</v>
      </c>
    </row>
    <row r="29" spans="2:39" ht="14.65" thickBot="1">
      <c r="B29" s="344" t="s">
        <v>411</v>
      </c>
      <c r="C29" s="436">
        <f ca="1">IF(DRB=0,C17/C28,C17*LN(1+DRB)/(1-(1+DRB)^-C28))</f>
        <v>1.0001000100010001E-3</v>
      </c>
      <c r="E29" s="369"/>
    </row>
    <row r="31" spans="2:39">
      <c r="B31" t="s">
        <v>410</v>
      </c>
      <c r="C31" s="435">
        <f>IF(DRB=0,0.5,1/LN(1+DRB)-1/DRB)</f>
        <v>0.5</v>
      </c>
      <c r="E31" s="369" t="s">
        <v>409</v>
      </c>
    </row>
    <row r="32" spans="2:39">
      <c r="B32" t="s">
        <v>408</v>
      </c>
      <c r="E32" s="369" t="s">
        <v>407</v>
      </c>
    </row>
    <row r="34" spans="5:5">
      <c r="E34" s="369" t="s">
        <v>406</v>
      </c>
    </row>
    <row r="35" spans="5:5">
      <c r="E35" s="369" t="s">
        <v>405</v>
      </c>
    </row>
    <row r="50" spans="5:5">
      <c r="E50" s="368"/>
    </row>
  </sheetData>
  <mergeCells count="1">
    <mergeCell ref="B9:C14"/>
  </mergeCells>
  <dataValidations count="4">
    <dataValidation type="decimal" allowBlank="1" showInputMessage="1" showErrorMessage="1" sqref="C28">
      <formula1>0.001</formula1>
      <formula2>30</formula2>
    </dataValidation>
    <dataValidation type="decimal" operator="notEqual" allowBlank="1" showInputMessage="1" showErrorMessage="1" sqref="C27 C15:C17 C23">
      <formula1>0</formula1>
    </dataValidation>
    <dataValidation type="decimal" operator="notEqual" allowBlank="1" showInputMessage="1" showErrorMessage="1" sqref="C20">
      <formula1>-1</formula1>
    </dataValidation>
    <dataValidation type="decimal" operator="equal" allowBlank="1" showInputMessage="1" showErrorMessage="1" sqref="I17:I19 I5:I8">
      <formula1>0</formula1>
    </dataValidation>
  </dataValidations>
  <pageMargins left="0.70866141732283472" right="0.70866141732283472" top="0.74803149606299213" bottom="0.74803149606299213" header="0.31496062992125984" footer="0.31496062992125984"/>
  <pageSetup paperSize="9" scale="1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defaultSize="0" autoLine="0" autoPict="0">
                <anchor moveWithCells="1">
                  <from>
                    <xdr:col>2</xdr:col>
                    <xdr:colOff>0</xdr:colOff>
                    <xdr:row>6</xdr:row>
                    <xdr:rowOff>9525</xdr:rowOff>
                  </from>
                  <to>
                    <xdr:col>4</xdr:col>
                    <xdr:colOff>0</xdr:colOff>
                    <xdr:row>7</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J22" sqref="J22"/>
    </sheetView>
  </sheetViews>
  <sheetFormatPr defaultRowHeight="14.25"/>
  <sheetData>
    <row r="1" spans="1:10">
      <c r="A1" t="s">
        <v>501</v>
      </c>
      <c r="B1" t="s">
        <v>500</v>
      </c>
      <c r="C1" t="s">
        <v>499</v>
      </c>
      <c r="D1" t="s">
        <v>498</v>
      </c>
      <c r="E1" t="s">
        <v>497</v>
      </c>
    </row>
    <row r="2" spans="1:10">
      <c r="A2" t="s">
        <v>496</v>
      </c>
      <c r="B2" t="s">
        <v>495</v>
      </c>
      <c r="C2" t="s">
        <v>489</v>
      </c>
      <c r="D2" s="380">
        <v>0.28000000000000003</v>
      </c>
      <c r="E2">
        <f>MATCH(A8,yearQ,0)</f>
        <v>7</v>
      </c>
      <c r="F2" s="382"/>
      <c r="G2" s="382"/>
      <c r="H2" s="383"/>
      <c r="I2" s="382"/>
      <c r="J2" s="381"/>
    </row>
    <row r="3" spans="1:10">
      <c r="A3" t="s">
        <v>495</v>
      </c>
      <c r="B3" t="s">
        <v>176</v>
      </c>
      <c r="C3" t="s">
        <v>486</v>
      </c>
      <c r="D3" s="380">
        <v>0.28000000000000003</v>
      </c>
      <c r="F3" s="382"/>
      <c r="G3" s="382"/>
      <c r="H3" s="383"/>
      <c r="I3" s="382"/>
      <c r="J3" s="381"/>
    </row>
    <row r="4" spans="1:10">
      <c r="A4" t="s">
        <v>494</v>
      </c>
      <c r="B4" t="s">
        <v>493</v>
      </c>
      <c r="C4" t="s">
        <v>483</v>
      </c>
      <c r="D4" s="380">
        <v>0.26</v>
      </c>
      <c r="F4" s="382"/>
      <c r="G4" s="382"/>
      <c r="H4" s="383"/>
      <c r="I4" s="382"/>
      <c r="J4" s="381"/>
    </row>
    <row r="5" spans="1:10">
      <c r="A5" t="s">
        <v>176</v>
      </c>
      <c r="C5" t="s">
        <v>480</v>
      </c>
      <c r="D5" s="380">
        <v>0.24</v>
      </c>
      <c r="F5" s="382"/>
      <c r="G5" s="382"/>
      <c r="H5" s="383"/>
      <c r="I5" s="382"/>
      <c r="J5" s="381"/>
    </row>
    <row r="6" spans="1:10">
      <c r="A6" t="s">
        <v>493</v>
      </c>
      <c r="D6" s="380">
        <v>0.23</v>
      </c>
      <c r="F6" s="382"/>
      <c r="G6" s="382"/>
      <c r="H6" s="383"/>
      <c r="I6" s="382"/>
      <c r="J6" s="381"/>
    </row>
    <row r="7" spans="1:10">
      <c r="A7" t="s">
        <v>492</v>
      </c>
      <c r="D7" s="380">
        <v>0.21</v>
      </c>
      <c r="F7" s="382"/>
      <c r="G7" s="382"/>
      <c r="H7" s="383"/>
      <c r="I7" s="382"/>
      <c r="J7" s="381"/>
    </row>
    <row r="8" spans="1:10">
      <c r="A8" t="s">
        <v>491</v>
      </c>
      <c r="D8" s="380">
        <v>0.2</v>
      </c>
      <c r="F8" s="382"/>
      <c r="G8" s="382"/>
      <c r="H8" s="382"/>
      <c r="I8" s="382"/>
      <c r="J8" s="381"/>
    </row>
    <row r="9" spans="1:10">
      <c r="A9" t="s">
        <v>490</v>
      </c>
      <c r="D9" s="380">
        <v>0.2</v>
      </c>
      <c r="F9" s="382"/>
      <c r="G9" s="382"/>
      <c r="H9" s="382"/>
      <c r="I9" s="382"/>
      <c r="J9" s="381"/>
    </row>
    <row r="10" spans="1:10">
      <c r="A10" t="s">
        <v>489</v>
      </c>
      <c r="D10" s="380">
        <v>0.19</v>
      </c>
      <c r="F10" s="382"/>
      <c r="G10" s="382"/>
      <c r="H10" s="382"/>
      <c r="I10" s="382"/>
      <c r="J10" s="381"/>
    </row>
    <row r="11" spans="1:10">
      <c r="A11" t="s">
        <v>488</v>
      </c>
      <c r="D11" s="380">
        <v>0.19</v>
      </c>
      <c r="F11" s="382"/>
      <c r="G11" s="382"/>
      <c r="H11" s="382"/>
      <c r="I11" s="382"/>
      <c r="J11" s="381"/>
    </row>
    <row r="12" spans="1:10">
      <c r="A12" t="s">
        <v>487</v>
      </c>
      <c r="D12" s="380">
        <v>0.19</v>
      </c>
      <c r="F12" s="382"/>
      <c r="G12" s="382"/>
      <c r="H12" s="382"/>
      <c r="I12" s="382"/>
      <c r="J12" s="381"/>
    </row>
    <row r="13" spans="1:10">
      <c r="A13" t="s">
        <v>486</v>
      </c>
      <c r="D13" s="380">
        <v>0.17</v>
      </c>
      <c r="F13" s="382"/>
      <c r="G13" s="382"/>
      <c r="H13" s="382"/>
      <c r="I13" s="382"/>
      <c r="J13" s="381"/>
    </row>
    <row r="14" spans="1:10">
      <c r="A14" t="s">
        <v>485</v>
      </c>
      <c r="D14" s="380"/>
    </row>
    <row r="15" spans="1:10">
      <c r="A15" t="s">
        <v>484</v>
      </c>
      <c r="D15" s="380"/>
    </row>
    <row r="16" spans="1:10">
      <c r="A16" t="s">
        <v>483</v>
      </c>
      <c r="D16" s="380"/>
    </row>
    <row r="17" spans="1:9">
      <c r="A17" t="s">
        <v>482</v>
      </c>
      <c r="D17" s="380"/>
    </row>
    <row r="18" spans="1:9">
      <c r="A18" t="s">
        <v>481</v>
      </c>
      <c r="D18" s="380"/>
    </row>
    <row r="19" spans="1:9">
      <c r="A19" t="s">
        <v>480</v>
      </c>
      <c r="D19" s="380"/>
    </row>
    <row r="20" spans="1:9">
      <c r="A20" t="s">
        <v>479</v>
      </c>
      <c r="D20" s="380"/>
    </row>
    <row r="21" spans="1:9">
      <c r="A21" t="s">
        <v>478</v>
      </c>
      <c r="D21" s="380"/>
    </row>
    <row r="22" spans="1:9">
      <c r="A22" t="s">
        <v>477</v>
      </c>
      <c r="D22" s="380"/>
    </row>
    <row r="23" spans="1:9">
      <c r="A23" t="s">
        <v>476</v>
      </c>
      <c r="D23" s="380"/>
    </row>
    <row r="24" spans="1:9">
      <c r="A24" t="s">
        <v>475</v>
      </c>
      <c r="D24" s="380"/>
    </row>
    <row r="25" spans="1:9">
      <c r="A25" t="s">
        <v>474</v>
      </c>
      <c r="D25" s="380"/>
      <c r="H25">
        <v>2032</v>
      </c>
      <c r="I25">
        <v>2033</v>
      </c>
    </row>
    <row r="26" spans="1:9">
      <c r="A26" t="str">
        <f t="shared" ref="A26:A50" si="0">H26&amp;"-"&amp;RIGHT(I26,2)</f>
        <v>2033-34</v>
      </c>
      <c r="D26" s="380"/>
      <c r="H26">
        <v>2033</v>
      </c>
      <c r="I26">
        <v>2034</v>
      </c>
    </row>
    <row r="27" spans="1:9">
      <c r="A27" t="str">
        <f t="shared" si="0"/>
        <v>2034-35</v>
      </c>
      <c r="H27">
        <v>2034</v>
      </c>
      <c r="I27">
        <v>2035</v>
      </c>
    </row>
    <row r="28" spans="1:9">
      <c r="A28" t="str">
        <f t="shared" si="0"/>
        <v>2035-36</v>
      </c>
      <c r="H28">
        <v>2035</v>
      </c>
      <c r="I28">
        <v>2036</v>
      </c>
    </row>
    <row r="29" spans="1:9">
      <c r="A29" t="str">
        <f t="shared" si="0"/>
        <v>2036-37</v>
      </c>
      <c r="B29" t="s">
        <v>473</v>
      </c>
      <c r="C29" t="s">
        <v>472</v>
      </c>
      <c r="H29">
        <v>2036</v>
      </c>
      <c r="I29">
        <v>2037</v>
      </c>
    </row>
    <row r="30" spans="1:9">
      <c r="A30" t="str">
        <f t="shared" si="0"/>
        <v>2037-38</v>
      </c>
      <c r="B30">
        <v>1</v>
      </c>
      <c r="C30">
        <v>1</v>
      </c>
      <c r="H30">
        <v>2037</v>
      </c>
      <c r="I30">
        <v>2038</v>
      </c>
    </row>
    <row r="31" spans="1:9">
      <c r="A31" t="str">
        <f t="shared" si="0"/>
        <v>2038-39</v>
      </c>
      <c r="B31" t="s">
        <v>471</v>
      </c>
      <c r="C31" t="s">
        <v>470</v>
      </c>
      <c r="H31">
        <v>2038</v>
      </c>
      <c r="I31">
        <v>2039</v>
      </c>
    </row>
    <row r="32" spans="1:9">
      <c r="A32" t="str">
        <f t="shared" si="0"/>
        <v>2039-40</v>
      </c>
      <c r="B32">
        <f>MATCH(INDEX(pco1Q,pco1A),yearQ,0)</f>
        <v>2</v>
      </c>
      <c r="C32">
        <f>MATCH(INDEX(rrQ,rrA),yearQ,0)</f>
        <v>18</v>
      </c>
      <c r="H32">
        <v>2039</v>
      </c>
      <c r="I32">
        <v>2040</v>
      </c>
    </row>
    <row r="33" spans="1:9">
      <c r="A33" t="str">
        <f t="shared" si="0"/>
        <v>2040-41</v>
      </c>
      <c r="C33" t="s">
        <v>469</v>
      </c>
      <c r="H33">
        <v>2040</v>
      </c>
      <c r="I33">
        <v>2041</v>
      </c>
    </row>
    <row r="34" spans="1:9">
      <c r="A34" t="str">
        <f t="shared" si="0"/>
        <v>2041-42</v>
      </c>
      <c r="C34">
        <f>rr_num+3</f>
        <v>21</v>
      </c>
      <c r="H34">
        <v>2041</v>
      </c>
      <c r="I34">
        <v>2042</v>
      </c>
    </row>
    <row r="35" spans="1:9">
      <c r="A35" t="str">
        <f t="shared" si="0"/>
        <v>2042-43</v>
      </c>
      <c r="C35" t="s">
        <v>468</v>
      </c>
      <c r="H35">
        <v>2042</v>
      </c>
      <c r="I35">
        <v>2043</v>
      </c>
    </row>
    <row r="36" spans="1:9">
      <c r="A36" t="str">
        <f t="shared" si="0"/>
        <v>2043-44</v>
      </c>
      <c r="C36">
        <f>rr2_num+3</f>
        <v>24</v>
      </c>
      <c r="H36">
        <v>2043</v>
      </c>
      <c r="I36">
        <v>2044</v>
      </c>
    </row>
    <row r="37" spans="1:9">
      <c r="A37" t="str">
        <f t="shared" si="0"/>
        <v>2044-45</v>
      </c>
      <c r="H37">
        <v>2044</v>
      </c>
      <c r="I37">
        <v>2045</v>
      </c>
    </row>
    <row r="38" spans="1:9">
      <c r="A38" t="str">
        <f t="shared" si="0"/>
        <v>2045-46</v>
      </c>
      <c r="H38">
        <v>2045</v>
      </c>
      <c r="I38">
        <v>2046</v>
      </c>
    </row>
    <row r="39" spans="1:9">
      <c r="A39" t="str">
        <f t="shared" si="0"/>
        <v>2046-47</v>
      </c>
      <c r="H39">
        <v>2046</v>
      </c>
      <c r="I39">
        <v>2047</v>
      </c>
    </row>
    <row r="40" spans="1:9">
      <c r="A40" t="str">
        <f t="shared" si="0"/>
        <v>2047-48</v>
      </c>
      <c r="H40">
        <v>2047</v>
      </c>
      <c r="I40">
        <v>2048</v>
      </c>
    </row>
    <row r="41" spans="1:9">
      <c r="A41" t="str">
        <f t="shared" si="0"/>
        <v>2048-49</v>
      </c>
      <c r="H41">
        <v>2048</v>
      </c>
      <c r="I41">
        <v>2049</v>
      </c>
    </row>
    <row r="42" spans="1:9">
      <c r="A42" t="str">
        <f t="shared" si="0"/>
        <v>2049-50</v>
      </c>
      <c r="H42">
        <v>2049</v>
      </c>
      <c r="I42">
        <v>2050</v>
      </c>
    </row>
    <row r="43" spans="1:9">
      <c r="A43" t="str">
        <f t="shared" si="0"/>
        <v>2050-51</v>
      </c>
      <c r="H43">
        <v>2050</v>
      </c>
      <c r="I43">
        <v>2051</v>
      </c>
    </row>
    <row r="44" spans="1:9">
      <c r="A44" t="str">
        <f t="shared" si="0"/>
        <v>2051-52</v>
      </c>
      <c r="H44">
        <v>2051</v>
      </c>
      <c r="I44">
        <v>2052</v>
      </c>
    </row>
    <row r="45" spans="1:9">
      <c r="A45" t="str">
        <f t="shared" si="0"/>
        <v>2052-53</v>
      </c>
      <c r="H45">
        <v>2052</v>
      </c>
      <c r="I45">
        <v>2053</v>
      </c>
    </row>
    <row r="46" spans="1:9">
      <c r="A46" t="str">
        <f t="shared" si="0"/>
        <v>2053-54</v>
      </c>
      <c r="H46">
        <v>2053</v>
      </c>
      <c r="I46">
        <v>2054</v>
      </c>
    </row>
    <row r="47" spans="1:9">
      <c r="A47" t="str">
        <f t="shared" si="0"/>
        <v>2054-55</v>
      </c>
      <c r="H47">
        <v>2054</v>
      </c>
      <c r="I47">
        <v>2055</v>
      </c>
    </row>
    <row r="48" spans="1:9">
      <c r="A48" t="str">
        <f t="shared" si="0"/>
        <v>2055-56</v>
      </c>
      <c r="H48">
        <v>2055</v>
      </c>
      <c r="I48">
        <v>2056</v>
      </c>
    </row>
    <row r="49" spans="1:9">
      <c r="A49" t="str">
        <f t="shared" si="0"/>
        <v>2056-57</v>
      </c>
      <c r="H49">
        <v>2056</v>
      </c>
      <c r="I49">
        <v>2057</v>
      </c>
    </row>
    <row r="50" spans="1:9">
      <c r="A50" t="str">
        <f t="shared" si="0"/>
        <v>2057-58</v>
      </c>
      <c r="H50">
        <v>2057</v>
      </c>
      <c r="I50">
        <v>2058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24"/>
  <sheetViews>
    <sheetView zoomScaleNormal="100" workbookViewId="0">
      <selection activeCell="H21" sqref="H21"/>
    </sheetView>
  </sheetViews>
  <sheetFormatPr defaultColWidth="9.1328125" defaultRowHeight="13.5"/>
  <cols>
    <col min="1" max="1" width="56" style="296" customWidth="1"/>
    <col min="2" max="2" width="6.53125" style="296" customWidth="1"/>
    <col min="3" max="3" width="10.1328125" style="296" customWidth="1"/>
    <col min="4" max="16384" width="9.1328125" style="296"/>
  </cols>
  <sheetData>
    <row r="1" spans="1:9" ht="19.899999999999999">
      <c r="A1" s="265" t="s">
        <v>284</v>
      </c>
      <c r="B1" s="265"/>
      <c r="C1" s="265"/>
      <c r="D1" s="265"/>
      <c r="E1" s="265"/>
      <c r="F1" s="265"/>
      <c r="G1" s="265"/>
      <c r="H1" s="265"/>
      <c r="I1" s="265"/>
    </row>
    <row r="2" spans="1:9" ht="19.899999999999999">
      <c r="A2" s="265" t="str">
        <f>+'Pension Pack cover'!D12</f>
        <v xml:space="preserve">NWO Group Name </v>
      </c>
      <c r="B2" s="265"/>
      <c r="C2" s="265"/>
      <c r="D2" s="265"/>
      <c r="E2" s="265"/>
      <c r="F2" s="265"/>
      <c r="G2" s="265"/>
      <c r="H2" s="265"/>
      <c r="I2" s="265"/>
    </row>
    <row r="3" spans="1:9" ht="19.899999999999999">
      <c r="A3" s="385">
        <f>+'Pension Pack cover'!D24</f>
        <v>2020</v>
      </c>
      <c r="B3" s="265"/>
      <c r="C3" s="265"/>
      <c r="D3" s="265"/>
      <c r="E3" s="265"/>
      <c r="F3" s="265"/>
      <c r="G3" s="265"/>
      <c r="H3" s="265"/>
      <c r="I3" s="265"/>
    </row>
    <row r="4" spans="1:9" ht="17.649999999999999">
      <c r="A4" s="295" t="s">
        <v>542</v>
      </c>
    </row>
    <row r="5" spans="1:9">
      <c r="A5" s="297" t="s">
        <v>282</v>
      </c>
    </row>
    <row r="7" spans="1:9">
      <c r="A7" s="300" t="s">
        <v>271</v>
      </c>
      <c r="B7" s="301" t="s">
        <v>2</v>
      </c>
      <c r="C7" s="302"/>
      <c r="D7" s="299"/>
      <c r="E7" s="299"/>
    </row>
    <row r="8" spans="1:9">
      <c r="A8" s="300" t="s">
        <v>272</v>
      </c>
      <c r="B8" s="301" t="s">
        <v>2</v>
      </c>
      <c r="C8" s="302"/>
      <c r="D8" s="299"/>
      <c r="E8" s="299"/>
    </row>
    <row r="9" spans="1:9" ht="25.15">
      <c r="A9" s="298" t="s">
        <v>273</v>
      </c>
      <c r="B9" s="301" t="s">
        <v>2</v>
      </c>
      <c r="C9" s="302"/>
      <c r="D9" s="299"/>
      <c r="E9" s="299"/>
    </row>
    <row r="10" spans="1:9" ht="25.15">
      <c r="A10" s="298" t="s">
        <v>274</v>
      </c>
      <c r="B10" s="301" t="s">
        <v>2</v>
      </c>
      <c r="C10" s="302"/>
      <c r="D10" s="299"/>
      <c r="E10" s="299"/>
    </row>
    <row r="11" spans="1:9" ht="29.25" customHeight="1">
      <c r="A11" s="298" t="s">
        <v>277</v>
      </c>
      <c r="B11" s="301" t="s">
        <v>2</v>
      </c>
      <c r="C11" s="302"/>
      <c r="D11" s="299"/>
      <c r="E11" s="299"/>
    </row>
    <row r="12" spans="1:9" ht="26.25" customHeight="1">
      <c r="A12" s="298" t="s">
        <v>278</v>
      </c>
      <c r="B12" s="301" t="s">
        <v>2</v>
      </c>
      <c r="C12" s="302"/>
      <c r="D12" s="299"/>
      <c r="E12" s="299"/>
    </row>
    <row r="13" spans="1:9" ht="25.15">
      <c r="A13" s="298" t="s">
        <v>279</v>
      </c>
      <c r="B13" s="301" t="s">
        <v>2</v>
      </c>
      <c r="C13" s="302"/>
      <c r="D13" s="299"/>
      <c r="E13" s="299"/>
    </row>
    <row r="14" spans="1:9" ht="25.15">
      <c r="A14" s="306" t="s">
        <v>280</v>
      </c>
      <c r="B14" s="307" t="s">
        <v>2</v>
      </c>
      <c r="C14" s="302"/>
      <c r="D14" s="299"/>
      <c r="E14" s="299"/>
    </row>
    <row r="15" spans="1:9" ht="14.25">
      <c r="A15" s="480" t="s">
        <v>288</v>
      </c>
      <c r="B15" s="481"/>
      <c r="C15" s="305">
        <f>+'P1.1 PDAM Licensee provided'!C101</f>
        <v>2017</v>
      </c>
      <c r="D15" s="304">
        <f>+'P1.1 PDAM Licensee provided'!D101</f>
        <v>2018</v>
      </c>
      <c r="E15" s="304">
        <f>+'P1.1 PDAM Licensee provided'!E101</f>
        <v>2019</v>
      </c>
    </row>
    <row r="16" spans="1:9">
      <c r="A16" s="308" t="s">
        <v>287</v>
      </c>
      <c r="B16" s="309" t="s">
        <v>2</v>
      </c>
      <c r="C16" s="302"/>
      <c r="D16" s="302"/>
      <c r="E16" s="302"/>
    </row>
    <row r="18" spans="1:5">
      <c r="A18" s="297" t="s">
        <v>283</v>
      </c>
    </row>
    <row r="19" spans="1:5" ht="25.15">
      <c r="A19" s="298" t="s">
        <v>275</v>
      </c>
      <c r="B19" s="294"/>
      <c r="C19" s="310">
        <f>(+C7*C9)+(C8*C10)</f>
        <v>0</v>
      </c>
    </row>
    <row r="20" spans="1:5" ht="25.15">
      <c r="A20" s="298" t="s">
        <v>276</v>
      </c>
      <c r="B20" s="299"/>
      <c r="C20" s="310">
        <f>(+C7*C11)+(C8*C12)</f>
        <v>0</v>
      </c>
    </row>
    <row r="21" spans="1:5" ht="25.15">
      <c r="A21" s="298" t="s">
        <v>281</v>
      </c>
      <c r="B21" s="299"/>
      <c r="C21" s="310">
        <f>(C19*C13)+(C20*C14)</f>
        <v>0</v>
      </c>
    </row>
    <row r="22" spans="1:5" ht="14.25">
      <c r="A22" s="480" t="s">
        <v>288</v>
      </c>
      <c r="B22" s="481"/>
      <c r="C22" s="305">
        <f>+C15</f>
        <v>2017</v>
      </c>
      <c r="D22" s="305">
        <f>+D15</f>
        <v>2018</v>
      </c>
      <c r="E22" s="305">
        <f>+E15</f>
        <v>2019</v>
      </c>
    </row>
    <row r="23" spans="1:5" ht="25.15">
      <c r="A23" s="303" t="s">
        <v>285</v>
      </c>
      <c r="B23" s="299"/>
      <c r="C23" s="310" t="e">
        <f>(C16*$C19)/$C21</f>
        <v>#DIV/0!</v>
      </c>
      <c r="D23" s="310" t="e">
        <f>(D16*$C19)/$C21</f>
        <v>#DIV/0!</v>
      </c>
      <c r="E23" s="310" t="e">
        <f>(E16*$C19)/$C21</f>
        <v>#DIV/0!</v>
      </c>
    </row>
    <row r="24" spans="1:5" ht="25.15">
      <c r="A24" s="303" t="s">
        <v>286</v>
      </c>
      <c r="B24" s="299"/>
      <c r="C24" s="310" t="e">
        <f>(+C16*$C20)/$C21</f>
        <v>#DIV/0!</v>
      </c>
      <c r="D24" s="310" t="e">
        <f>(+D16*$C20)/$C21</f>
        <v>#DIV/0!</v>
      </c>
      <c r="E24" s="310" t="e">
        <f>(+E16*$C20)/$C21</f>
        <v>#DIV/0!</v>
      </c>
    </row>
  </sheetData>
  <mergeCells count="2">
    <mergeCell ref="A22:B22"/>
    <mergeCell ref="A15:B15"/>
  </mergeCells>
  <phoneticPr fontId="43" type="noConversion"/>
  <printOptions gridLines="1"/>
  <pageMargins left="0.70866141732283472" right="0.70866141732283472" top="0.74803149606299213" bottom="0.74803149606299213" header="0.31496062992125984" footer="0.31496062992125984"/>
  <pageSetup paperSize="9" scale="9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Classification xmlns="631298fc-6a88-4548-b7d9-3b164918c4a3">Unclassified</Classification>
    <Recipient xmlns="631298fc-6a88-4548-b7d9-3b164918c4a3" xsi:nil="true"/>
    <Descriptor xmlns="631298fc-6a88-4548-b7d9-3b164918c4a3" xsi:nil="true"/>
    <_Status xmlns="http://schemas.microsoft.com/sharepoint/v3/fields">Draft</_Status>
    <Applicable_x0020_Start_x0020_Date xmlns="631298fc-6a88-4548-b7d9-3b164918c4a3">2019-03-22T00:00:00+00:00</Applicable_x0020_Start_x0020_Date>
    <Applicable_x0020_Duration xmlns="631298fc-6a88-4548-b7d9-3b164918c4a3">-</Applicable_x0020_Duration>
  </documentManagement>
</p:properties>
</file>

<file path=customXml/item2.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a9306fc-8436-45f0-b931-e34f519be3a3" ContentTypeId="0x010100BEF857C979C03448B587B28C0D359605" PreviousValue="true"/>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E3F2C1A4-83D1-4DB5-AFD4-67DB63192AC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FFFD5F58-B29E-4831-A826-B9D38B4FB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E927B1-9A60-49AB-816F-3C4AA056C9E3}">
  <ds:schemaRefs>
    <ds:schemaRef ds:uri="http://schemas.microsoft.com/sharepoint/v3/contenttype/forms"/>
  </ds:schemaRefs>
</ds:datastoreItem>
</file>

<file path=customXml/itemProps4.xml><?xml version="1.0" encoding="utf-8"?>
<ds:datastoreItem xmlns:ds="http://schemas.openxmlformats.org/officeDocument/2006/customXml" ds:itemID="{4E090287-5B46-49A9-B0E3-A2C548B1959F}">
  <ds:schemaRefs>
    <ds:schemaRef ds:uri="Microsoft.SharePoint.Taxonomy.ContentTypeSync"/>
  </ds:schemaRefs>
</ds:datastoreItem>
</file>

<file path=customXml/itemProps5.xml><?xml version="1.0" encoding="utf-8"?>
<ds:datastoreItem xmlns:ds="http://schemas.openxmlformats.org/officeDocument/2006/customXml" ds:itemID="{7AE4790F-F4AB-4D08-8E03-DAB235483F5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44</vt:i4>
      </vt:variant>
    </vt:vector>
  </HeadingPairs>
  <TitlesOfParts>
    <vt:vector size="63" baseType="lpstr">
      <vt:lpstr>Pension Pack cover</vt:lpstr>
      <vt:lpstr>Version control</vt:lpstr>
      <vt:lpstr>Contents</vt:lpstr>
      <vt:lpstr>Changes Log</vt:lpstr>
      <vt:lpstr>P1.1 PDAM Licensee provided</vt:lpstr>
      <vt:lpstr>P1.2 PDAM Actuary provided data</vt:lpstr>
      <vt:lpstr>P1.3 Deleted </vt:lpstr>
      <vt:lpstr>P1.4 Pensions_PPF_Admin</vt:lpstr>
      <vt:lpstr>P1.5 Calculation of Vrr - L1</vt:lpstr>
      <vt:lpstr>P1.6 IBAPA and PBAPA - L1</vt:lpstr>
      <vt:lpstr>controls - do not change</vt:lpstr>
      <vt:lpstr>P2.1 PDAM Licensee provided</vt:lpstr>
      <vt:lpstr>P2.2 PDAM Actuary provided</vt:lpstr>
      <vt:lpstr>P2.3 Deleted</vt:lpstr>
      <vt:lpstr>P2.4 Pensions_PPF_Admin</vt:lpstr>
      <vt:lpstr>P2.5 Calculation of Vrr - L2</vt:lpstr>
      <vt:lpstr>P2.6 IBAPA and PBAPA - L2</vt:lpstr>
      <vt:lpstr>controls - do not change (2)</vt:lpstr>
      <vt:lpstr>Para 6.20 adjustments</vt:lpstr>
      <vt:lpstr>'Para 6.20 adjustments'!_Toc352922511</vt:lpstr>
      <vt:lpstr>CT</vt:lpstr>
      <vt:lpstr>DP5TUV__year</vt:lpstr>
      <vt:lpstr>DP5TUV_year</vt:lpstr>
      <vt:lpstr>DRA</vt:lpstr>
      <vt:lpstr>DRB</vt:lpstr>
      <vt:lpstr>EBAPA1</vt:lpstr>
      <vt:lpstr>EBAPA2</vt:lpstr>
      <vt:lpstr>f_1</vt:lpstr>
      <vt:lpstr>f_2</vt:lpstr>
      <vt:lpstr>flatBAPA1</vt:lpstr>
      <vt:lpstr>flatBAPA2</vt:lpstr>
      <vt:lpstr>flatPBAPA1</vt:lpstr>
      <vt:lpstr>flatPBAPA2</vt:lpstr>
      <vt:lpstr>irp_1</vt:lpstr>
      <vt:lpstr>irp_2</vt:lpstr>
      <vt:lpstr>PBAPA</vt:lpstr>
      <vt:lpstr>pco1_num</vt:lpstr>
      <vt:lpstr>pco1A</vt:lpstr>
      <vt:lpstr>pco1Q</vt:lpstr>
      <vt:lpstr>Contents!Print_Area</vt:lpstr>
      <vt:lpstr>'P1.1 PDAM Licensee provided'!Print_Area</vt:lpstr>
      <vt:lpstr>'P1.2 PDAM Actuary provided data'!Print_Area</vt:lpstr>
      <vt:lpstr>'P1.3 Deleted '!Print_Area</vt:lpstr>
      <vt:lpstr>'P1.4 Pensions_PPF_Admin'!Print_Area</vt:lpstr>
      <vt:lpstr>'P2.1 PDAM Licensee provided'!Print_Area</vt:lpstr>
      <vt:lpstr>'P2.2 PDAM Actuary provided'!Print_Area</vt:lpstr>
      <vt:lpstr>'P2.3 Deleted'!Print_Area</vt:lpstr>
      <vt:lpstr>'P2.4 Pensions_PPF_Admin'!Print_Area</vt:lpstr>
      <vt:lpstr>'Pension Pack cover'!Print_Area</vt:lpstr>
      <vt:lpstr>'Version control'!Print_Area</vt:lpstr>
      <vt:lpstr>PSEDA</vt:lpstr>
      <vt:lpstr>PSEDB</vt:lpstr>
      <vt:lpstr>rpa_1</vt:lpstr>
      <vt:lpstr>rpa_2</vt:lpstr>
      <vt:lpstr>rr_num</vt:lpstr>
      <vt:lpstr>rr2_num</vt:lpstr>
      <vt:lpstr>rr3_num</vt:lpstr>
      <vt:lpstr>rrA</vt:lpstr>
      <vt:lpstr>rrQ</vt:lpstr>
      <vt:lpstr>y_1</vt:lpstr>
      <vt:lpstr>y_2</vt:lpstr>
      <vt:lpstr>Year</vt:lpstr>
      <vt:lpstr>yearQ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Pension RIGs (Regulatory Instructions and Guidance) tables</dc:title>
  <dc:subject>Draft Pension RIGs tables</dc:subject>
  <dc:creator/>
  <cp:lastModifiedBy/>
  <cp:lastPrinted>2013-04-08T09:34:09Z</cp:lastPrinted>
  <dcterms:created xsi:type="dcterms:W3CDTF">2012-11-01T13:24:06Z</dcterms:created>
  <dcterms:modified xsi:type="dcterms:W3CDTF">2020-04-28T15:05:06Z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0x010100BEF857C979C03448B587B28C0D35960500299C6ADD4A6AB54A9176CBB9E1C669A7</vt:lpwstr>
  </property>
  <property fmtid="{D5CDD505-2E9C-101B-9397-08002B2CF9AE}" pid="3" name="Classification">
    <vt:lpwstr>Unclassified</vt:lpwstr>
  </property>
  <property fmtid="{D5CDD505-2E9C-101B-9397-08002B2CF9AE}" pid="4" name="Descriptor">
    <vt:lpwstr/>
  </property>
  <property fmtid="{D5CDD505-2E9C-101B-9397-08002B2CF9AE}" pid="5" name="Applicable Start Date">
    <vt:lpwstr>2013-04-12T00:00:00Z</vt:lpwstr>
  </property>
  <property fmtid="{D5CDD505-2E9C-101B-9397-08002B2CF9AE}" pid="6" name="Applicable Duration">
    <vt:lpwstr>-</vt:lpwstr>
  </property>
  <property fmtid="{D5CDD505-2E9C-101B-9397-08002B2CF9AE}" pid="7" name="::">
    <vt:lpwstr>-Main Document</vt:lpwstr>
  </property>
  <property fmtid="{D5CDD505-2E9C-101B-9397-08002B2CF9AE}" pid="8" name="Organisation">
    <vt:lpwstr>OFGEM</vt:lpwstr>
  </property>
  <property fmtid="{D5CDD505-2E9C-101B-9397-08002B2CF9AE}" pid="9" name="_Status">
    <vt:lpwstr>Draft</vt:lpwstr>
  </property>
  <property fmtid="{D5CDD505-2E9C-101B-9397-08002B2CF9AE}" pid="10" name="Publication Date:">
    <vt:filetime>2013-04-11T23:00:00Z</vt:filetime>
  </property>
  <property fmtid="{D5CDD505-2E9C-101B-9397-08002B2CF9AE}" pid="11" name="Meeting Date">
    <vt:lpwstr/>
  </property>
  <property fmtid="{D5CDD505-2E9C-101B-9397-08002B2CF9AE}" pid="12" name="docIndexRef">
    <vt:lpwstr>a3d647cb-8a28-45e7-88be-2200cc727fd0</vt:lpwstr>
  </property>
  <property fmtid="{D5CDD505-2E9C-101B-9397-08002B2CF9AE}" pid="13" name="bjSaver">
    <vt:lpwstr>BczmxCgYejnwIiiZNXgDoCfnUqUDWxJI</vt:lpwstr>
  </property>
  <property fmtid="{D5CDD505-2E9C-101B-9397-08002B2CF9AE}" pid="14" name="BJSCc5a055b0-1bed-4579_x">
    <vt:lpwstr/>
  </property>
  <property fmtid="{D5CDD505-2E9C-101B-9397-08002B2CF9AE}" pid="15" name="BJSCdd9eba61-d6b9-469b_x">
    <vt:lpwstr/>
  </property>
  <property fmtid="{D5CDD505-2E9C-101B-9397-08002B2CF9AE}" pid="16" name="BJSCSummaryMarking">
    <vt:lpwstr>This item has no classification</vt:lpwstr>
  </property>
  <property fmtid="{D5CDD505-2E9C-101B-9397-08002B2CF9AE}" pid="1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8" name="bjDocumentSecurityLabel">
    <vt:lpwstr>This item has no classification</vt:lpwstr>
  </property>
</Properties>
</file>