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worthC\Desktop\Data files\"/>
    </mc:Choice>
  </mc:AlternateContent>
  <bookViews>
    <workbookView xWindow="480" yWindow="137" windowWidth="13003" windowHeight="7157"/>
  </bookViews>
  <sheets>
    <sheet name="Cover" sheetId="59" r:id="rId1"/>
    <sheet name="Universal data" sheetId="25" r:id="rId2"/>
    <sheet name="Index" sheetId="1" r:id="rId3"/>
    <sheet name="Outputs" sheetId="6" r:id="rId4"/>
    <sheet name="Incentives - tables" sheetId="10" r:id="rId5"/>
    <sheet name="Incentives - charts " sheetId="37" r:id="rId6"/>
    <sheet name="Innovation" sheetId="28" r:id="rId7"/>
    <sheet name="Consumer bill impact" sheetId="27" r:id="rId8"/>
    <sheet name="8-year TO forecasts" sheetId="11" r:id="rId9"/>
    <sheet name="NGET SO totex performance" sheetId="12" r:id="rId10"/>
    <sheet name="RORE" sheetId="38" r:id="rId11"/>
    <sheet name="Forecast &quot;True up&quot; 1" sheetId="29" r:id="rId12"/>
    <sheet name="Forecast &quot;True up&quot; 2" sheetId="33" r:id="rId13"/>
    <sheet name="NGET T1+2" sheetId="34" r:id="rId14"/>
    <sheet name="SHET T1+2" sheetId="36" r:id="rId15"/>
    <sheet name="SHET Crossover" sheetId="35"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_IntlFixup" hidden="1">TRUE</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3" hidden="1">'NGET T1+2'!$B$37:$T$37</definedName>
    <definedName name="_ftn1" localSheetId="2">Index!#REF!</definedName>
    <definedName name="_ftn2" localSheetId="7">'Consumer bill impact'!$C$8</definedName>
    <definedName name="_ftn3" localSheetId="3">Outputs!$B$83</definedName>
    <definedName name="_ftn4" localSheetId="3">Outputs!$B$84</definedName>
    <definedName name="_ftn5" localSheetId="3">Outputs!$B$85</definedName>
    <definedName name="_ftn6" localSheetId="3">Outputs!$B$86</definedName>
    <definedName name="_ftn7" localSheetId="3">Outputs!$B$92</definedName>
    <definedName name="_ftn8" localSheetId="3">Outputs!$B$93</definedName>
    <definedName name="_ftn9" localSheetId="3">Outputs!$B$94</definedName>
    <definedName name="_ftnref1" localSheetId="2">Index!$B$31</definedName>
    <definedName name="_ftnref2" localSheetId="7">'Consumer bill impact'!$C$4</definedName>
    <definedName name="_ftnref3" localSheetId="3">Outputs!$C$23</definedName>
    <definedName name="_ftnref4" localSheetId="3">Outputs!$D$23</definedName>
    <definedName name="_ftnref5" localSheetId="3">Outputs!$C$51</definedName>
    <definedName name="_ftnref6" localSheetId="3">Outputs!#REF!</definedName>
    <definedName name="_ftnref7" localSheetId="3">Outputs!$C$47</definedName>
    <definedName name="_ftnref8" localSheetId="3">Outputs!$C$72</definedName>
    <definedName name="_ftnref9" localSheetId="3">Outputs!$C$82</definedName>
    <definedName name="_Order1" hidden="1">255</definedName>
    <definedName name="_Order2" hidden="1">0</definedName>
    <definedName name="_Ref468444576" localSheetId="2">Index!#REF!</definedName>
    <definedName name="_Ref472695701" localSheetId="2">Index!#REF!</definedName>
    <definedName name="_Ref532457604" localSheetId="3">Outputs!#REF!</definedName>
    <definedName name="AccessDatabase" hidden="1">"C:\My Documents\MAUI MALL1.mdb"</definedName>
    <definedName name="b" hidden="1">{#N/A,#N/A,FALSE,"DI 2 YEAR MASTER SCHEDULE"}</definedName>
    <definedName name="bb" hidden="1">{#N/A,#N/A,FALSE,"PRJCTED MNTHLY QTY's"}</definedName>
    <definedName name="bbbb" hidden="1">{#N/A,#N/A,FALSE,"PRJCTED QTRLY QTY's"}</definedName>
    <definedName name="bbbbbb" hidden="1">{#N/A,#N/A,FALSE,"PRJCTED QTRLY QTY's"}</definedName>
    <definedName name="f" hidden="1">{"'PRODUCTIONCOST SHEET'!$B$3:$G$48"}</definedName>
    <definedName name="ff" hidden="1">{#N/A,#N/A,FALSE,"PRJCTED MNTHLY QTY's"}</definedName>
    <definedName name="fffff" hidden="1">{#N/A,#N/A,FALSE,"PRJCTED QTRLY QTY's"}</definedName>
    <definedName name="gjk" hidden="1">{#N/A,#N/A,FALSE,"DI 2 YEAR MASTER SCHEDULE"}</definedName>
    <definedName name="hh"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l" hidden="1">{#N/A,#N/A,FALSE,"DI 2 YEAR MASTER SCHEDULE"}</definedName>
    <definedName name="lkl" hidden="1">{#N/A,#N/A,FALSE,"DI 2 YEAR MASTER SCHEDULE"}</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nn" hidden="1">{#N/A,#N/A,FALSE,"PRJCTED QTRLY $'s"}</definedName>
    <definedName name="Output_level_1">'[1]4.2_LRScheme_Expenditure'!$B$533:$B$557</definedName>
    <definedName name="Output_level_3">'[1]4.2_LRScheme_Expenditure'!$B$583:$B$584</definedName>
    <definedName name="Pal_Workbook_GUID" hidden="1">"LJ9YVKRJVQ1A1KNUG7XIT5A9"</definedName>
    <definedName name="qs" hidden="1">{#N/A,#N/A,FALSE,"PRJCTED MNTHLY QTY's"}</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2</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"Wide"</definedName>
    <definedName name="SAPsysID" hidden="1">"708C5W7SBKP804JT78WJ0JNKI"</definedName>
    <definedName name="SAPwbID" hidden="1">"ARS"</definedName>
    <definedName name="Scheme_status">'[1]4.2_LRScheme_Expenditure'!$B$522:$B$530</definedName>
    <definedName name="Status">'[1]4.8_Physical_Security_Capex'!$T$15:$T$18</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u" hidden="1">{#VALUE!,#N/A,FALSE,0}</definedName>
    <definedName name="UAG" hidden="1">{#N/A,#N/A,FALSE,"DI 2 YEAR MASTER SCHEDULE"}</definedName>
    <definedName name="v" hidden="1">{"Japan_Capers_Ed_Pub",#N/A,FALSE,"DI 2 YEAR MASTER SCHEDULE"}</definedName>
    <definedName name="wrn.CapersPlotter." hidden="1">{#N/A,#N/A,FALSE,"DI 2 YEAR MASTER SCHEDULE"}</definedName>
    <definedName name="wrn.Edutainment._.Priority._.List." hidden="1">{#N/A,#N/A,FALSE,"DI 2 YEAR MASTER SCHEDULE"}</definedName>
    <definedName name="wrn.Japan_Capers_Ed._.Pub." hidden="1">{"Japan_Capers_Ed_Pub",#N/A,FALSE,"DI 2 YEAR MASTER SCHEDULE"}</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hidden="1">{#N/A,#N/A,FALSE,"DI 2 YEAR MASTER SCHEDULE"}</definedName>
    <definedName name="y"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z" hidden="1">{#N/A,#N/A,FALSE,"DI 2 YEAR MASTER SCHEDULE"}</definedName>
  </definedNames>
  <calcPr calcId="162913" calcOnSave="0"/>
</workbook>
</file>

<file path=xl/calcChain.xml><?xml version="1.0" encoding="utf-8"?>
<calcChain xmlns="http://schemas.openxmlformats.org/spreadsheetml/2006/main">
  <c r="AC128" i="11" l="1"/>
  <c r="AB154" i="11"/>
  <c r="AC154" i="11"/>
  <c r="F154" i="11"/>
  <c r="AB153" i="11"/>
  <c r="AC153" i="11"/>
  <c r="F153" i="11"/>
  <c r="F151" i="11"/>
  <c r="AC151" i="11"/>
  <c r="AC152" i="11"/>
  <c r="AB152" i="11"/>
  <c r="AB151" i="11"/>
  <c r="S146" i="11"/>
  <c r="R146" i="11"/>
  <c r="S139" i="11"/>
  <c r="R139" i="11"/>
  <c r="S132" i="11"/>
  <c r="R132" i="11"/>
  <c r="K146" i="11"/>
  <c r="L146" i="11"/>
  <c r="L132" i="11"/>
  <c r="L139" i="11"/>
  <c r="K132" i="11"/>
  <c r="S131" i="11"/>
  <c r="C267" i="11"/>
  <c r="G160" i="11" l="1"/>
  <c r="G178" i="11"/>
  <c r="G172" i="11"/>
  <c r="G166" i="11"/>
  <c r="G173" i="11" l="1"/>
  <c r="G167" i="11" l="1"/>
  <c r="G179" i="11"/>
  <c r="G161" i="11" l="1"/>
  <c r="N47" i="10" l="1"/>
  <c r="N42" i="10"/>
  <c r="N43" i="10"/>
  <c r="N48" i="10"/>
  <c r="N33" i="10"/>
  <c r="N37" i="10"/>
  <c r="N34" i="10"/>
  <c r="K33" i="10"/>
  <c r="H7" i="11" l="1"/>
  <c r="F266" i="11" l="1"/>
  <c r="AR26" i="36" l="1"/>
  <c r="AF15" i="36"/>
  <c r="AG15" i="36"/>
  <c r="AH15" i="36"/>
  <c r="AI15" i="36"/>
  <c r="AJ15" i="36"/>
  <c r="AK15" i="36"/>
  <c r="AL15" i="36"/>
  <c r="AE15" i="36"/>
  <c r="AB25" i="36" l="1"/>
  <c r="AN15" i="36"/>
  <c r="AB15" i="36"/>
  <c r="AB14" i="36" l="1"/>
  <c r="AB16" i="36"/>
  <c r="R17" i="36"/>
  <c r="AB12" i="36"/>
  <c r="AB13" i="36"/>
  <c r="AB11" i="36"/>
  <c r="W23" i="35"/>
  <c r="V23" i="35"/>
  <c r="U23" i="35"/>
  <c r="T23" i="35"/>
  <c r="S23" i="35"/>
  <c r="Q23" i="35"/>
  <c r="P23" i="35"/>
  <c r="O23" i="35"/>
  <c r="N23" i="35"/>
  <c r="M23" i="35"/>
  <c r="L23" i="35"/>
  <c r="K23" i="35"/>
  <c r="J23" i="35"/>
  <c r="AP28" i="36"/>
  <c r="AN28" i="36"/>
  <c r="AB26" i="36"/>
  <c r="AP26" i="36"/>
  <c r="AN26" i="36"/>
  <c r="AL26" i="36"/>
  <c r="AK26" i="36"/>
  <c r="AJ26" i="36"/>
  <c r="AI26" i="36"/>
  <c r="AH26" i="36"/>
  <c r="AG26" i="36"/>
  <c r="AF26" i="36"/>
  <c r="AE26" i="36"/>
  <c r="R26" i="36"/>
  <c r="Q26" i="36"/>
  <c r="P26" i="36"/>
  <c r="O26" i="36"/>
  <c r="N26" i="36"/>
  <c r="M26" i="36"/>
  <c r="L26" i="36"/>
  <c r="K26" i="36"/>
  <c r="AN25" i="36"/>
  <c r="T25" i="36"/>
  <c r="T26" i="36" s="1"/>
  <c r="T28" i="36" s="1"/>
  <c r="AP24" i="36"/>
  <c r="AN24" i="36"/>
  <c r="B24" i="36"/>
  <c r="AE23" i="36"/>
  <c r="K23" i="36"/>
  <c r="AP19" i="36"/>
  <c r="AP17" i="36"/>
  <c r="AL17" i="36"/>
  <c r="AK17" i="36"/>
  <c r="AJ17" i="36"/>
  <c r="AI17" i="36"/>
  <c r="AH17" i="36"/>
  <c r="AG17" i="36"/>
  <c r="AF17" i="36"/>
  <c r="AE17" i="36"/>
  <c r="Q17" i="36"/>
  <c r="P17" i="36"/>
  <c r="O17" i="36"/>
  <c r="N17" i="36"/>
  <c r="M17" i="36"/>
  <c r="L17" i="36"/>
  <c r="K17" i="36"/>
  <c r="AN16" i="36"/>
  <c r="T16" i="36"/>
  <c r="AN17" i="36"/>
  <c r="T15" i="36"/>
  <c r="AN14" i="36"/>
  <c r="T14" i="36"/>
  <c r="AN13" i="36"/>
  <c r="T13" i="36"/>
  <c r="AN12" i="36"/>
  <c r="T12" i="36"/>
  <c r="AN11" i="36"/>
  <c r="T11" i="36"/>
  <c r="AP10" i="36"/>
  <c r="AN10" i="36"/>
  <c r="AI57" i="34"/>
  <c r="AI59" i="34" s="1"/>
  <c r="AE57" i="34"/>
  <c r="AD57" i="34"/>
  <c r="AC57" i="34"/>
  <c r="AB57" i="34"/>
  <c r="AA57" i="34"/>
  <c r="Z57" i="34"/>
  <c r="Y57" i="34"/>
  <c r="X57" i="34"/>
  <c r="R57" i="34"/>
  <c r="Q57" i="34"/>
  <c r="P57" i="34"/>
  <c r="O57" i="34"/>
  <c r="N57" i="34"/>
  <c r="M57" i="34"/>
  <c r="L57" i="34"/>
  <c r="K57" i="34"/>
  <c r="AG56" i="34"/>
  <c r="T56" i="34"/>
  <c r="AG55" i="34"/>
  <c r="T55" i="34"/>
  <c r="AG54" i="34"/>
  <c r="T54" i="34"/>
  <c r="AG53" i="34"/>
  <c r="T53" i="34"/>
  <c r="AG52" i="34"/>
  <c r="T52" i="34"/>
  <c r="AG51" i="34"/>
  <c r="T51" i="34"/>
  <c r="AG50" i="34"/>
  <c r="T50" i="34"/>
  <c r="AG49" i="34"/>
  <c r="T49" i="34"/>
  <c r="AG48" i="34"/>
  <c r="T48" i="34"/>
  <c r="AG47" i="34"/>
  <c r="T47" i="34"/>
  <c r="AG46" i="34"/>
  <c r="T46" i="34"/>
  <c r="AG45" i="34"/>
  <c r="T45" i="34"/>
  <c r="AG44" i="34"/>
  <c r="T44" i="34"/>
  <c r="AG43" i="34"/>
  <c r="T43" i="34"/>
  <c r="AG42" i="34"/>
  <c r="T42" i="34"/>
  <c r="AG41" i="34"/>
  <c r="T41" i="34"/>
  <c r="AG40" i="34"/>
  <c r="T40" i="34"/>
  <c r="AG39" i="34"/>
  <c r="T39" i="34"/>
  <c r="AG38" i="34"/>
  <c r="T38" i="34"/>
  <c r="AI37" i="34"/>
  <c r="T37" i="34"/>
  <c r="AG37" i="34" s="1"/>
  <c r="X36" i="34"/>
  <c r="K36" i="34"/>
  <c r="AI31" i="34"/>
  <c r="AI33" i="34" s="1"/>
  <c r="AE31" i="34"/>
  <c r="AD31" i="34"/>
  <c r="AC31" i="34"/>
  <c r="AB31" i="34"/>
  <c r="AA31" i="34"/>
  <c r="Z31" i="34"/>
  <c r="Y31" i="34"/>
  <c r="X31" i="34"/>
  <c r="R31" i="34"/>
  <c r="Q31" i="34"/>
  <c r="P31" i="34"/>
  <c r="O31" i="34"/>
  <c r="N31" i="34"/>
  <c r="M31" i="34"/>
  <c r="L31" i="34"/>
  <c r="K31" i="34"/>
  <c r="AG30" i="34"/>
  <c r="T30" i="34"/>
  <c r="AG29" i="34"/>
  <c r="T29" i="34"/>
  <c r="AG28" i="34"/>
  <c r="T28" i="34"/>
  <c r="AG27" i="34"/>
  <c r="T27" i="34"/>
  <c r="AI26" i="34"/>
  <c r="T26" i="34"/>
  <c r="AG26" i="34" s="1"/>
  <c r="X25" i="34"/>
  <c r="K25" i="34"/>
  <c r="AI20" i="34"/>
  <c r="AI22" i="34" s="1"/>
  <c r="AE20" i="34"/>
  <c r="AD20" i="34"/>
  <c r="AC20" i="34"/>
  <c r="AB20" i="34"/>
  <c r="AA20" i="34"/>
  <c r="Z20" i="34"/>
  <c r="Y20" i="34"/>
  <c r="X20" i="34"/>
  <c r="R20" i="34"/>
  <c r="Q20" i="34"/>
  <c r="P20" i="34"/>
  <c r="O20" i="34"/>
  <c r="N20" i="34"/>
  <c r="M20" i="34"/>
  <c r="L20" i="34"/>
  <c r="K20" i="34"/>
  <c r="AG19" i="34"/>
  <c r="AG18" i="34"/>
  <c r="AG17" i="34"/>
  <c r="AG16" i="34"/>
  <c r="AG15" i="34"/>
  <c r="AG14" i="34"/>
  <c r="AG13" i="34"/>
  <c r="AG12" i="34"/>
  <c r="AG11" i="34"/>
  <c r="AG10" i="34"/>
  <c r="AG9" i="34"/>
  <c r="T9" i="34"/>
  <c r="T20" i="34" s="1"/>
  <c r="T22" i="34" s="1"/>
  <c r="AG8" i="34"/>
  <c r="I25" i="33"/>
  <c r="E25" i="33"/>
  <c r="B24" i="33"/>
  <c r="I16" i="33"/>
  <c r="E16" i="33"/>
  <c r="B15" i="33"/>
  <c r="I9" i="33"/>
  <c r="I8" i="33"/>
  <c r="E8" i="33"/>
  <c r="I26" i="29"/>
  <c r="I25" i="29"/>
  <c r="E25" i="29"/>
  <c r="B24" i="29"/>
  <c r="I17" i="29"/>
  <c r="I16" i="29"/>
  <c r="E16" i="29"/>
  <c r="B15" i="29"/>
  <c r="I11" i="29"/>
  <c r="G8" i="29"/>
  <c r="F8" i="29"/>
  <c r="C8" i="29"/>
  <c r="E8" i="29" s="1"/>
  <c r="N12" i="38"/>
  <c r="M12" i="38"/>
  <c r="L12" i="38"/>
  <c r="K12" i="38"/>
  <c r="J12" i="38"/>
  <c r="I12" i="38"/>
  <c r="N10" i="38"/>
  <c r="M10" i="38"/>
  <c r="L10" i="38"/>
  <c r="K10" i="38"/>
  <c r="J10" i="38"/>
  <c r="I10" i="38"/>
  <c r="H42" i="12"/>
  <c r="G42" i="12"/>
  <c r="F42" i="12"/>
  <c r="C39" i="12"/>
  <c r="H37" i="12"/>
  <c r="G37" i="12"/>
  <c r="F37" i="12"/>
  <c r="U11" i="12"/>
  <c r="T11" i="12"/>
  <c r="S11" i="12"/>
  <c r="H6" i="12" s="1"/>
  <c r="R11" i="12"/>
  <c r="G6" i="12" s="1"/>
  <c r="Q11" i="12"/>
  <c r="F6" i="12" s="1"/>
  <c r="P11" i="12"/>
  <c r="E6" i="12" s="1"/>
  <c r="O11" i="12"/>
  <c r="D6" i="12" s="1"/>
  <c r="N11" i="12"/>
  <c r="U10" i="12"/>
  <c r="T10" i="12"/>
  <c r="S10" i="12"/>
  <c r="R10" i="12"/>
  <c r="Q10" i="12"/>
  <c r="P10" i="12"/>
  <c r="O10" i="12"/>
  <c r="N10" i="12"/>
  <c r="U9" i="12"/>
  <c r="T9" i="12"/>
  <c r="S9" i="12"/>
  <c r="R9" i="12"/>
  <c r="Q9" i="12"/>
  <c r="P9" i="12"/>
  <c r="O9" i="12"/>
  <c r="N9" i="12"/>
  <c r="U7" i="12"/>
  <c r="U8" i="12" s="1"/>
  <c r="J8" i="12" s="1"/>
  <c r="T7" i="12"/>
  <c r="T8" i="12" s="1"/>
  <c r="I8" i="12" s="1"/>
  <c r="S7" i="12"/>
  <c r="S8" i="12" s="1"/>
  <c r="H8" i="12" s="1"/>
  <c r="R7" i="12"/>
  <c r="R8" i="12" s="1"/>
  <c r="G8" i="12" s="1"/>
  <c r="Q7" i="12"/>
  <c r="Q8" i="12" s="1"/>
  <c r="F8" i="12" s="1"/>
  <c r="P7" i="12"/>
  <c r="P8" i="12" s="1"/>
  <c r="E8" i="12" s="1"/>
  <c r="O7" i="12"/>
  <c r="O8" i="12" s="1"/>
  <c r="D8" i="12" s="1"/>
  <c r="N7" i="12"/>
  <c r="N8" i="12" s="1"/>
  <c r="J7" i="12"/>
  <c r="I7" i="12"/>
  <c r="F298" i="11"/>
  <c r="E267" i="11"/>
  <c r="D267" i="11"/>
  <c r="F265" i="11"/>
  <c r="F267" i="11" s="1"/>
  <c r="G230" i="11"/>
  <c r="D230" i="11"/>
  <c r="C230" i="11"/>
  <c r="E229" i="11"/>
  <c r="E228" i="11"/>
  <c r="E227" i="11"/>
  <c r="G226" i="11"/>
  <c r="D226" i="11"/>
  <c r="C226" i="11"/>
  <c r="E225" i="11"/>
  <c r="E224" i="11"/>
  <c r="E223" i="11"/>
  <c r="I220" i="11"/>
  <c r="D199" i="11"/>
  <c r="C199" i="11"/>
  <c r="E198" i="11"/>
  <c r="F198" i="11" s="1"/>
  <c r="E197" i="11"/>
  <c r="F197" i="11" s="1"/>
  <c r="E196" i="11"/>
  <c r="F196" i="11" s="1"/>
  <c r="G184" i="11"/>
  <c r="G183" i="11"/>
  <c r="W180" i="11"/>
  <c r="W181" i="11" s="1"/>
  <c r="G180" i="11"/>
  <c r="G181" i="11" s="1"/>
  <c r="T177" i="11"/>
  <c r="C177" i="11"/>
  <c r="W174" i="11"/>
  <c r="W175" i="11" s="1"/>
  <c r="G174" i="11"/>
  <c r="T171" i="11"/>
  <c r="C171" i="11"/>
  <c r="G168" i="11"/>
  <c r="G169" i="11" s="1"/>
  <c r="W166" i="11"/>
  <c r="S133" i="11" s="1"/>
  <c r="T165" i="11"/>
  <c r="C165" i="11"/>
  <c r="W162" i="11"/>
  <c r="W163" i="11" s="1"/>
  <c r="G162" i="11"/>
  <c r="G152" i="11"/>
  <c r="F135" i="11"/>
  <c r="G151" i="11"/>
  <c r="G148" i="11"/>
  <c r="G149" i="11" s="1"/>
  <c r="AC147" i="11"/>
  <c r="S147" i="11"/>
  <c r="R147" i="11"/>
  <c r="L147" i="11"/>
  <c r="K147" i="11"/>
  <c r="AC146" i="11"/>
  <c r="Y145" i="11"/>
  <c r="L145" i="11"/>
  <c r="K145" i="11"/>
  <c r="C145" i="11"/>
  <c r="G142" i="11"/>
  <c r="G143" i="11" s="1"/>
  <c r="AC141" i="11"/>
  <c r="AC140" i="11"/>
  <c r="S140" i="11"/>
  <c r="R140" i="11"/>
  <c r="L140" i="11"/>
  <c r="K140" i="11"/>
  <c r="Y139" i="11"/>
  <c r="K139" i="11"/>
  <c r="C139" i="11"/>
  <c r="L138" i="11"/>
  <c r="K138" i="11"/>
  <c r="G136" i="11"/>
  <c r="AC135" i="11"/>
  <c r="AC134" i="11"/>
  <c r="Y133" i="11"/>
  <c r="L133" i="11"/>
  <c r="K133" i="11"/>
  <c r="C133" i="11"/>
  <c r="L131" i="11"/>
  <c r="K131" i="11"/>
  <c r="G130" i="11"/>
  <c r="AC129" i="11"/>
  <c r="F115" i="11"/>
  <c r="V115" i="11" s="1"/>
  <c r="F96" i="11"/>
  <c r="G120" i="11"/>
  <c r="F102" i="11"/>
  <c r="G119" i="11"/>
  <c r="G116" i="11"/>
  <c r="G117" i="11" s="1"/>
  <c r="W115" i="11"/>
  <c r="W114" i="11"/>
  <c r="T113" i="11"/>
  <c r="C113" i="11"/>
  <c r="G110" i="11"/>
  <c r="G111" i="11" s="1"/>
  <c r="W109" i="11"/>
  <c r="R145" i="11" s="1"/>
  <c r="W108" i="11"/>
  <c r="S145" i="11" s="1"/>
  <c r="T107" i="11"/>
  <c r="C107" i="11"/>
  <c r="G104" i="11"/>
  <c r="G105" i="11" s="1"/>
  <c r="W102" i="11"/>
  <c r="T101" i="11"/>
  <c r="C101" i="11"/>
  <c r="G98" i="11"/>
  <c r="W96" i="11"/>
  <c r="H64" i="11"/>
  <c r="H66" i="11" s="1"/>
  <c r="AZ67" i="11" s="1"/>
  <c r="G64" i="11"/>
  <c r="G66" i="11" s="1"/>
  <c r="AY67" i="11" s="1"/>
  <c r="F64" i="11"/>
  <c r="F66" i="11" s="1"/>
  <c r="AX67" i="11" s="1"/>
  <c r="E64" i="11"/>
  <c r="E66" i="11" s="1"/>
  <c r="AW67" i="11" s="1"/>
  <c r="D64" i="11"/>
  <c r="D66" i="11" s="1"/>
  <c r="AV67" i="11" s="1"/>
  <c r="C64" i="11"/>
  <c r="C66" i="11" s="1"/>
  <c r="AU67" i="11" s="1"/>
  <c r="AT63" i="11"/>
  <c r="K63" i="11"/>
  <c r="K62" i="11"/>
  <c r="K61" i="11"/>
  <c r="K60" i="11"/>
  <c r="K59" i="11"/>
  <c r="BM57" i="11"/>
  <c r="K57" i="11"/>
  <c r="Y56" i="11"/>
  <c r="X56" i="11"/>
  <c r="K56" i="11"/>
  <c r="Y55" i="11"/>
  <c r="X55" i="11"/>
  <c r="K55" i="11"/>
  <c r="K54" i="11"/>
  <c r="K53" i="11"/>
  <c r="BB52" i="11"/>
  <c r="BA52" i="11"/>
  <c r="Y52" i="11"/>
  <c r="Y57" i="11" s="1"/>
  <c r="X52" i="11"/>
  <c r="X57" i="11" s="1"/>
  <c r="BB51" i="11"/>
  <c r="BA51" i="11"/>
  <c r="AO51" i="11"/>
  <c r="AC130" i="11" s="1"/>
  <c r="AC131" i="11" s="1"/>
  <c r="K51" i="11"/>
  <c r="K50" i="11"/>
  <c r="K46" i="11"/>
  <c r="D8" i="11" s="1"/>
  <c r="K45" i="11"/>
  <c r="K44" i="11"/>
  <c r="K43" i="11"/>
  <c r="K42" i="11"/>
  <c r="K40" i="11"/>
  <c r="K39" i="11"/>
  <c r="K38" i="11"/>
  <c r="AE37" i="11"/>
  <c r="K37" i="11"/>
  <c r="K36" i="11"/>
  <c r="K34" i="11"/>
  <c r="BS33" i="11"/>
  <c r="BS60" i="11" s="1"/>
  <c r="BR33" i="11"/>
  <c r="BR60" i="11" s="1"/>
  <c r="BQ33" i="11"/>
  <c r="BQ60" i="11" s="1"/>
  <c r="BP33" i="11"/>
  <c r="BP60" i="11" s="1"/>
  <c r="BO33" i="11"/>
  <c r="BO60" i="11" s="1"/>
  <c r="BN33" i="11"/>
  <c r="BN60" i="11" s="1"/>
  <c r="K33" i="11"/>
  <c r="BU32" i="11"/>
  <c r="BT32" i="11"/>
  <c r="BM30" i="11"/>
  <c r="AT30" i="11"/>
  <c r="K29" i="11"/>
  <c r="D7" i="11" s="1"/>
  <c r="K28" i="11"/>
  <c r="K27" i="11"/>
  <c r="K26" i="11"/>
  <c r="K25" i="11"/>
  <c r="K23" i="11"/>
  <c r="K22" i="11"/>
  <c r="K21" i="11"/>
  <c r="K20" i="11"/>
  <c r="K19" i="11"/>
  <c r="K17" i="11"/>
  <c r="C7" i="11" s="1"/>
  <c r="C73" i="11" s="1"/>
  <c r="K16" i="11"/>
  <c r="I9" i="11"/>
  <c r="H9" i="11"/>
  <c r="BB8" i="11"/>
  <c r="BA8" i="11"/>
  <c r="AZ8" i="11"/>
  <c r="AY8" i="11"/>
  <c r="AX8" i="11"/>
  <c r="AW8" i="11"/>
  <c r="AV8" i="11"/>
  <c r="AU8" i="11"/>
  <c r="AM8" i="11"/>
  <c r="AM41" i="11" s="1"/>
  <c r="AL8" i="11"/>
  <c r="AL41" i="11" s="1"/>
  <c r="AK8" i="11"/>
  <c r="AK41" i="11" s="1"/>
  <c r="AJ8" i="11"/>
  <c r="AJ41" i="11" s="1"/>
  <c r="AI8" i="11"/>
  <c r="AI41" i="11" s="1"/>
  <c r="AH8" i="11"/>
  <c r="AH41" i="11" s="1"/>
  <c r="AG8" i="11"/>
  <c r="AG41" i="11" s="1"/>
  <c r="AF8" i="11"/>
  <c r="Z8" i="11"/>
  <c r="Y8" i="11"/>
  <c r="X8" i="11"/>
  <c r="W8" i="11"/>
  <c r="V8" i="11"/>
  <c r="U8" i="11"/>
  <c r="T8" i="11"/>
  <c r="S8" i="11"/>
  <c r="I8" i="11"/>
  <c r="H8" i="11"/>
  <c r="BS7" i="11"/>
  <c r="BR7" i="11"/>
  <c r="BQ7" i="11"/>
  <c r="BP7" i="11"/>
  <c r="BO7" i="11"/>
  <c r="BN7" i="11"/>
  <c r="BB7" i="11"/>
  <c r="BA7" i="11"/>
  <c r="AM7" i="11"/>
  <c r="AM40" i="11" s="1"/>
  <c r="AL7" i="11"/>
  <c r="AL40" i="11" s="1"/>
  <c r="Z7" i="11"/>
  <c r="Y7" i="11"/>
  <c r="I7" i="11"/>
  <c r="BU6" i="11"/>
  <c r="BT6" i="11"/>
  <c r="AZ6" i="11"/>
  <c r="AZ32" i="11" s="1"/>
  <c r="AY6" i="11"/>
  <c r="AY32" i="11" s="1"/>
  <c r="AX6" i="11"/>
  <c r="AX32" i="11" s="1"/>
  <c r="AW6" i="11"/>
  <c r="AW32" i="11" s="1"/>
  <c r="AV6" i="11"/>
  <c r="AV32" i="11" s="1"/>
  <c r="AU6" i="11"/>
  <c r="AK6" i="11"/>
  <c r="AJ6" i="11"/>
  <c r="AJ39" i="11" s="1"/>
  <c r="AI6" i="11"/>
  <c r="AI39" i="11" s="1"/>
  <c r="AH6" i="11"/>
  <c r="AH39" i="11" s="1"/>
  <c r="AG6" i="11"/>
  <c r="AG39" i="11" s="1"/>
  <c r="AF6" i="11"/>
  <c r="X6" i="11"/>
  <c r="W6" i="11"/>
  <c r="W39" i="11" s="1"/>
  <c r="V6" i="11"/>
  <c r="U6" i="11"/>
  <c r="U39" i="11" s="1"/>
  <c r="T6" i="11"/>
  <c r="S6" i="11"/>
  <c r="BM4" i="11"/>
  <c r="AT4" i="11"/>
  <c r="AE4" i="11"/>
  <c r="L43" i="27"/>
  <c r="D43" i="27"/>
  <c r="D42" i="27"/>
  <c r="D41" i="27"/>
  <c r="D40" i="27"/>
  <c r="D39" i="27"/>
  <c r="D38" i="27"/>
  <c r="D37" i="27"/>
  <c r="D36" i="27"/>
  <c r="D35" i="27"/>
  <c r="D34" i="27"/>
  <c r="D33" i="27"/>
  <c r="D32" i="27"/>
  <c r="D31" i="27"/>
  <c r="D30" i="27"/>
  <c r="L25" i="27"/>
  <c r="J10" i="27"/>
  <c r="I10" i="27"/>
  <c r="H10" i="27"/>
  <c r="G10" i="27"/>
  <c r="F10" i="27"/>
  <c r="E34" i="37"/>
  <c r="D34" i="37"/>
  <c r="C34" i="37"/>
  <c r="E32" i="37"/>
  <c r="D32" i="37"/>
  <c r="E31" i="37"/>
  <c r="D31" i="37"/>
  <c r="E30" i="37"/>
  <c r="D30" i="37"/>
  <c r="E29" i="37"/>
  <c r="D29" i="37"/>
  <c r="E28" i="37"/>
  <c r="D28" i="37"/>
  <c r="E27" i="37"/>
  <c r="D27" i="37"/>
  <c r="S14" i="37"/>
  <c r="E12" i="37"/>
  <c r="D12" i="37"/>
  <c r="C12" i="37"/>
  <c r="I50" i="10"/>
  <c r="H50" i="10"/>
  <c r="G50" i="10"/>
  <c r="F50" i="10"/>
  <c r="E50" i="10"/>
  <c r="D50" i="10"/>
  <c r="I45" i="10"/>
  <c r="H45" i="10"/>
  <c r="G45" i="10"/>
  <c r="F45" i="10"/>
  <c r="E45" i="10"/>
  <c r="D45" i="10"/>
  <c r="I40" i="10"/>
  <c r="H40" i="10"/>
  <c r="G40" i="10"/>
  <c r="F40" i="10"/>
  <c r="E40" i="10"/>
  <c r="D40" i="10"/>
  <c r="I39" i="10"/>
  <c r="H39" i="10"/>
  <c r="G39" i="10"/>
  <c r="F39" i="10"/>
  <c r="E39" i="10"/>
  <c r="D39" i="10"/>
  <c r="N38" i="10"/>
  <c r="I35" i="10"/>
  <c r="H35" i="10"/>
  <c r="G35" i="10"/>
  <c r="F35" i="10"/>
  <c r="E35" i="10"/>
  <c r="D35" i="10"/>
  <c r="I34" i="10"/>
  <c r="H34" i="10"/>
  <c r="G34" i="10"/>
  <c r="F34" i="10"/>
  <c r="E34" i="10"/>
  <c r="D34" i="10"/>
  <c r="L33" i="10"/>
  <c r="I33" i="10"/>
  <c r="H33" i="10"/>
  <c r="G33" i="10"/>
  <c r="F33" i="10"/>
  <c r="E33" i="10"/>
  <c r="D33" i="10"/>
  <c r="C52" i="25"/>
  <c r="B52" i="25"/>
  <c r="C51" i="25"/>
  <c r="B51" i="25"/>
  <c r="C26" i="25"/>
  <c r="C25" i="25"/>
  <c r="C24" i="25"/>
  <c r="C23" i="25"/>
  <c r="C22" i="25"/>
  <c r="C21" i="25"/>
  <c r="C20" i="25"/>
  <c r="C19" i="25"/>
  <c r="C18" i="25"/>
  <c r="C17" i="25"/>
  <c r="C16" i="25"/>
  <c r="C15" i="25"/>
  <c r="Y23" i="35" l="1"/>
  <c r="Z23" i="35"/>
  <c r="T31" i="34"/>
  <c r="T33" i="34" s="1"/>
  <c r="AG20" i="34"/>
  <c r="AG22" i="34" s="1"/>
  <c r="AG31" i="34"/>
  <c r="AG33" i="34" s="1"/>
  <c r="T57" i="34"/>
  <c r="T59" i="34" s="1"/>
  <c r="AG57" i="34"/>
  <c r="AG59" i="34" s="1"/>
  <c r="C231" i="11"/>
  <c r="D231" i="11"/>
  <c r="E199" i="11"/>
  <c r="F199" i="11" s="1"/>
  <c r="AC148" i="11"/>
  <c r="AC149" i="11" s="1"/>
  <c r="T132" i="11"/>
  <c r="U132" i="11" s="1"/>
  <c r="D9" i="11"/>
  <c r="D75" i="11" s="1"/>
  <c r="D86" i="11" s="1"/>
  <c r="M138" i="11"/>
  <c r="N138" i="11" s="1"/>
  <c r="W167" i="11"/>
  <c r="L46" i="11"/>
  <c r="I10" i="11"/>
  <c r="T146" i="11"/>
  <c r="U146" i="11" s="1"/>
  <c r="T139" i="11"/>
  <c r="U139" i="11" s="1"/>
  <c r="T140" i="11"/>
  <c r="U140" i="11" s="1"/>
  <c r="C9" i="11"/>
  <c r="G231" i="11"/>
  <c r="J9" i="11"/>
  <c r="K9" i="11" s="1"/>
  <c r="W116" i="11"/>
  <c r="W117" i="11" s="1"/>
  <c r="BU7" i="11"/>
  <c r="H120" i="11"/>
  <c r="I120" i="11" s="1"/>
  <c r="H184" i="11"/>
  <c r="W119" i="11"/>
  <c r="M145" i="11"/>
  <c r="N145" i="11" s="1"/>
  <c r="T147" i="11"/>
  <c r="U147" i="11" s="1"/>
  <c r="BO8" i="11"/>
  <c r="L29" i="11"/>
  <c r="G121" i="11"/>
  <c r="G122" i="11" s="1"/>
  <c r="R148" i="11"/>
  <c r="M131" i="11"/>
  <c r="N131" i="11" s="1"/>
  <c r="AC136" i="11"/>
  <c r="AC137" i="11" s="1"/>
  <c r="AC142" i="11"/>
  <c r="AC143" i="11" s="1"/>
  <c r="E230" i="11"/>
  <c r="BQ8" i="11"/>
  <c r="BQ32" i="11"/>
  <c r="BS6" i="11"/>
  <c r="BT7" i="11"/>
  <c r="C8" i="11"/>
  <c r="C74" i="11" s="1"/>
  <c r="C85" i="11" s="1"/>
  <c r="E226" i="11"/>
  <c r="BS8" i="11"/>
  <c r="BU8" i="11"/>
  <c r="E7" i="11"/>
  <c r="F7" i="11" s="1"/>
  <c r="J8" i="11"/>
  <c r="K8" i="11" s="1"/>
  <c r="L141" i="11"/>
  <c r="T145" i="11"/>
  <c r="U145" i="11" s="1"/>
  <c r="S148" i="11"/>
  <c r="Z41" i="11"/>
  <c r="AV34" i="11"/>
  <c r="BO34" i="11" s="1"/>
  <c r="BO61" i="11" s="1"/>
  <c r="D74" i="11"/>
  <c r="D85" i="11" s="1"/>
  <c r="J7" i="11"/>
  <c r="M7" i="11" s="1"/>
  <c r="AX34" i="11"/>
  <c r="BQ34" i="11" s="1"/>
  <c r="BQ61" i="11" s="1"/>
  <c r="G99" i="11"/>
  <c r="K148" i="11"/>
  <c r="H10" i="11"/>
  <c r="AZ34" i="11"/>
  <c r="BS34" i="11" s="1"/>
  <c r="BS61" i="11" s="1"/>
  <c r="Y40" i="11"/>
  <c r="G131" i="11"/>
  <c r="K134" i="11"/>
  <c r="G137" i="11"/>
  <c r="K141" i="11"/>
  <c r="M146" i="11"/>
  <c r="N146" i="11" s="1"/>
  <c r="BB34" i="11"/>
  <c r="BU34" i="11" s="1"/>
  <c r="BU61" i="11" s="1"/>
  <c r="Z40" i="11"/>
  <c r="M132" i="11"/>
  <c r="N132" i="11" s="1"/>
  <c r="M139" i="11"/>
  <c r="N139" i="11" s="1"/>
  <c r="G153" i="11"/>
  <c r="G154" i="11" s="1"/>
  <c r="L63" i="11"/>
  <c r="W110" i="11"/>
  <c r="W111" i="11" s="1"/>
  <c r="S134" i="11"/>
  <c r="BA33" i="11"/>
  <c r="BT33" i="11" s="1"/>
  <c r="BB33" i="11"/>
  <c r="BU33" i="11" s="1"/>
  <c r="D73" i="11"/>
  <c r="E73" i="11" s="1"/>
  <c r="F73" i="11" s="1"/>
  <c r="V96" i="11"/>
  <c r="G163" i="11"/>
  <c r="G175" i="11"/>
  <c r="M140" i="11"/>
  <c r="N140" i="11" s="1"/>
  <c r="M133" i="11"/>
  <c r="N133" i="11" s="1"/>
  <c r="M147" i="11"/>
  <c r="N147" i="11" s="1"/>
  <c r="L148" i="11"/>
  <c r="M148" i="11" s="1"/>
  <c r="N148" i="11" s="1"/>
  <c r="W183" i="11"/>
  <c r="L134" i="11"/>
  <c r="G185" i="11"/>
  <c r="G186" i="11" s="1"/>
  <c r="I8" i="29"/>
  <c r="I9" i="29" s="1"/>
  <c r="F172" i="11"/>
  <c r="V172" i="11" s="1"/>
  <c r="J64" i="11"/>
  <c r="J66" i="11" s="1"/>
  <c r="BB67" i="11" s="1"/>
  <c r="BO6" i="11"/>
  <c r="H183" i="11"/>
  <c r="H119" i="11"/>
  <c r="S39" i="11"/>
  <c r="BD7" i="11"/>
  <c r="BP6" i="11"/>
  <c r="AB8" i="11"/>
  <c r="AW34" i="11"/>
  <c r="BP34" i="11" s="1"/>
  <c r="BP61" i="11" s="1"/>
  <c r="BP8" i="11"/>
  <c r="BA34" i="11"/>
  <c r="BT8" i="11"/>
  <c r="AU32" i="11"/>
  <c r="BP32" i="11"/>
  <c r="C84" i="11"/>
  <c r="F179" i="11"/>
  <c r="V179" i="11" s="1"/>
  <c r="F134" i="11"/>
  <c r="AB134" i="11" s="1"/>
  <c r="F114" i="11"/>
  <c r="V114" i="11" s="1"/>
  <c r="V116" i="11" s="1"/>
  <c r="F178" i="11"/>
  <c r="F161" i="11"/>
  <c r="V161" i="11" s="1"/>
  <c r="F167" i="11"/>
  <c r="V167" i="11" s="1"/>
  <c r="F141" i="11"/>
  <c r="AB141" i="11" s="1"/>
  <c r="F173" i="11"/>
  <c r="V173" i="11" s="1"/>
  <c r="F160" i="11"/>
  <c r="F166" i="11"/>
  <c r="F147" i="11"/>
  <c r="AB147" i="11" s="1"/>
  <c r="F140" i="11"/>
  <c r="AB140" i="11" s="1"/>
  <c r="F129" i="11"/>
  <c r="AB129" i="11" s="1"/>
  <c r="F109" i="11"/>
  <c r="V109" i="11" s="1"/>
  <c r="F97" i="11"/>
  <c r="F98" i="11" s="1"/>
  <c r="BO32" i="11"/>
  <c r="T39" i="11"/>
  <c r="BS32" i="11"/>
  <c r="X39" i="11"/>
  <c r="BQ6" i="11"/>
  <c r="H152" i="11"/>
  <c r="I152" i="11" s="1"/>
  <c r="AF41" i="11"/>
  <c r="AO41" i="11" s="1"/>
  <c r="AO8" i="11"/>
  <c r="BR32" i="11"/>
  <c r="AK39" i="11"/>
  <c r="F146" i="11"/>
  <c r="AB146" i="11" s="1"/>
  <c r="V39" i="11"/>
  <c r="AF39" i="11"/>
  <c r="H151" i="11"/>
  <c r="BN6" i="11"/>
  <c r="BR6" i="11"/>
  <c r="AB7" i="11"/>
  <c r="AO7" i="11"/>
  <c r="Y41" i="11"/>
  <c r="BT34" i="11"/>
  <c r="BT61" i="11" s="1"/>
  <c r="AU34" i="11"/>
  <c r="BN8" i="11"/>
  <c r="AY34" i="11"/>
  <c r="BR34" i="11" s="1"/>
  <c r="BR61" i="11" s="1"/>
  <c r="BR8" i="11"/>
  <c r="BD8" i="11"/>
  <c r="F108" i="11"/>
  <c r="V108" i="11" s="1"/>
  <c r="F128" i="11"/>
  <c r="W97" i="11"/>
  <c r="V103" i="11"/>
  <c r="W103" i="11"/>
  <c r="I64" i="11"/>
  <c r="I66" i="11" s="1"/>
  <c r="BA67" i="11" s="1"/>
  <c r="F104" i="11"/>
  <c r="F105" i="11" s="1"/>
  <c r="V102" i="11"/>
  <c r="V104" i="11" s="1"/>
  <c r="V11" i="12"/>
  <c r="K32" i="35"/>
  <c r="K34" i="35" s="1"/>
  <c r="O32" i="35"/>
  <c r="O34" i="35" s="1"/>
  <c r="T32" i="35"/>
  <c r="T34" i="35" s="1"/>
  <c r="AB17" i="36"/>
  <c r="AB19" i="36" s="1"/>
  <c r="AB135" i="11"/>
  <c r="C6" i="12"/>
  <c r="V8" i="12"/>
  <c r="C8" i="12"/>
  <c r="V7" i="12"/>
  <c r="E299" i="11"/>
  <c r="V9" i="12"/>
  <c r="V10" i="12"/>
  <c r="AC26" i="36"/>
  <c r="AB28" i="36"/>
  <c r="AN19" i="36"/>
  <c r="AR17" i="36"/>
  <c r="T17" i="36"/>
  <c r="T19" i="36" s="1"/>
  <c r="J32" i="35"/>
  <c r="J34" i="35" s="1"/>
  <c r="N32" i="35"/>
  <c r="S32" i="35"/>
  <c r="S34" i="35" s="1"/>
  <c r="W32" i="35"/>
  <c r="W34" i="35" s="1"/>
  <c r="L32" i="35"/>
  <c r="L34" i="35" s="1"/>
  <c r="P32" i="35"/>
  <c r="P34" i="35" s="1"/>
  <c r="U32" i="35"/>
  <c r="U34" i="35" s="1"/>
  <c r="D65" i="11"/>
  <c r="D67" i="11" s="1"/>
  <c r="M32" i="35"/>
  <c r="M34" i="35" s="1"/>
  <c r="Q32" i="35"/>
  <c r="Q34" i="35" s="1"/>
  <c r="V32" i="35"/>
  <c r="V34" i="35" s="1"/>
  <c r="G65" i="11" l="1"/>
  <c r="G67" i="11" s="1"/>
  <c r="N34" i="35"/>
  <c r="K7" i="11"/>
  <c r="H185" i="11"/>
  <c r="J10" i="11"/>
  <c r="K10" i="11" s="1"/>
  <c r="AB136" i="11"/>
  <c r="M9" i="11"/>
  <c r="E85" i="11"/>
  <c r="F85" i="11" s="1"/>
  <c r="F130" i="11"/>
  <c r="F131" i="11" s="1"/>
  <c r="E231" i="11"/>
  <c r="E9" i="11"/>
  <c r="F9" i="11" s="1"/>
  <c r="T148" i="11"/>
  <c r="U148" i="11" s="1"/>
  <c r="M8" i="11"/>
  <c r="M10" i="11" s="1"/>
  <c r="E74" i="11"/>
  <c r="F74" i="11" s="1"/>
  <c r="D10" i="11"/>
  <c r="M134" i="11"/>
  <c r="N134" i="11" s="1"/>
  <c r="BW7" i="11"/>
  <c r="C10" i="11"/>
  <c r="E8" i="11"/>
  <c r="F8" i="11" s="1"/>
  <c r="BW8" i="11"/>
  <c r="M141" i="11"/>
  <c r="N141" i="11" s="1"/>
  <c r="D84" i="11"/>
  <c r="D87" i="11" s="1"/>
  <c r="D76" i="11"/>
  <c r="V166" i="11"/>
  <c r="F136" i="11"/>
  <c r="F119" i="11"/>
  <c r="F162" i="11"/>
  <c r="H162" i="11" s="1"/>
  <c r="F110" i="11"/>
  <c r="H110" i="11" s="1"/>
  <c r="F174" i="11"/>
  <c r="H174" i="11" s="1"/>
  <c r="D202" i="11"/>
  <c r="D203" i="11"/>
  <c r="H104" i="11"/>
  <c r="F180" i="11"/>
  <c r="F181" i="11" s="1"/>
  <c r="H98" i="11"/>
  <c r="F99" i="11"/>
  <c r="V178" i="11"/>
  <c r="F120" i="11"/>
  <c r="C202" i="11" s="1"/>
  <c r="AB148" i="11"/>
  <c r="V97" i="11"/>
  <c r="BD67" i="11"/>
  <c r="F148" i="11"/>
  <c r="AB142" i="11"/>
  <c r="AD142" i="11" s="1"/>
  <c r="F142" i="11"/>
  <c r="H121" i="11"/>
  <c r="I121" i="11" s="1"/>
  <c r="I119" i="11"/>
  <c r="F183" i="11"/>
  <c r="D204" i="11" s="1"/>
  <c r="V160" i="11"/>
  <c r="V162" i="11" s="1"/>
  <c r="F168" i="11"/>
  <c r="F184" i="11"/>
  <c r="C204" i="11" s="1"/>
  <c r="C299" i="11"/>
  <c r="F116" i="11"/>
  <c r="F117" i="11" s="1"/>
  <c r="X184" i="11"/>
  <c r="BD34" i="11"/>
  <c r="C86" i="11" s="1"/>
  <c r="H153" i="11"/>
  <c r="I153" i="11" s="1"/>
  <c r="I151" i="11"/>
  <c r="BN34" i="11"/>
  <c r="F152" i="11"/>
  <c r="C212" i="11" s="1"/>
  <c r="AB128" i="11"/>
  <c r="AB130" i="11" s="1"/>
  <c r="R131" i="11"/>
  <c r="S138" i="11"/>
  <c r="W104" i="11"/>
  <c r="X104" i="11" s="1"/>
  <c r="W98" i="11"/>
  <c r="R138" i="11"/>
  <c r="R141" i="11" s="1"/>
  <c r="W120" i="11"/>
  <c r="AO40" i="11"/>
  <c r="W184" i="11"/>
  <c r="W168" i="11"/>
  <c r="R133" i="11"/>
  <c r="T133" i="11" s="1"/>
  <c r="U133" i="11" s="1"/>
  <c r="K66" i="11"/>
  <c r="X120" i="11"/>
  <c r="AB41" i="11"/>
  <c r="K64" i="11"/>
  <c r="BD33" i="11"/>
  <c r="BN32" i="11"/>
  <c r="BW29" i="11" s="1"/>
  <c r="X183" i="11"/>
  <c r="X119" i="11"/>
  <c r="AB40" i="11"/>
  <c r="H65" i="11"/>
  <c r="H67" i="11" s="1"/>
  <c r="V110" i="11"/>
  <c r="X110" i="11" s="1"/>
  <c r="V119" i="11"/>
  <c r="D211" i="11" s="1"/>
  <c r="V184" i="11"/>
  <c r="C213" i="11" s="1"/>
  <c r="AB137" i="11"/>
  <c r="AD136" i="11"/>
  <c r="V105" i="11"/>
  <c r="AC17" i="36"/>
  <c r="H148" i="11"/>
  <c r="C65" i="11"/>
  <c r="C67" i="11" s="1"/>
  <c r="BN59" i="11" s="1"/>
  <c r="C75" i="11"/>
  <c r="X116" i="11"/>
  <c r="V117" i="11"/>
  <c r="H130" i="11"/>
  <c r="V174" i="11"/>
  <c r="H180" i="11"/>
  <c r="Z34" i="35"/>
  <c r="J65" i="11"/>
  <c r="J67" i="11" s="1"/>
  <c r="I65" i="11"/>
  <c r="I67" i="11" s="1"/>
  <c r="V168" i="11"/>
  <c r="V163" i="11"/>
  <c r="X162" i="11"/>
  <c r="F163" i="11"/>
  <c r="F65" i="11"/>
  <c r="F67" i="11" s="1"/>
  <c r="E65" i="11"/>
  <c r="E67" i="11" s="1"/>
  <c r="AY65" i="11"/>
  <c r="BR59" i="11"/>
  <c r="Y32" i="35"/>
  <c r="BO59" i="11"/>
  <c r="AV65" i="11"/>
  <c r="Z32" i="35"/>
  <c r="BS59" i="11"/>
  <c r="AZ65" i="11"/>
  <c r="F121" i="11" l="1"/>
  <c r="F122" i="11" s="1"/>
  <c r="D212" i="11"/>
  <c r="E10" i="11"/>
  <c r="F10" i="11" s="1"/>
  <c r="E202" i="11"/>
  <c r="F202" i="11" s="1"/>
  <c r="X185" i="11"/>
  <c r="X186" i="11" s="1"/>
  <c r="E84" i="11"/>
  <c r="F84" i="11" s="1"/>
  <c r="H136" i="11"/>
  <c r="F137" i="11"/>
  <c r="V183" i="11"/>
  <c r="D213" i="11" s="1"/>
  <c r="D214" i="11" s="1"/>
  <c r="C203" i="11"/>
  <c r="E203" i="11" s="1"/>
  <c r="F203" i="11" s="1"/>
  <c r="AU65" i="11"/>
  <c r="F175" i="11"/>
  <c r="H116" i="11"/>
  <c r="V180" i="11"/>
  <c r="V181" i="11" s="1"/>
  <c r="F111" i="11"/>
  <c r="V111" i="11"/>
  <c r="AB143" i="11"/>
  <c r="E204" i="11"/>
  <c r="F204" i="11" s="1"/>
  <c r="F149" i="11"/>
  <c r="V120" i="11"/>
  <c r="V98" i="11"/>
  <c r="F143" i="11"/>
  <c r="H142" i="11"/>
  <c r="AB149" i="11"/>
  <c r="AD148" i="11"/>
  <c r="W185" i="11"/>
  <c r="W186" i="11" s="1"/>
  <c r="W169" i="11"/>
  <c r="T138" i="11"/>
  <c r="U138" i="11" s="1"/>
  <c r="S141" i="11"/>
  <c r="T141" i="11" s="1"/>
  <c r="U141" i="11" s="1"/>
  <c r="Y119" i="11"/>
  <c r="X121" i="11"/>
  <c r="H168" i="11"/>
  <c r="F169" i="11"/>
  <c r="Y120" i="11"/>
  <c r="W121" i="11"/>
  <c r="W99" i="11"/>
  <c r="R134" i="11"/>
  <c r="T134" i="11" s="1"/>
  <c r="U134" i="11" s="1"/>
  <c r="T131" i="11"/>
  <c r="U131" i="11" s="1"/>
  <c r="BW30" i="11"/>
  <c r="BN61" i="11"/>
  <c r="BW57" i="11" s="1"/>
  <c r="F185" i="11"/>
  <c r="F186" i="11" s="1"/>
  <c r="W105" i="11"/>
  <c r="AB131" i="11"/>
  <c r="AD130" i="11"/>
  <c r="E86" i="11"/>
  <c r="F86" i="11" s="1"/>
  <c r="C87" i="11"/>
  <c r="E87" i="11" s="1"/>
  <c r="F87" i="11" s="1"/>
  <c r="V99" i="11"/>
  <c r="E75" i="11"/>
  <c r="F75" i="11" s="1"/>
  <c r="C76" i="11"/>
  <c r="E76" i="11" s="1"/>
  <c r="F76" i="11" s="1"/>
  <c r="E212" i="11"/>
  <c r="F212" i="11" s="1"/>
  <c r="Y34" i="35"/>
  <c r="BT60" i="11"/>
  <c r="BA66" i="11"/>
  <c r="BB66" i="11"/>
  <c r="BU60" i="11"/>
  <c r="AX65" i="11"/>
  <c r="BQ59" i="11"/>
  <c r="X168" i="11"/>
  <c r="V169" i="11"/>
  <c r="K67" i="11"/>
  <c r="L68" i="11" s="1"/>
  <c r="AW65" i="11"/>
  <c r="BP59" i="11"/>
  <c r="E213" i="11"/>
  <c r="F213" i="11" s="1"/>
  <c r="X174" i="11"/>
  <c r="V175" i="11"/>
  <c r="X180" i="11" l="1"/>
  <c r="V185" i="11"/>
  <c r="V186" i="11" s="1"/>
  <c r="V121" i="11"/>
  <c r="C211" i="11"/>
  <c r="Y121" i="11"/>
  <c r="X98" i="11"/>
  <c r="BW56" i="11"/>
  <c r="BD66" i="11"/>
  <c r="E211" i="11" l="1"/>
  <c r="F211" i="11" s="1"/>
  <c r="C214" i="11"/>
  <c r="E214" i="11" s="1"/>
  <c r="F214" i="11" s="1"/>
  <c r="D299" i="11"/>
  <c r="F297" i="11"/>
  <c r="F299" i="11" s="1"/>
</calcChain>
</file>

<file path=xl/comments1.xml><?xml version="1.0" encoding="utf-8"?>
<comments xmlns="http://schemas.openxmlformats.org/spreadsheetml/2006/main">
  <authors>
    <author>Anthony Mungall</author>
  </authors>
  <commentList>
    <comment ref="F166" authorId="0" shapeId="0">
      <text>
        <r>
          <rPr>
            <b/>
            <sz val="9"/>
            <color indexed="81"/>
            <rFont val="Tahoma"/>
            <family val="2"/>
          </rPr>
          <t>OFGEM:</t>
        </r>
        <r>
          <rPr>
            <sz val="9"/>
            <color indexed="81"/>
            <rFont val="Tahoma"/>
            <family val="2"/>
          </rPr>
          <t xml:space="preserve">  T1 forecast value excludes the impact of actual/forecast spend across T1 reported by SHET in RRP18 incurred in relation to generation projects that SHET anticipates will deliver outputs beyond 1 April 2023. </t>
        </r>
        <r>
          <rPr>
            <u/>
            <sz val="9"/>
            <color indexed="81"/>
            <rFont val="Tahoma"/>
            <family val="2"/>
          </rPr>
          <t xml:space="preserve"> Value: £81.4m</t>
        </r>
        <r>
          <rPr>
            <sz val="9"/>
            <color indexed="81"/>
            <rFont val="Tahoma"/>
            <family val="2"/>
          </rPr>
          <t xml:space="preserve"> (18-19 prices).  </t>
        </r>
      </text>
    </comment>
    <comment ref="G166" authorId="0" shapeId="0">
      <text>
        <r>
          <rPr>
            <b/>
            <sz val="9"/>
            <color indexed="81"/>
            <rFont val="Tahoma"/>
            <family val="2"/>
          </rPr>
          <t>Ofgem</t>
        </r>
        <r>
          <rPr>
            <sz val="9"/>
            <color indexed="81"/>
            <rFont val="Tahoma"/>
            <family val="2"/>
          </rPr>
          <t>: T1 forecast value</t>
        </r>
        <r>
          <rPr>
            <b/>
            <sz val="9"/>
            <color indexed="81"/>
            <rFont val="Tahoma"/>
            <family val="2"/>
          </rPr>
          <t xml:space="preserve"> </t>
        </r>
        <r>
          <rPr>
            <sz val="9"/>
            <color indexed="81"/>
            <rFont val="Tahoma"/>
            <family val="2"/>
          </rPr>
          <t xml:space="preserve">includes the impact of actual/forecast spend across T1 reported by SHET in RRP19 incurred in relation to generation projects that SHET anticipates will deliver outputs beyond 1 April 2023.  </t>
        </r>
        <r>
          <rPr>
            <u/>
            <sz val="9"/>
            <color indexed="81"/>
            <rFont val="Tahoma"/>
            <family val="2"/>
          </rPr>
          <t>Value: £46.6m</t>
        </r>
        <r>
          <rPr>
            <sz val="9"/>
            <color indexed="81"/>
            <rFont val="Tahoma"/>
            <family val="2"/>
          </rPr>
          <t xml:space="preserve"> (18-19 prices).  
To facilitate comparison with RRP18 we adjust the spend to deduct the value of T1 expenditure of the identified crossover schemes.</t>
        </r>
      </text>
    </comment>
    <comment ref="V166" authorId="0" shapeId="0">
      <text>
        <r>
          <rPr>
            <b/>
            <sz val="9"/>
            <color indexed="81"/>
            <rFont val="Tahoma"/>
            <family val="2"/>
          </rPr>
          <t xml:space="preserve">Ofgem: </t>
        </r>
        <r>
          <rPr>
            <sz val="9"/>
            <color indexed="81"/>
            <rFont val="Tahoma"/>
            <family val="2"/>
          </rPr>
          <t xml:space="preserve">
The T1 forecast value excludes the impact of actual/forecast spend reported by SHET in RRP18 incurred in relation to generation projects that SHET anticipates will deliver outputs beyond 1 April 2023.  Value: £81m (18-19 prices)</t>
        </r>
      </text>
    </comment>
    <comment ref="W166" authorId="0" shapeId="0">
      <text>
        <r>
          <rPr>
            <b/>
            <sz val="9"/>
            <color indexed="81"/>
            <rFont val="Tahoma"/>
            <family val="2"/>
          </rPr>
          <t xml:space="preserve">Ofgem: </t>
        </r>
        <r>
          <rPr>
            <sz val="9"/>
            <color indexed="81"/>
            <rFont val="Tahoma"/>
            <family val="2"/>
          </rPr>
          <t xml:space="preserve"> The T1 forecast value includes the impact of actual/forecast spend reported by SHET in RRP19 incurred in relation to generation projects that SHET anticipates will deliver outputs beyond 1 April 2023.  Value: £46m (18-19 prices).  To facilitate comparison with RRP18 we adjust the spend to deduct the value of T1 expenditure of the identified crossover schemes.</t>
        </r>
      </text>
    </comment>
  </commentList>
</comments>
</file>

<file path=xl/sharedStrings.xml><?xml version="1.0" encoding="utf-8"?>
<sst xmlns="http://schemas.openxmlformats.org/spreadsheetml/2006/main" count="1464" uniqueCount="563">
  <si>
    <t>Company</t>
  </si>
  <si>
    <t>SPT</t>
  </si>
  <si>
    <t>Allowance</t>
  </si>
  <si>
    <t>Total</t>
  </si>
  <si>
    <t>Expenditure</t>
  </si>
  <si>
    <t>Table/Figure</t>
  </si>
  <si>
    <t>Actual expenditure</t>
  </si>
  <si>
    <t>RIIO-T1 Regulatory Instructions and Guidance</t>
  </si>
  <si>
    <t>Universal Data</t>
  </si>
  <si>
    <t>Company Name:</t>
  </si>
  <si>
    <t>Company Short Name:</t>
  </si>
  <si>
    <t>Reporting Year: (enter 2007 for 2006/07)</t>
  </si>
  <si>
    <t>Version (Number)</t>
  </si>
  <si>
    <t>Submitted Date:</t>
  </si>
  <si>
    <t>Reporting Year - 6</t>
  </si>
  <si>
    <t>Reporting Year - 5</t>
  </si>
  <si>
    <t>Reporting Year - 4</t>
  </si>
  <si>
    <t>Reporting Year - 3</t>
  </si>
  <si>
    <t>Reporting Year - 2</t>
  </si>
  <si>
    <t>Reporting Year - 1</t>
  </si>
  <si>
    <t>Reporting Year:</t>
  </si>
  <si>
    <t>Reporting Year + 1</t>
  </si>
  <si>
    <t>Reporting Year + 2</t>
  </si>
  <si>
    <t>Reporting Year + 3</t>
  </si>
  <si>
    <t>Reporting Year + 4</t>
  </si>
  <si>
    <t>Reporting Year + 5</t>
  </si>
  <si>
    <t>Error Limit lower than (Rounding)</t>
  </si>
  <si>
    <t>RPI Index</t>
  </si>
  <si>
    <t>Financial year average RPI</t>
  </si>
  <si>
    <t>2003/04</t>
  </si>
  <si>
    <t>2004/05</t>
  </si>
  <si>
    <t>2005/06</t>
  </si>
  <si>
    <t>2006/07</t>
  </si>
  <si>
    <t>2007/08</t>
  </si>
  <si>
    <t>2008/09</t>
  </si>
  <si>
    <t>2009/10</t>
  </si>
  <si>
    <t>2010/11</t>
  </si>
  <si>
    <t>2011/12</t>
  </si>
  <si>
    <t>2012/13</t>
  </si>
  <si>
    <t>2013/14</t>
  </si>
  <si>
    <t>2014/15</t>
  </si>
  <si>
    <t>2015/16</t>
  </si>
  <si>
    <t>2016/17</t>
  </si>
  <si>
    <t>2017/18</t>
  </si>
  <si>
    <t>2018/19</t>
  </si>
  <si>
    <t>2019/20</t>
  </si>
  <si>
    <t>2020/21</t>
  </si>
  <si>
    <t>Difference</t>
  </si>
  <si>
    <t>£m</t>
  </si>
  <si>
    <t>%</t>
  </si>
  <si>
    <t>NGET TO</t>
  </si>
  <si>
    <t>SHET</t>
  </si>
  <si>
    <t>TOTAL</t>
  </si>
  <si>
    <t>Year</t>
  </si>
  <si>
    <t xml:space="preserve">Output requirement </t>
  </si>
  <si>
    <t xml:space="preserve">RIIO measure </t>
  </si>
  <si>
    <t xml:space="preserve">i Safety </t>
  </si>
  <si>
    <t xml:space="preserve">To meet all safety legislation requirements. </t>
  </si>
  <si>
    <t>All met</t>
  </si>
  <si>
    <t>ii Reliability</t>
  </si>
  <si>
    <t xml:space="preserve">Minimise how much electricity is lost to our customers because of failures of the assets on the network </t>
  </si>
  <si>
    <t xml:space="preserve">iii Availability </t>
  </si>
  <si>
    <t xml:space="preserve">Implement and maintain policy. </t>
  </si>
  <si>
    <t xml:space="preserve">iv Environmental benefits </t>
  </si>
  <si>
    <t>Performance band:</t>
  </si>
  <si>
    <t>No financial incentive</t>
  </si>
  <si>
    <t xml:space="preserve">v Customer satisfaction </t>
  </si>
  <si>
    <t xml:space="preserve">vi Timely connections </t>
  </si>
  <si>
    <t xml:space="preserve">NGET (TO): Connection of new generation </t>
  </si>
  <si>
    <t xml:space="preserve">NGET (TO): Construction of new super grid transformers (SGT) </t>
  </si>
  <si>
    <t>SPT: New generation connections (MW)</t>
  </si>
  <si>
    <t xml:space="preserve">SHET </t>
  </si>
  <si>
    <t>13-14</t>
  </si>
  <si>
    <t>14-15</t>
  </si>
  <si>
    <t>15-16</t>
  </si>
  <si>
    <t>16-17</t>
  </si>
  <si>
    <t>NGET (TO)</t>
  </si>
  <si>
    <t>Forecast expenditure</t>
  </si>
  <si>
    <t>Forecast adjusted allowance</t>
  </si>
  <si>
    <t>Non-load related</t>
  </si>
  <si>
    <t>Actual allowance claimed for the year</t>
  </si>
  <si>
    <t>(£m, nominal prices)</t>
  </si>
  <si>
    <t>Table 1: Outputs and measures of performance</t>
  </si>
  <si>
    <t xml:space="preserve">Comply with Health &amp; Safety Executive law </t>
  </si>
  <si>
    <t>All below target</t>
  </si>
  <si>
    <t>Implement the Network Access Policy[1]</t>
  </si>
  <si>
    <t>All below limits [3]</t>
  </si>
  <si>
    <t>Financial reward[4]</t>
  </si>
  <si>
    <t>Customer Satisfaction Survey (NGET only) and Stakeholder Satisfaction Survey (all)</t>
  </si>
  <si>
    <r>
      <t>·</t>
    </r>
    <r>
      <rPr>
        <sz val="7"/>
        <color rgb="FF000000"/>
        <rFont val="Times New Roman"/>
        <family val="1"/>
      </rPr>
      <t xml:space="preserve">         </t>
    </r>
    <r>
      <rPr>
        <sz val="9"/>
        <color rgb="FF000000"/>
        <rFont val="Verdana"/>
        <family val="2"/>
      </rPr>
      <t>NGET Customer 6.9/10</t>
    </r>
  </si>
  <si>
    <r>
      <t>·</t>
    </r>
    <r>
      <rPr>
        <sz val="7"/>
        <color rgb="FF000000"/>
        <rFont val="Times New Roman"/>
        <family val="1"/>
      </rPr>
      <t xml:space="preserve">         </t>
    </r>
    <r>
      <rPr>
        <sz val="9"/>
        <color rgb="FF000000"/>
        <rFont val="Verdana"/>
        <family val="2"/>
      </rPr>
      <t xml:space="preserve">NGET Stakeholder 7.4/10 </t>
    </r>
  </si>
  <si>
    <r>
      <t>·</t>
    </r>
    <r>
      <rPr>
        <sz val="7"/>
        <color rgb="FF000000"/>
        <rFont val="Times New Roman"/>
        <family val="1"/>
      </rPr>
      <t xml:space="preserve">         </t>
    </r>
    <r>
      <rPr>
        <sz val="9"/>
        <color rgb="FF000000"/>
        <rFont val="Verdana"/>
        <family val="2"/>
      </rPr>
      <t>SPT Stakeholder 7.4/10</t>
    </r>
  </si>
  <si>
    <r>
      <t>·</t>
    </r>
    <r>
      <rPr>
        <sz val="7"/>
        <color rgb="FF000000"/>
        <rFont val="Times New Roman"/>
        <family val="1"/>
      </rPr>
      <t xml:space="preserve">         </t>
    </r>
    <r>
      <rPr>
        <sz val="9"/>
        <color rgb="FF000000"/>
        <rFont val="Verdana"/>
        <family val="2"/>
      </rPr>
      <t>SHET Stakeholder  7.4/10</t>
    </r>
  </si>
  <si>
    <t xml:space="preserve"> </t>
  </si>
  <si>
    <t>Neutral point:     5.0/10</t>
  </si>
  <si>
    <t>The timely meeting of existing licence requirements in relation to delivering new generation &amp; new demand connections.</t>
  </si>
  <si>
    <t>Financial incentives apply to SPT/SHET only; no financial incentive on NGET as it is the contractual interface with customers.</t>
  </si>
  <si>
    <t>vii Connection works and Wider works</t>
  </si>
  <si>
    <t>Construction of new OHL to accommodate new customers</t>
  </si>
  <si>
    <r>
      <t>·</t>
    </r>
    <r>
      <rPr>
        <sz val="7"/>
        <color rgb="FF000000"/>
        <rFont val="Times New Roman"/>
        <family val="1"/>
      </rPr>
      <t xml:space="preserve">         </t>
    </r>
    <r>
      <rPr>
        <sz val="9"/>
        <color rgb="FF000000"/>
        <rFont val="Verdana"/>
        <family val="2"/>
      </rPr>
      <t>Baseline target: 215.4km OHL</t>
    </r>
  </si>
  <si>
    <r>
      <t>·</t>
    </r>
    <r>
      <rPr>
        <sz val="7"/>
        <color rgb="FF000000"/>
        <rFont val="Times New Roman"/>
        <family val="1"/>
      </rPr>
      <t xml:space="preserve">         </t>
    </r>
    <r>
      <rPr>
        <i/>
        <sz val="9"/>
        <color rgb="FF000000"/>
        <rFont val="Verdana"/>
        <family val="2"/>
      </rPr>
      <t>Current T1 forecast: 41.4km OHL</t>
    </r>
  </si>
  <si>
    <t>These measures are subject to company specific volume driver mechanisms.</t>
  </si>
  <si>
    <r>
      <t>·</t>
    </r>
    <r>
      <rPr>
        <sz val="7"/>
        <color rgb="FF000000"/>
        <rFont val="Times New Roman"/>
        <family val="1"/>
      </rPr>
      <t xml:space="preserve">         </t>
    </r>
    <r>
      <rPr>
        <sz val="9"/>
        <color rgb="FF000000"/>
        <rFont val="Verdana"/>
        <family val="2"/>
      </rPr>
      <t>Baseline target: 27km OHL</t>
    </r>
  </si>
  <si>
    <r>
      <t>·</t>
    </r>
    <r>
      <rPr>
        <sz val="7"/>
        <color rgb="FF000000"/>
        <rFont val="Times New Roman"/>
        <family val="1"/>
      </rPr>
      <t xml:space="preserve">         </t>
    </r>
    <r>
      <rPr>
        <i/>
        <sz val="9"/>
        <color rgb="FF000000"/>
        <rFont val="Verdana"/>
        <family val="2"/>
      </rPr>
      <t>Current T1 forecast: 5.42km OHL</t>
    </r>
  </si>
  <si>
    <t xml:space="preserve">NGET (TO): Incremental Wider Works to strengthen specific boundaries </t>
  </si>
  <si>
    <r>
      <t>·</t>
    </r>
    <r>
      <rPr>
        <sz val="7"/>
        <color rgb="FF000000"/>
        <rFont val="Times New Roman"/>
        <family val="1"/>
      </rPr>
      <t xml:space="preserve">         </t>
    </r>
    <r>
      <rPr>
        <i/>
        <sz val="9"/>
        <color rgb="FF000000"/>
        <rFont val="Verdana"/>
        <family val="2"/>
      </rPr>
      <t>Current T1 forecast: 1,620MW</t>
    </r>
  </si>
  <si>
    <t xml:space="preserve">These measures are subject to company specific volume driver mechanisms. </t>
  </si>
  <si>
    <t>SPT: New network capacity (MVA)</t>
  </si>
  <si>
    <r>
      <t>·</t>
    </r>
    <r>
      <rPr>
        <sz val="7"/>
        <color rgb="FF000000"/>
        <rFont val="Times New Roman"/>
        <family val="1"/>
      </rPr>
      <t xml:space="preserve">         </t>
    </r>
    <r>
      <rPr>
        <i/>
        <sz val="9"/>
        <color rgb="FF000000"/>
        <rFont val="Verdana"/>
        <family val="2"/>
      </rPr>
      <t>Current T1 forecast: 3,482MVa</t>
    </r>
  </si>
  <si>
    <t>SHET: New network capacity (MVA)</t>
  </si>
  <si>
    <t xml:space="preserve">Delivery of Baseline Wider Works (BWW) </t>
  </si>
  <si>
    <r>
      <t>SHET:</t>
    </r>
    <r>
      <rPr>
        <sz val="8.5"/>
        <color rgb="FF000000"/>
        <rFont val="Verdana"/>
        <family val="2"/>
      </rPr>
      <t xml:space="preserve"> All BWW outputs delivered on time.</t>
    </r>
  </si>
  <si>
    <t xml:space="preserve">Delivery of  Strategic Wider Works (SWW) </t>
  </si>
  <si>
    <r>
      <t xml:space="preserve">SPT: </t>
    </r>
    <r>
      <rPr>
        <sz val="8.5"/>
        <color rgb="FF000000"/>
        <rFont val="Verdana"/>
        <family val="2"/>
      </rPr>
      <t>No approved SWW projects or potential SWW projects within RIIO-ET1.</t>
    </r>
  </si>
  <si>
    <t xml:space="preserve">[1] In June 2015 the Authority approved a single common NAP for Scotland, applicable to both SPT and SHET, and a separate NAP for England and Wales, capturing NGET’s functions of SO and TO.  </t>
  </si>
  <si>
    <t>[2] The target for SF6 leakage increases as the number of assets on the network using SF6 increases.</t>
  </si>
  <si>
    <t>2013-14</t>
  </si>
  <si>
    <t>2014-15</t>
  </si>
  <si>
    <t>2015-16</t>
  </si>
  <si>
    <t>2016-17</t>
  </si>
  <si>
    <t>2017-18</t>
  </si>
  <si>
    <t xml:space="preserve">SPT </t>
  </si>
  <si>
    <t>16/17</t>
  </si>
  <si>
    <t>17/18</t>
  </si>
  <si>
    <t>Baseline</t>
  </si>
  <si>
    <t xml:space="preserve">KPI Scores </t>
  </si>
  <si>
    <t>MWh</t>
  </si>
  <si>
    <t>% below target</t>
  </si>
  <si>
    <t>% vs target</t>
  </si>
  <si>
    <t>17-18</t>
  </si>
  <si>
    <t>† The figures are based upon the TOs’ published values. Small rounding errors may exist.</t>
  </si>
  <si>
    <t>ACTUAL</t>
  </si>
  <si>
    <t>FORECAST</t>
  </si>
  <si>
    <t>RRP 18</t>
  </si>
  <si>
    <t xml:space="preserve">Difference </t>
  </si>
  <si>
    <t>a. Current forecast of T1 expenditure</t>
  </si>
  <si>
    <t>b. Current forecast of T1 allowance</t>
  </si>
  <si>
    <t>Performance (a-b)</t>
  </si>
  <si>
    <t>3 (1+2)</t>
  </si>
  <si>
    <t>6 (4+5)</t>
  </si>
  <si>
    <t>Original Forecast Customer Contributions</t>
  </si>
  <si>
    <t>Baseline allowance (post CC)</t>
  </si>
  <si>
    <t>Current forecast Customer Contributions</t>
  </si>
  <si>
    <t>Net current view of expenditure</t>
  </si>
  <si>
    <t>Forecast “true-up” value (Col 6 - Col 3)</t>
  </si>
  <si>
    <t>2018/19 targets</t>
  </si>
  <si>
    <r>
      <t>·</t>
    </r>
    <r>
      <rPr>
        <sz val="7"/>
        <color rgb="FF000000"/>
        <rFont val="Times New Roman"/>
        <family val="1"/>
      </rPr>
      <t xml:space="preserve">         </t>
    </r>
    <r>
      <rPr>
        <i/>
        <sz val="9"/>
        <color rgb="FF000000"/>
        <rFont val="Verdana"/>
        <family val="2"/>
      </rPr>
      <t>Current T1 forecast: 12.58GW</t>
    </r>
  </si>
  <si>
    <r>
      <t>·</t>
    </r>
    <r>
      <rPr>
        <sz val="7"/>
        <color rgb="FF000000"/>
        <rFont val="Times New Roman"/>
        <family val="1"/>
      </rPr>
      <t xml:space="preserve">         </t>
    </r>
    <r>
      <rPr>
        <i/>
        <sz val="9"/>
        <color rgb="FF000000"/>
        <rFont val="Verdana"/>
        <family val="2"/>
      </rPr>
      <t>Current T1 forecast: 12.4GW</t>
    </r>
  </si>
  <si>
    <t>NGET: 7.92/10</t>
  </si>
  <si>
    <t>SPT: 8.5/10</t>
  </si>
  <si>
    <t>SHET: 8.2/10</t>
  </si>
  <si>
    <r>
      <t>·</t>
    </r>
    <r>
      <rPr>
        <sz val="7"/>
        <color rgb="FF000000"/>
        <rFont val="Times New Roman"/>
        <family val="1"/>
      </rPr>
      <t xml:space="preserve">         </t>
    </r>
    <r>
      <rPr>
        <i/>
        <sz val="9"/>
        <color rgb="FF000000"/>
        <rFont val="Verdana"/>
        <family val="2"/>
      </rPr>
      <t>Current T1 forecast: 1,549MW</t>
    </r>
  </si>
  <si>
    <r>
      <t>·</t>
    </r>
    <r>
      <rPr>
        <sz val="7"/>
        <color rgb="FF000000"/>
        <rFont val="Times New Roman"/>
        <family val="1"/>
      </rPr>
      <t xml:space="preserve">         </t>
    </r>
    <r>
      <rPr>
        <i/>
        <sz val="9"/>
        <color rgb="FF000000"/>
        <rFont val="Verdana"/>
        <family val="2"/>
      </rPr>
      <t>Current T1 forecast: 4,166MVa</t>
    </r>
  </si>
  <si>
    <r>
      <t xml:space="preserve">SHET: </t>
    </r>
    <r>
      <rPr>
        <sz val="8.5"/>
        <color rgb="FF000000"/>
        <rFont val="Verdana"/>
        <family val="2"/>
      </rPr>
      <t>All three approved SWW projects have been delivered.</t>
    </r>
    <r>
      <rPr>
        <b/>
        <sz val="8.5"/>
        <color rgb="FF000000"/>
        <rFont val="Verdana"/>
        <family val="2"/>
      </rPr>
      <t xml:space="preserve"> </t>
    </r>
  </si>
  <si>
    <t xml:space="preserve">[3] Continuing the performance achieved last year, SHET report annual leakage rate to be below the pre-agreed annual limit (this year exceeding target by 5.1kg).  </t>
  </si>
  <si>
    <t>2018-19</t>
  </si>
  <si>
    <t>18/19</t>
  </si>
  <si>
    <t>18-19</t>
  </si>
  <si>
    <t>In 2019, no completed electricity NIC projects applied for the Successful Delivery Reward.</t>
  </si>
  <si>
    <t>2019 Decision</t>
  </si>
  <si>
    <t xml:space="preserve">https://www.ofgem.gov.uk/system/files/docs/2019/07/decision_sdr_2019_final.pdf </t>
  </si>
  <si>
    <t>Table 3: ENS performance</t>
  </si>
  <si>
    <r>
      <t>Table 4: SF</t>
    </r>
    <r>
      <rPr>
        <b/>
        <vertAlign val="subscript"/>
        <sz val="9"/>
        <color theme="1"/>
        <rFont val="Verdana"/>
        <family val="2"/>
      </rPr>
      <t>6</t>
    </r>
    <r>
      <rPr>
        <b/>
        <sz val="9"/>
        <color theme="1"/>
        <rFont val="Verdana"/>
        <family val="2"/>
      </rPr>
      <t xml:space="preserve"> performance</t>
    </r>
  </si>
  <si>
    <r>
      <t>Table 5: BCF in terms of tonnes of CO</t>
    </r>
    <r>
      <rPr>
        <b/>
        <vertAlign val="subscript"/>
        <sz val="9"/>
        <color theme="1"/>
        <rFont val="Verdana"/>
        <family val="2"/>
      </rPr>
      <t>2</t>
    </r>
    <r>
      <rPr>
        <b/>
        <sz val="9"/>
        <color theme="1"/>
        <rFont val="Verdana"/>
        <family val="2"/>
      </rPr>
      <t xml:space="preserve"> equivalent per licensee in 2013-18</t>
    </r>
  </si>
  <si>
    <t xml:space="preserve">Table 3: ENS performance </t>
  </si>
  <si>
    <r>
      <t>Table 4: SF</t>
    </r>
    <r>
      <rPr>
        <b/>
        <vertAlign val="subscript"/>
        <sz val="10"/>
        <color theme="1"/>
        <rFont val="Verdana"/>
        <family val="2"/>
      </rPr>
      <t>6</t>
    </r>
    <r>
      <rPr>
        <b/>
        <sz val="10"/>
        <color theme="1"/>
        <rFont val="Verdana"/>
        <family val="2"/>
      </rPr>
      <t xml:space="preserve"> performance </t>
    </r>
  </si>
  <si>
    <r>
      <t>Table 5 - BCF in terms of tonnes of CO</t>
    </r>
    <r>
      <rPr>
        <b/>
        <vertAlign val="subscript"/>
        <sz val="10"/>
        <color theme="1"/>
        <rFont val="Verdana"/>
        <family val="2"/>
      </rPr>
      <t>2</t>
    </r>
    <r>
      <rPr>
        <b/>
        <sz val="10"/>
        <color theme="1"/>
        <rFont val="Verdana"/>
        <family val="2"/>
      </rPr>
      <t xml:space="preserve"> equivalent per licensee in 2018-19</t>
    </r>
  </si>
  <si>
    <t>£m, 2018-19 prices </t>
  </si>
  <si>
    <t xml:space="preserve">TOTEX allowance (£/m) 2009/10 prices </t>
  </si>
  <si>
    <t>TOTEX allowance (£/m) 2018/19 prices</t>
  </si>
  <si>
    <t>TOTEX expenditure (actual and forecast) (£/m) 2018/19 prices</t>
  </si>
  <si>
    <t>Controllable opex allowance (£/m) 2018/19 prices</t>
  </si>
  <si>
    <t>CAPEX allowance (£/m) 2018/19 prices</t>
  </si>
  <si>
    <t>2018/19 prices</t>
  </si>
  <si>
    <t>NON-OP CAPEX allowance (£/m) 2018/19 prices</t>
  </si>
  <si>
    <t>Load related</t>
  </si>
  <si>
    <t>RRP 19</t>
  </si>
  <si>
    <t>Non-op capex related</t>
  </si>
  <si>
    <t>Controllable opex related</t>
  </si>
  <si>
    <t>£ billion, 2018-19 Prices</t>
  </si>
  <si>
    <t>increase</t>
  </si>
  <si>
    <t>decrease</t>
  </si>
  <si>
    <t>NG ESO: T1 expenditure and T1 allowance comparison RRP18 and RRP19</t>
  </si>
  <si>
    <t>£m, 2018/19 prices</t>
  </si>
  <si>
    <t>Current view of expenditure (Incl RPEs)</t>
  </si>
  <si>
    <t>Baseline allowance (incl RPEs and pre CC)</t>
  </si>
  <si>
    <t>Forecast “true-up” value excluding RPEs</t>
  </si>
  <si>
    <t xml:space="preserve">NGET currently expects to overspend the allowance (£32m). </t>
  </si>
  <si>
    <t>£m, 2018/19</t>
  </si>
  <si>
    <t xml:space="preserve">SPT currently expects to overspend the allowance (£8m). </t>
  </si>
  <si>
    <t>Table 6 – Company activity under the NIA</t>
  </si>
  <si>
    <t>Table 13: NGESO cost and allowance profile summary</t>
  </si>
  <si>
    <t>Table 6: Company activity under the NIA</t>
  </si>
  <si>
    <t>[9] The MPR confirmed that SPT propose to deliver an alternative Voltage Control scheme (420MVAr) in lieu of delivering Kilmarnock South scheme and will utilise the baseline funding accordingly.</t>
  </si>
  <si>
    <t>[10] The connection of the Hinkley-Seabank project, the North West Coast Connection at Moorside, the Eastern HVDC link from Scotland to England, a new east–west circuit between the north east of England and Lancashire, and new transmission route Between South London and the South East Coast.</t>
  </si>
  <si>
    <t>All new or modified offers provided to customers within the 90 days.[7]</t>
  </si>
  <si>
    <r>
      <t xml:space="preserve">Minimise SF6 greenhouse gas emissions
</t>
    </r>
    <r>
      <rPr>
        <sz val="10"/>
        <color rgb="FF000000"/>
        <rFont val="Verdana"/>
        <family val="2"/>
      </rPr>
      <t xml:space="preserve">
Reward/penalty based on the non-traded carbon price for carbon equivalent emissions.</t>
    </r>
  </si>
  <si>
    <r>
      <t>Environmental Discretionary Reward (EDR)</t>
    </r>
    <r>
      <rPr>
        <sz val="10"/>
        <color theme="1"/>
        <rFont val="Verdana"/>
        <family val="2"/>
      </rPr>
      <t xml:space="preserve"> 
Annual funding of up to £4m will be available in each scheme year.</t>
    </r>
  </si>
  <si>
    <r>
      <t xml:space="preserve">Publish annual progress on 
</t>
    </r>
    <r>
      <rPr>
        <sz val="10"/>
        <color rgb="FF000000"/>
        <rFont val="Verdana"/>
        <family val="2"/>
      </rPr>
      <t xml:space="preserve">·         Business Carbon Footprint[5]
</t>
    </r>
  </si>
  <si>
    <r>
      <rPr>
        <b/>
        <sz val="8.5"/>
        <color theme="1"/>
        <rFont val="Verdana"/>
        <family val="2"/>
      </rPr>
      <t xml:space="preserve">SPT: </t>
    </r>
    <r>
      <rPr>
        <sz val="8.5"/>
        <color theme="1"/>
        <rFont val="Verdana"/>
        <family val="2"/>
      </rPr>
      <t xml:space="preserve">Three BWW outputs delivered on time. The WHVDC link is forecast to be delivered to a revised completion date, currently  expected in late 2019. The Kilmarnock South scheme is the subject of a substitution.[9] </t>
    </r>
  </si>
  <si>
    <r>
      <rPr>
        <b/>
        <sz val="8.5"/>
        <color theme="1"/>
        <rFont val="Verdana"/>
        <family val="2"/>
      </rPr>
      <t>NGET (TO):</t>
    </r>
    <r>
      <rPr>
        <sz val="8.5"/>
        <color theme="1"/>
        <rFont val="Verdana"/>
        <family val="2"/>
      </rPr>
      <t xml:space="preserve"> Progressing five projects which NGET expects to meet the criteria of the SWW arrangements[10].  </t>
    </r>
  </si>
  <si>
    <r>
      <t>Construction of new OHL to accommodate new customers.</t>
    </r>
    <r>
      <rPr>
        <sz val="10"/>
        <color rgb="FF000000"/>
        <rFont val="Verdana"/>
        <family val="2"/>
      </rPr>
      <t xml:space="preserve"> </t>
    </r>
  </si>
  <si>
    <t>SHET: New generation connections (MW)</t>
  </si>
  <si>
    <r>
      <t xml:space="preserve">Stakeholder engagement discretionary reward. 
</t>
    </r>
    <r>
      <rPr>
        <sz val="10"/>
        <color theme="1"/>
        <rFont val="Verdana"/>
        <family val="2"/>
      </rPr>
      <t xml:space="preserve">
Using the stakeholder engagement methodology[6], the financial reward for each company is shown in brackets in 2018-19 prices.</t>
    </r>
  </si>
  <si>
    <t xml:space="preserve">Performance </t>
  </si>
  <si>
    <t>Table 9a</t>
  </si>
  <si>
    <t>Table 9b</t>
  </si>
  <si>
    <t>Table 11a</t>
  </si>
  <si>
    <t>Table 11b</t>
  </si>
  <si>
    <t>SPT:   4.94/10 (£0.34m)</t>
  </si>
  <si>
    <t>NGET: 5.54/10 (£2.57m)</t>
  </si>
  <si>
    <t>SHET: 4.06/10 (£0.02m)</t>
  </si>
  <si>
    <t xml:space="preserve">Figure 1a: Actual and forecast expenditure vs NGET TO forecast allowance </t>
  </si>
  <si>
    <t>SPT: 78% (Leadserhip)</t>
  </si>
  <si>
    <t>SHET: 78% (Leadership)</t>
  </si>
  <si>
    <t>NGET: 63% (Proactive)</t>
  </si>
  <si>
    <t>SPT: £1 million</t>
  </si>
  <si>
    <t>SHET: £1 million</t>
  </si>
  <si>
    <t xml:space="preserve">NGET: No reward </t>
  </si>
  <si>
    <t xml:space="preserve">Figure 3a: Actual and forecast expenditure vs SHET forecast allowance </t>
  </si>
  <si>
    <t>NOTE:</t>
  </si>
  <si>
    <t>Load related: £65m per annum (2009-10 prices)</t>
  </si>
  <si>
    <t>Non-load related: £175m per annum (2009-10 prices)</t>
  </si>
  <si>
    <t>Performance £m (a-b)</t>
  </si>
  <si>
    <t>Performance %</t>
  </si>
  <si>
    <t>CHECK</t>
  </si>
  <si>
    <t>09-10 prices</t>
  </si>
  <si>
    <t>18-19 prices</t>
  </si>
  <si>
    <t>Load related: £23.7m per annum (2009-10 prices)</t>
  </si>
  <si>
    <t xml:space="preserve">This value has beem allocated equally across the final two years of T1. </t>
  </si>
  <si>
    <t>This value has beem allocated equally across the final two years of T1.</t>
  </si>
  <si>
    <t>SHET: T1 expenditure and T1 allowance comparison RRP18 and RRP19 (Pre true-up. Impact of 'hand back' excluded)</t>
  </si>
  <si>
    <r>
      <rPr>
        <b/>
        <sz val="10"/>
        <rFont val="Verdana"/>
        <family val="2"/>
      </rPr>
      <t>NGET TO: T1 expenditure and T1 allowance comparison RRP18 and RRP19 (Pre true-up. Impact of MPR included.</t>
    </r>
    <r>
      <rPr>
        <b/>
        <sz val="10"/>
        <color theme="1"/>
        <rFont val="Verdana"/>
        <family val="2"/>
      </rPr>
      <t xml:space="preserve"> Impact of volun</t>
    </r>
    <r>
      <rPr>
        <b/>
        <sz val="10"/>
        <rFont val="Verdana"/>
        <family val="2"/>
      </rPr>
      <t>tary deferral excluded</t>
    </r>
    <r>
      <rPr>
        <b/>
        <sz val="10"/>
        <color theme="1"/>
        <rFont val="Verdana"/>
        <family val="2"/>
      </rPr>
      <t>)</t>
    </r>
  </si>
  <si>
    <t>SHET: T1 expenditure and T1 allowance comparison RRP18 and RRP19 (Pre true-up. Impact of 'hand back' included)</t>
  </si>
  <si>
    <t>Figure 1b: Actual and forecast expenditure vs NGET TO forecast allowance (Pre true-up. Impact of MPR included. Impact of voluntary deferral excluded)</t>
  </si>
  <si>
    <t>Figure 3b: Actual and forecast expenditure vs SHET forecast allowance (Pre true-up. Impact of 'hand back' included)</t>
  </si>
  <si>
    <t>Table 9a: NGET TO: T1 expenditure and T1 allowance comparison RRP18 and RRP19 (Pre true-up. Impact of voluntary deferral &amp; Mid Period Review included)</t>
  </si>
  <si>
    <t>Table 9b: NGET TO: T1 expenditure and T1 allowance comparison RRP18 and RRP19 (Pre true-up. Impact of Mid Period Review included. Impact of voluntary deferral excluded)</t>
  </si>
  <si>
    <t>Table 11b: SHET TO: T1 expenditure and T1 allowance comparison RRP18 and RRP19 (Pre true-up. Impact of 'hand back' included)</t>
  </si>
  <si>
    <t>Table 11a: SHET TO: T1 expenditure and T1 allowance comparison RRP18 and RRP19 (Pre true-up. Impact of 'hand back' excluded)</t>
  </si>
  <si>
    <r>
      <t xml:space="preserve">Current RIIO-ET1 company forecast </t>
    </r>
    <r>
      <rPr>
        <i/>
        <sz val="8"/>
        <color rgb="FF000000"/>
        <rFont val="Verdana"/>
        <family val="2"/>
      </rPr>
      <t>(the figures reflect a RIIO-T1 pre-true up position in respect of excluded services)</t>
    </r>
    <r>
      <rPr>
        <b/>
        <vertAlign val="superscript"/>
        <sz val="8"/>
        <color theme="1"/>
        <rFont val="Verdana"/>
        <family val="2"/>
      </rPr>
      <t xml:space="preserve"> </t>
    </r>
    <r>
      <rPr>
        <b/>
        <vertAlign val="superscript"/>
        <sz val="9"/>
        <color theme="1"/>
        <rFont val="Verdana"/>
        <family val="2"/>
      </rPr>
      <t>†</t>
    </r>
  </si>
  <si>
    <t>The figures reflect a RIIO-T1 pre-true up position in respect of excluded services</t>
  </si>
  <si>
    <t>SPT: T1 expenditure and T1 allowance comparison RRP18 and RRP19 (Pre true-up)</t>
  </si>
  <si>
    <r>
      <t xml:space="preserve">Current RIIO-ET1 company forecast </t>
    </r>
    <r>
      <rPr>
        <i/>
        <sz val="8"/>
        <color rgb="FF000000"/>
        <rFont val="Verdana"/>
        <family val="2"/>
      </rPr>
      <t>(including an adjustment for the RIIO-T1 forecast excluded services true-up)</t>
    </r>
  </si>
  <si>
    <t>Table 8a: TO view of totex expenditure vs adjusted allowed totex (£m)</t>
  </si>
  <si>
    <t>Final Proposals define that there will be a ‘true-up’ of the pre-construction allowances associated with specific Strategic Wider Works projects to the level of actual expenditure incurrred at the end of RIIO-T1.
The true up is faciliated through paragraph 17 of Special condition 3L of the transmission licence ("Pre-construction Engineering Outputs for prospective Strategic Wider Works"), which  sets out an ability to adjust baseline expenditure in the event that the licensee does not deliver or only partially delivers a 'named' Output (captured in table 1 of the condition). This means that potential non-delivery of the prescribed Outputs, and the associated level of allowed expenditure, will be further considered as part of the RIIO-ET1 ‘close out’ process.</t>
  </si>
  <si>
    <t>For the avoidance of doubt, the approach applied in our “true-up” assessment is a snapshot based on current information and is not a conclusion on the form and scope of the end of period reconciliation. Separate discussions will continue with the network companies on the parameters to be applied at the end of the T1 period.</t>
  </si>
  <si>
    <t>T1 TOTAL</t>
  </si>
  <si>
    <t>SHET: Sole use generation schemes (LR5)</t>
  </si>
  <si>
    <t>SHET: Shared use generation schemes (LR6)</t>
  </si>
  <si>
    <t>Delivery date</t>
  </si>
  <si>
    <t>SC1</t>
  </si>
  <si>
    <t>B7a</t>
  </si>
  <si>
    <t>MW</t>
  </si>
  <si>
    <t>Output Year</t>
  </si>
  <si>
    <t>Generation</t>
  </si>
  <si>
    <t>Demand</t>
  </si>
  <si>
    <t>Incremental Wider Works</t>
  </si>
  <si>
    <t>Boundary</t>
  </si>
  <si>
    <t>B6</t>
  </si>
  <si>
    <t>B7</t>
  </si>
  <si>
    <t>EC5</t>
  </si>
  <si>
    <t>B8</t>
  </si>
  <si>
    <t>The agreed value of NGET's voluntary deferral is £480m (2009/10 prices)</t>
  </si>
  <si>
    <t>The agreed value of SHET's 'hand back' is £47.5m (2009/10 prices)</t>
  </si>
  <si>
    <t>Generation: Sole use generation</t>
  </si>
  <si>
    <t>Generation: Shared use generation</t>
  </si>
  <si>
    <t>T1 Total</t>
  </si>
  <si>
    <t>T1+2 total</t>
  </si>
  <si>
    <t>T1+2 period</t>
  </si>
  <si>
    <t>Final Proposals confirmed that certain load-related uncertainty mechanisms of NGET TO contain an automatic trigger to adjust allowances for the first two years after the conclusion of RIIO-ET1 (referred to as the “T1+2” time period).  This extension to certain volume drivers was to recognise that there will be specific projects for which NGET TO will incur expenditure spanning the final years of the RIIO-ET1 period and the early years  of RIIO-ET2, where the output is expected to be delivered before 31 March 2023.
The projects that are currently expected to deliver outputs in the T1+2 period are primarily in relation to Generation Connections (delivery of new directly connected MW), but activity is also currently forecast in the mechanisms for Demand Connections (delivery of new SuperGrid Transformers) and Incremental Wider Works reinforcement activity (delivery of new boundary capability increases). A fourth uncertainty mechanism associated with the replacement of underground cables and DNO mitigation works has not progressed as expected and currently only a fraction of original level of expenditure has been incurred in RIIO-ET1.  The current expectation is that this mechanism will provide zero allowance (undergrounding) and close to £4m allowance for mitigation works on a DNO system (tower removal and new substation bays).  This mechanism is not considered further in this summary.  
This worksheet summarises the expenditure currently forecast to be incurrred by NGET TO in relation to the projects spanning the T1+2 timescale and the current forecast of allowed expenditure associated with the successful delivery of the associated output category.  All load related allowances detailed below are based on NGET's RRP19 view and reflect the outputs that NGET currently expects to be delivered across T1+2 (and are subject to contract).</t>
  </si>
  <si>
    <t>EXPENDITURE (£m, 2018/19 prices)</t>
  </si>
  <si>
    <t>ALLOWANCES (£m, 2018/19 prices)</t>
  </si>
  <si>
    <t>of a Green Economy Fund (GEF) to enable uptake of low carbon technology.</t>
  </si>
  <si>
    <t>The expenditure is spread across the three final years of ET1.</t>
  </si>
  <si>
    <t xml:space="preserve">GEF expenditure is reported under ‘Other Capex’ category in the 2019RRP. </t>
  </si>
  <si>
    <t xml:space="preserve">Figure 2a: Actual and forecast expenditure vs SPT forecast allowance </t>
  </si>
  <si>
    <t>Figure 2b: Actual and forecast expenditure vs SPT forecast allowance (Impact of GEF removed)</t>
  </si>
  <si>
    <t>Figure 2b: Actual and forecast expenditure vs SPT forecast allowance (impact of GEF removed)</t>
  </si>
  <si>
    <t>SPT:     695 tCO2e.  12% below annual target.</t>
  </si>
  <si>
    <t>NGET:  11,935 tCO2e. 4% below annual target.</t>
  </si>
  <si>
    <t>SHET:   372 tCO2e. 1 % below annual target.</t>
  </si>
  <si>
    <t>2018/19 performance</t>
  </si>
  <si>
    <t>NGET TO: 96% less than 316 MWh benchmark (12MWh)</t>
  </si>
  <si>
    <t>SPT: 83% less than 225 MWh benchmark (39MWh)</t>
  </si>
  <si>
    <t xml:space="preserve">SHET: 100% less than 120 MWh benchmark (0MWh) </t>
  </si>
  <si>
    <t>NGET</t>
  </si>
  <si>
    <t>SPT target 225MWh</t>
  </si>
  <si>
    <t>SHET target 120 MWh</t>
  </si>
  <si>
    <t>NGET TO target 316 MWh</t>
  </si>
  <si>
    <r>
      <t>Table 4: SF</t>
    </r>
    <r>
      <rPr>
        <b/>
        <vertAlign val="subscript"/>
        <sz val="10"/>
        <color theme="1"/>
        <rFont val="Verdana"/>
        <family val="2"/>
      </rPr>
      <t>6</t>
    </r>
    <r>
      <rPr>
        <b/>
        <sz val="10"/>
        <color theme="1"/>
        <rFont val="Verdana"/>
        <family val="2"/>
      </rPr>
      <t xml:space="preserve"> performance, difference from annual target</t>
    </r>
  </si>
  <si>
    <t>Table 2a: Performance Scores for the SSO Survey</t>
  </si>
  <si>
    <t>Table 2b: Performance Scores for the Customer survey (NGET only)</t>
  </si>
  <si>
    <t>2018/19 leakage[2]</t>
  </si>
  <si>
    <r>
      <t>NGET (TO)</t>
    </r>
    <r>
      <rPr>
        <sz val="8.5"/>
        <color rgb="FF000000"/>
        <rFont val="Verdana"/>
        <family val="2"/>
      </rPr>
      <t xml:space="preserve">: Three BWW outputs delivered on time. The WHVDC link is delayed. </t>
    </r>
  </si>
  <si>
    <r>
      <t>·</t>
    </r>
    <r>
      <rPr>
        <sz val="7"/>
        <color rgb="FF000000"/>
        <rFont val="Times New Roman"/>
        <family val="1"/>
      </rPr>
      <t xml:space="preserve">         </t>
    </r>
    <r>
      <rPr>
        <i/>
        <sz val="9"/>
        <color rgb="FF000000"/>
        <rFont val="Verdana"/>
        <family val="2"/>
      </rPr>
      <t>Current T1 forecast: 41 SGT</t>
    </r>
  </si>
  <si>
    <t xml:space="preserve">[8] The baseline assumed 33.7GW of generation would connect during the 8-year period, which was based on an energy outlook premised on the 2012 Gone Green scenario and NGET’s 2012 Business Plan. This vlaue is reflected in Table 1 of  special licence condition 6F (Baseline Generation Connections Outputs and Generation Connections volume driver) </t>
  </si>
  <si>
    <t>Load related allowance (£/m) 2018/19 prices</t>
  </si>
  <si>
    <t>Non-Load related allowance (£/m) 2018/19 prices</t>
  </si>
  <si>
    <t>Non-op capex related allowance (£/m) 2018/19 prices</t>
  </si>
  <si>
    <t>Load expenditure (actual and forecast) (£/m) 2018/19 prices</t>
  </si>
  <si>
    <t>Non-Load expenditure (actual and forecast) (£/m) 2018/19 prices</t>
  </si>
  <si>
    <t>Controllable opex (actual and forecast) (£/m) 2018/19 prices</t>
  </si>
  <si>
    <t>Non-op capex (actual and forecast) (£/m) 2018/19 prices</t>
  </si>
  <si>
    <t xml:space="preserve">Ofgem Panel  </t>
  </si>
  <si>
    <t xml:space="preserve">Stakeholder Survey Scores </t>
  </si>
  <si>
    <t>Customer Survey Scores (NGET only)</t>
  </si>
  <si>
    <t xml:space="preserve">NGET  </t>
  </si>
  <si>
    <t xml:space="preserve">5/10 </t>
  </si>
  <si>
    <t>69/100</t>
  </si>
  <si>
    <t>89/100</t>
  </si>
  <si>
    <t>7.4/10</t>
  </si>
  <si>
    <t>6.9/10</t>
  </si>
  <si>
    <t>% Diff</t>
  </si>
  <si>
    <t>Diff kg</t>
  </si>
  <si>
    <t>Actual leakage kg</t>
  </si>
  <si>
    <t>Target kg</t>
  </si>
  <si>
    <t>TOTAL RRP18</t>
  </si>
  <si>
    <t>TOTAL RRP19</t>
  </si>
  <si>
    <t>kg</t>
  </si>
  <si>
    <t>Increase vs RRP18</t>
  </si>
  <si>
    <r>
      <t>·</t>
    </r>
    <r>
      <rPr>
        <b/>
        <sz val="7"/>
        <color rgb="FF000000"/>
        <rFont val="Times New Roman"/>
        <family val="1"/>
      </rPr>
      <t xml:space="preserve">         </t>
    </r>
    <r>
      <rPr>
        <b/>
        <sz val="9"/>
        <color rgb="FF000000"/>
        <rFont val="Verdana"/>
        <family val="2"/>
      </rPr>
      <t>Baseline target: 72 SGT</t>
    </r>
  </si>
  <si>
    <r>
      <t>·</t>
    </r>
    <r>
      <rPr>
        <b/>
        <sz val="7"/>
        <color rgb="FF000000"/>
        <rFont val="Times New Roman"/>
        <family val="1"/>
      </rPr>
      <t xml:space="preserve">         </t>
    </r>
    <r>
      <rPr>
        <b/>
        <sz val="9"/>
        <color rgb="FF000000"/>
        <rFont val="Verdana"/>
        <family val="2"/>
      </rPr>
      <t>Baseline target of 23GW</t>
    </r>
  </si>
  <si>
    <r>
      <t>·</t>
    </r>
    <r>
      <rPr>
        <b/>
        <sz val="7"/>
        <color rgb="FF000000"/>
        <rFont val="Times New Roman"/>
        <family val="1"/>
      </rPr>
      <t xml:space="preserve">         </t>
    </r>
    <r>
      <rPr>
        <b/>
        <sz val="9"/>
        <color rgb="FF000000"/>
        <rFont val="Verdana"/>
        <family val="2"/>
      </rPr>
      <t>Baseline threshold: 2,503MW</t>
    </r>
  </si>
  <si>
    <r>
      <t>·</t>
    </r>
    <r>
      <rPr>
        <b/>
        <sz val="7"/>
        <color rgb="FF000000"/>
        <rFont val="Times New Roman"/>
        <family val="1"/>
      </rPr>
      <t xml:space="preserve">         </t>
    </r>
    <r>
      <rPr>
        <b/>
        <sz val="9"/>
        <color rgb="FF000000"/>
        <rFont val="Verdana"/>
        <family val="2"/>
      </rPr>
      <t>Baseline threshold: 1,073MVa</t>
    </r>
  </si>
  <si>
    <r>
      <t>·</t>
    </r>
    <r>
      <rPr>
        <b/>
        <sz val="7"/>
        <color rgb="FF000000"/>
        <rFont val="Times New Roman"/>
        <family val="1"/>
      </rPr>
      <t xml:space="preserve">         </t>
    </r>
    <r>
      <rPr>
        <b/>
        <sz val="9"/>
        <color rgb="FF000000"/>
        <rFont val="Verdana"/>
        <family val="2"/>
      </rPr>
      <t>Baseline threshold: 1,168MW</t>
    </r>
  </si>
  <si>
    <r>
      <t>·</t>
    </r>
    <r>
      <rPr>
        <b/>
        <sz val="7"/>
        <color rgb="FF000000"/>
        <rFont val="Times New Roman"/>
        <family val="1"/>
      </rPr>
      <t xml:space="preserve">         </t>
    </r>
    <r>
      <rPr>
        <b/>
        <sz val="9"/>
        <color rgb="FF000000"/>
        <rFont val="Verdana"/>
        <family val="2"/>
      </rPr>
      <t>Baseline threshold: 1,006MVa</t>
    </r>
  </si>
  <si>
    <r>
      <t>·    Baseline target</t>
    </r>
    <r>
      <rPr>
        <b/>
        <i/>
        <sz val="9"/>
        <color rgb="FF000000"/>
        <rFont val="Verdana"/>
        <family val="2"/>
      </rPr>
      <t xml:space="preserve">: </t>
    </r>
    <r>
      <rPr>
        <b/>
        <sz val="9"/>
        <color rgb="FF000000"/>
        <rFont val="Verdana"/>
        <family val="2"/>
      </rPr>
      <t>33.7 GW[8]</t>
    </r>
  </si>
  <si>
    <t>Table 8b: TO view of totex expenditure vs adjusted allowed totex to date (£m)</t>
  </si>
  <si>
    <t>To date (1 April 2013 to 31 March 2019) †</t>
  </si>
  <si>
    <t>Table 2: Performance scores for the SSO survey</t>
  </si>
  <si>
    <t>Table 8c: TO view of totex expenditure vs adjusted allowed totex (£m). Post true-up of excluded services</t>
  </si>
  <si>
    <r>
      <t xml:space="preserve">Current RIIO-ET1 Load Related forecast performance </t>
    </r>
    <r>
      <rPr>
        <i/>
        <sz val="8"/>
        <color rgb="FF000000"/>
        <rFont val="Verdana"/>
        <family val="2"/>
      </rPr>
      <t/>
    </r>
  </si>
  <si>
    <r>
      <t xml:space="preserve">Current RIIO-ET1 Non-Load Related forecast performance </t>
    </r>
    <r>
      <rPr>
        <i/>
        <sz val="8"/>
        <color rgb="FF000000"/>
        <rFont val="Verdana"/>
        <family val="2"/>
      </rPr>
      <t/>
    </r>
  </si>
  <si>
    <r>
      <t xml:space="preserve">Current RIIO-ET1 Non-op capex forecast performance </t>
    </r>
    <r>
      <rPr>
        <i/>
        <sz val="8"/>
        <color rgb="FF000000"/>
        <rFont val="Verdana"/>
        <family val="2"/>
      </rPr>
      <t/>
    </r>
  </si>
  <si>
    <t>CAPEX CATEGORY SUMMARY of tables 9a, 10a and 11a</t>
  </si>
  <si>
    <t>RIIO-ET1 operational RoRE</t>
  </si>
  <si>
    <t>Financing and tax performance</t>
  </si>
  <si>
    <t>Total RoRE</t>
  </si>
  <si>
    <t>To show the full value the regulated company has earnt during the price control period, adjustments for allowances that are not related to T1 performance and known "true-ups" that will impact T1 performance will be further considered as part of the ‘close out’ process at the end of the price control period.  
The original business plan included forecasts of the contributions expected to be received from customers with connections to single users ("excluded services"). The net expenditure for these connections is funded directly by the customer and any income received by the TO is not treated as part of the allowed revenue permitted to be recovered through network charges. Final Proposals clarified that the position on excluded services would be “trued up” at the end of T1.  For the purposes of this reporting summary the true-up requirement includes sole use entry and sole use exit connection revenues and costs. The “true up” reflects the removal of actual “excluded services” income from total allowed revenue, and the expectation that the monies received by TOs through customer contributions will be paid back.</t>
  </si>
  <si>
    <t xml:space="preserve">NGET TO 2018-19 </t>
  </si>
  <si>
    <t>Revenue (£ Real customer bill per typical domestic consumer)</t>
  </si>
  <si>
    <t>Year Beginning</t>
  </si>
  <si>
    <t> GB average</t>
  </si>
  <si>
    <t>Region</t>
  </si>
  <si>
    <t>Licensee</t>
  </si>
  <si>
    <t>North West</t>
  </si>
  <si>
    <t>ENWL</t>
  </si>
  <si>
    <t>North East</t>
  </si>
  <si>
    <t>NPgN</t>
  </si>
  <si>
    <t>Yorkshire</t>
  </si>
  <si>
    <t>NPgY</t>
  </si>
  <si>
    <t>Midlands</t>
  </si>
  <si>
    <t>WMID</t>
  </si>
  <si>
    <t>East Midlands</t>
  </si>
  <si>
    <t>EMID</t>
  </si>
  <si>
    <t>South Wales</t>
  </si>
  <si>
    <t>SWALES</t>
  </si>
  <si>
    <t>South West</t>
  </si>
  <si>
    <t>SWEST</t>
  </si>
  <si>
    <t>London</t>
  </si>
  <si>
    <t>LPN</t>
  </si>
  <si>
    <t>South East</t>
  </si>
  <si>
    <t>SPN</t>
  </si>
  <si>
    <t>East Anglia</t>
  </si>
  <si>
    <t>EPN</t>
  </si>
  <si>
    <t>South Scotland</t>
  </si>
  <si>
    <t>SPD</t>
  </si>
  <si>
    <t>Merseyside and N Wales</t>
  </si>
  <si>
    <t>SPMW</t>
  </si>
  <si>
    <t>North Scotland</t>
  </si>
  <si>
    <t>SSEH</t>
  </si>
  <si>
    <t>Southern</t>
  </si>
  <si>
    <t>SSES</t>
  </si>
  <si>
    <t>2019-20</t>
  </si>
  <si>
    <t xml:space="preserve">SPT TO 2018-19 </t>
  </si>
  <si>
    <t>SHET TO 2018-20</t>
  </si>
  <si>
    <t>Table 7a: Regional estimates of typical GB consumer cost to meet allowed revenue (£ Real (2018-19 price basis) customer bill per typical domestic consumer)</t>
  </si>
  <si>
    <t>Table 7b: Regional estimates of typical GB consumer cost to meet allowed revenue (£ (nominal) customer bill per typical domestic consumer)</t>
  </si>
  <si>
    <t>average</t>
  </si>
  <si>
    <t>Table 7a: Regional estimates of typical GB consumer cost to meet allowed revenue (£ Real (2017-18 price basis) customer bill per typical domestic consumer)</t>
  </si>
  <si>
    <t>Table 8c: TO view of totex expenditure vs adjusted allowed totex (£m).  Post-true up of excluded services</t>
  </si>
  <si>
    <t>† The figures are based upon the TOs’ values. Small rounding errors may exist.</t>
  </si>
  <si>
    <t>Table 8d: TO view of totex expenditure vs adjusted allowed totex (£m).  Post-true up of excluded services. Impact of 'hand back'/voluntary deferral/GEF included</t>
  </si>
  <si>
    <t>The impact is not reflected in the values above.</t>
  </si>
  <si>
    <t>The impact of SPT's GEF and NGET's 'voluntary deferral' is included.</t>
  </si>
  <si>
    <t xml:space="preserve">SPT agreed to provide £20m through the introduction </t>
  </si>
  <si>
    <t>Data included for completeness.</t>
  </si>
  <si>
    <t>Panel Report</t>
  </si>
  <si>
    <t>[6] SEI Decision</t>
  </si>
  <si>
    <t>[4] EDR decision letter</t>
  </si>
  <si>
    <t>T2 TOTAL</t>
  </si>
  <si>
    <t>impact of the current forecast of customer contributions included</t>
  </si>
  <si>
    <t>https://www.ofgem.gov.uk/publications-and-updates/network-innovation-competition-2019-funding-decisions</t>
  </si>
  <si>
    <t>Average</t>
  </si>
  <si>
    <t xml:space="preserve">Average </t>
  </si>
  <si>
    <t>Generation Connection (6F)</t>
  </si>
  <si>
    <t>Local Demand Volume Driver (6L)</t>
  </si>
  <si>
    <t>Wider Works</t>
  </si>
  <si>
    <t>% change 2017-18 vs 2018-19</t>
  </si>
  <si>
    <t>A: Price Control</t>
  </si>
  <si>
    <t>B: External Market</t>
  </si>
  <si>
    <t>C: Total Impact (A+B)</t>
  </si>
  <si>
    <t>Value engineering – this includes network analysis and regular evaluation of system requirements, as well as lean design solutions including re-use of assets where possible and optimisation of site layouts, which ensure that the scope of works and construction periods are kept to a minimum.</t>
  </si>
  <si>
    <t>Engagement with supply chain – this includes NGET's approach to contracting and procurement, including negotiation with suppliers and creation of design commonalities and economies of scale.</t>
  </si>
  <si>
    <t>Commercial – this includes customer negotiation as well as continuous challenge and review of contractual requirements to ensure optimal design solutions are achieved; and changing the commercial framework.</t>
  </si>
  <si>
    <t>A: Efficiency</t>
  </si>
  <si>
    <t xml:space="preserve">B: Circumstantial </t>
  </si>
  <si>
    <t>C: Price control effect</t>
  </si>
  <si>
    <t>D: Total Impact (A+B+C)</t>
  </si>
  <si>
    <r>
      <t xml:space="preserve">Column A: Provision in the price control settlement. </t>
    </r>
    <r>
      <rPr>
        <sz val="10"/>
        <color theme="1"/>
        <rFont val="Verdana"/>
        <family val="2"/>
      </rPr>
      <t>Assumptions made within the RIIO-ET1 settlement that have varied against the actual position.</t>
    </r>
    <r>
      <rPr>
        <b/>
        <sz val="10"/>
        <color theme="1"/>
        <rFont val="Verdana"/>
        <family val="2"/>
      </rPr>
      <t xml:space="preserve">  </t>
    </r>
  </si>
  <si>
    <r>
      <t>Column B: External factors. F</t>
    </r>
    <r>
      <rPr>
        <sz val="10"/>
        <color theme="1"/>
        <rFont val="Verdana"/>
        <family val="2"/>
      </rPr>
      <t>actors outside the control of TOs’ and unforeseeable at the time of the price control.  This includes factors such as weather and economic conditions.</t>
    </r>
  </si>
  <si>
    <r>
      <t xml:space="preserve">Column D: Provision in the price control settlement.  </t>
    </r>
    <r>
      <rPr>
        <sz val="10"/>
        <color theme="1"/>
        <rFont val="Verdana"/>
        <family val="2"/>
      </rPr>
      <t xml:space="preserve">Assumptions made within the RIIO-ET1 settlement that have varied against the actual position.  </t>
    </r>
  </si>
  <si>
    <r>
      <rPr>
        <b/>
        <sz val="10"/>
        <color theme="1"/>
        <rFont val="Verdana"/>
        <family val="2"/>
      </rPr>
      <t>Column A: Efficiency.</t>
    </r>
    <r>
      <rPr>
        <sz val="10"/>
        <color theme="1"/>
        <rFont val="Verdana"/>
        <family val="2"/>
      </rPr>
      <t xml:space="preserve"> Associated with projects that deliver outputs exactly as per with the original ‘baseline’ assumptions at a different cost (or where there have been substitutions the delivery involves like-for-like replacements).</t>
    </r>
  </si>
  <si>
    <t>Load-Related                                          (£m, 2018-19 prices)</t>
  </si>
  <si>
    <t>Load-Related                                   (£m, 2018-19 prices)</t>
  </si>
  <si>
    <t>Table 15</t>
  </si>
  <si>
    <r>
      <t>External factors.</t>
    </r>
    <r>
      <rPr>
        <sz val="10"/>
        <color theme="1"/>
        <rFont val="Verdana"/>
        <family val="2"/>
      </rPr>
      <t xml:space="preserve"> Factors outside the control of network companies’ and unforeseeable at the time of the price control.  This includes factors such as weather and economic conditions.</t>
    </r>
  </si>
  <si>
    <r>
      <t xml:space="preserve">Circumstantial factors. </t>
    </r>
    <r>
      <rPr>
        <sz val="10"/>
        <color theme="1"/>
        <rFont val="Verdana"/>
        <family val="2"/>
      </rPr>
      <t>Associated with the delivery of outputs in line with the original ‘baseline’ assumptions but where the method of delivery differs in some regard (factors within the control of the network company).</t>
    </r>
  </si>
  <si>
    <r>
      <t xml:space="preserve">Column C: Provision in the price control settlement.  </t>
    </r>
    <r>
      <rPr>
        <sz val="10"/>
        <color theme="1"/>
        <rFont val="Verdana"/>
        <family val="2"/>
      </rPr>
      <t xml:space="preserve">Assumptions made within the RIIO-ET1 settlement that have varied against the actual position.  </t>
    </r>
  </si>
  <si>
    <t>Column B**</t>
  </si>
  <si>
    <t>* We recognise that categorising requires an element of judgement by the TO.</t>
  </si>
  <si>
    <r>
      <rPr>
        <b/>
        <sz val="10"/>
        <color theme="1"/>
        <rFont val="Verdana"/>
        <family val="2"/>
      </rPr>
      <t>Efficiency.</t>
    </r>
    <r>
      <rPr>
        <sz val="10"/>
        <color theme="1"/>
        <rFont val="Verdana"/>
        <family val="2"/>
      </rPr>
      <t xml:space="preserve"> Associated with projects that deliver outputs exactly as per with the original ‘baseline’ assumptions at a different cost (or where there have been substitutions the delivery involves like-for-like replacements).</t>
    </r>
  </si>
  <si>
    <t>Column A</t>
  </si>
  <si>
    <t>Column C</t>
  </si>
  <si>
    <t>Explanatory notes applicable to SPT's categorisation</t>
  </si>
  <si>
    <t>Explanatory notes applicable to NGET's categorisation</t>
  </si>
  <si>
    <r>
      <t xml:space="preserve">** SPT have assigned External &amp; Circumstantial factors to </t>
    </r>
    <r>
      <rPr>
        <u/>
        <sz val="10"/>
        <color theme="1"/>
        <rFont val="Verdana"/>
        <family val="2"/>
      </rPr>
      <t>Circumstantial</t>
    </r>
    <r>
      <rPr>
        <sz val="10"/>
        <color theme="1"/>
        <rFont val="Verdana"/>
        <family val="2"/>
      </rPr>
      <t xml:space="preserve"> based on the definition of External factors. </t>
    </r>
  </si>
  <si>
    <t>Explanatory notes applicable to SHET's categorisation</t>
  </si>
  <si>
    <t>2017-18 NGET forecast</t>
  </si>
  <si>
    <t>2018-19 NGET forecast</t>
  </si>
  <si>
    <t>Efficiency Examples</t>
  </si>
  <si>
    <r>
      <rPr>
        <b/>
        <sz val="10"/>
        <color theme="1"/>
        <rFont val="Verdana"/>
        <family val="2"/>
      </rPr>
      <t xml:space="preserve">Efficiencies at a project level.  </t>
    </r>
    <r>
      <rPr>
        <sz val="10"/>
        <color theme="1"/>
        <rFont val="Verdana"/>
        <family val="2"/>
      </rPr>
      <t>This combines the effects in the following categories:</t>
    </r>
  </si>
  <si>
    <t>2017-18 SPT forecast</t>
  </si>
  <si>
    <t>2018-19 SPT forecast</t>
  </si>
  <si>
    <t xml:space="preserve">Pre true-up. Negative numbers show spend greater than allowances.  </t>
  </si>
  <si>
    <t xml:space="preserve">Column B** </t>
  </si>
  <si>
    <t>£m, 2018-19 prices unless stated otherwise</t>
  </si>
  <si>
    <t>17-18 prices</t>
  </si>
  <si>
    <t xml:space="preserve">Pre true-up and including voluntary deferral. Negative numbers show spend greater than allowances.  </t>
  </si>
  <si>
    <r>
      <t>** Ofgem have assigned External &amp; Circumstantial factors to Column B "</t>
    </r>
    <r>
      <rPr>
        <u/>
        <sz val="10"/>
        <color theme="1"/>
        <rFont val="Verdana"/>
        <family val="2"/>
      </rPr>
      <t>Circumstantial</t>
    </r>
    <r>
      <rPr>
        <sz val="10"/>
        <color theme="1"/>
        <rFont val="Verdana"/>
        <family val="2"/>
      </rPr>
      <t xml:space="preserve">" to be consistent with SPT's presentation.  Where SHET have split values across category A (efficiency) and category D (price control provision), we have applied a 50% allocation method beween each category. </t>
    </r>
  </si>
  <si>
    <t>Final Proposals confirmed that the Generation connection uncertainty mechanism of SHET contains an automatic trigger to adjust allowances for the first two years after the conclusion of RIIO-ET1 (referred to as the “T1+2” time period).  This extension to certain volume drivers was to recognise that there will be specific projects for which SHET will incur expenditure spanning the final years of the RIIO-ET1 period and the early years  of RIIO-ET2, where the output is expected to be delivered before 31 March 2023. The projects that are currently expected to deliver outputs in the T1+2 period are in relation to the delivery of sole and shared use capacity associated with the connection of new directly connected generation customers).
This "T1+2" feature of the RIIO-T1 framework is not applicable to SPT's RIIO-ET1 settlement. 
This worksheet summarises the expenditure currently forecast to be incurrred by SHET in relation to the projects spanning the T1+2 timescale and the current forecast of allowed expenditure associated with the successful delivery of the associated output category.  All load related allowances detailed below are based on SHET's RRP19 view and reflect the outputs that SHET currently expects to be delivered across T1+2.</t>
  </si>
  <si>
    <t>RRP18 spend</t>
  </si>
  <si>
    <t>RRP18 adjusted allow</t>
  </si>
  <si>
    <t>Source: RRP18 T2.4 (converted to 18-19 prices)</t>
  </si>
  <si>
    <t>† pre true up of excluded services; small rounding errors may exist</t>
  </si>
  <si>
    <t>Table 13: NGET load-related driven efficiencies across the RIIO-ET1 period</t>
  </si>
  <si>
    <t>Table 14: SPT load-related driven efficiencies across the RIIO-ET1 period</t>
  </si>
  <si>
    <t>Table 15: SHET load-related driven efficiencies across the RIIO-ET1 period</t>
  </si>
  <si>
    <t>Table 16: NGESO: T1 expenditure and T1 allowance comparison RRP18 and RRP19</t>
  </si>
  <si>
    <t xml:space="preserve">Table 17: RoRE based on Notional Gearing – RIIO-ET1 period 2018-19 </t>
  </si>
  <si>
    <t>NGET load-related driven efficiencies across the RIIO-ET1 period*</t>
  </si>
  <si>
    <t>Table 13</t>
  </si>
  <si>
    <t>SPT load-related driven efficiencies across the RIIO-ET1 period*</t>
  </si>
  <si>
    <t>Table 14</t>
  </si>
  <si>
    <t>SHET load-related driven efficiencies across the RIIO-ET1 period*</t>
  </si>
  <si>
    <t>Table 16</t>
  </si>
  <si>
    <t xml:space="preserve">RoRE based on Notional Gearing – RIIO-ET1 period 2018-19 </t>
  </si>
  <si>
    <t>Table 17</t>
  </si>
  <si>
    <t xml:space="preserve">SHET excluded services true-up, including RPEs </t>
  </si>
  <si>
    <t>Table 18</t>
  </si>
  <si>
    <t>Table 19</t>
  </si>
  <si>
    <t>Table 20</t>
  </si>
  <si>
    <r>
      <t>SPT excluded services true-up, including RPEs</t>
    </r>
    <r>
      <rPr>
        <b/>
        <sz val="9"/>
        <color rgb="FFFF0000"/>
        <rFont val="Calibri"/>
        <family val="2"/>
      </rPr>
      <t xml:space="preserve"> </t>
    </r>
  </si>
  <si>
    <r>
      <t>NGET TO excluded services true-up, including RPEs</t>
    </r>
    <r>
      <rPr>
        <b/>
        <sz val="9"/>
        <color rgb="FFFF0000"/>
        <rFont val="Calibri"/>
        <family val="2"/>
      </rPr>
      <t xml:space="preserve"> </t>
    </r>
  </si>
  <si>
    <t xml:space="preserve">Table 21 </t>
  </si>
  <si>
    <t>Table 22</t>
  </si>
  <si>
    <t>Table 23</t>
  </si>
  <si>
    <r>
      <t>Special Condition 3L true-up, including RPEs</t>
    </r>
    <r>
      <rPr>
        <b/>
        <sz val="9"/>
        <rFont val="Calibri"/>
        <family val="2"/>
      </rPr>
      <t xml:space="preserve"> </t>
    </r>
    <r>
      <rPr>
        <b/>
        <sz val="10"/>
        <rFont val="Verdana"/>
        <family val="2"/>
      </rPr>
      <t>(SPT)</t>
    </r>
  </si>
  <si>
    <r>
      <t>Special Condition 3L</t>
    </r>
    <r>
      <rPr>
        <b/>
        <sz val="10"/>
        <rFont val="Verdana"/>
        <family val="2"/>
      </rPr>
      <t xml:space="preserve"> true-up, including RPEs (NGET TO)</t>
    </r>
  </si>
  <si>
    <t>Special condition 3L true-up, including RPEs (SHET)</t>
  </si>
  <si>
    <r>
      <t xml:space="preserve">NGET </t>
    </r>
    <r>
      <rPr>
        <sz val="8"/>
        <color theme="1"/>
        <rFont val="Verdana"/>
        <family val="2"/>
      </rPr>
      <t>(includes ‘voluntary deferral’)</t>
    </r>
  </si>
  <si>
    <r>
      <t xml:space="preserve">SPT </t>
    </r>
    <r>
      <rPr>
        <sz val="8"/>
        <color theme="1"/>
        <rFont val="Verdana"/>
        <family val="2"/>
      </rPr>
      <t>(includes end-of-period clawback)</t>
    </r>
  </si>
  <si>
    <t xml:space="preserve">2017-18 annual report: TO view of totex expenditure vs adjusted allowed totex (£m).  </t>
  </si>
  <si>
    <t>Table 12a</t>
  </si>
  <si>
    <t>Table 12b</t>
  </si>
  <si>
    <t>NGET CHECK</t>
  </si>
  <si>
    <t>SPT CHECK</t>
  </si>
  <si>
    <t>SHET CHECK</t>
  </si>
  <si>
    <t xml:space="preserve">Table 12a: 2017-18 annual report: TO view of totex expenditure vs adjusted allowed totex (£m).  </t>
  </si>
  <si>
    <t xml:space="preserve">Table 12b: 2017-18 annual report: TO view of totex expenditure vs adjusted allowed totex (£m).  </t>
  </si>
  <si>
    <t xml:space="preserve">Pre true-up and excluding 'hand back'. Spend on crossover projects included. Negative numbers show spend greater than allowances.  </t>
  </si>
  <si>
    <t>NGET TO: T1 expenditure and T1 allowance comparison RRP18 and RRP19 (Pre true-up. Impact of MPR included. Impact of voluntary deferral included)</t>
  </si>
  <si>
    <t>Load</t>
  </si>
  <si>
    <t>Non-Load</t>
  </si>
  <si>
    <t>RIIO-1 period</t>
  </si>
  <si>
    <t>RIIO-ET1</t>
  </si>
  <si>
    <t>RoRE based on Notional Gearing</t>
  </si>
  <si>
    <t>Allowed Equity Return + IQI</t>
  </si>
  <si>
    <t>Operational performance - Totex</t>
  </si>
  <si>
    <t>Operational performance - other</t>
  </si>
  <si>
    <t>Operational RoRE</t>
  </si>
  <si>
    <t>Total RoRE - with financing and tax</t>
  </si>
  <si>
    <t>Totex Incentive Strength Rate</t>
  </si>
  <si>
    <t>Consumer benefit</t>
  </si>
  <si>
    <t>LR allowance: hand back inlcuded</t>
  </si>
  <si>
    <t>Revised totex expenditure forecast</t>
  </si>
  <si>
    <t>Revised totex cost allowance forecast</t>
  </si>
  <si>
    <t>Figure 3c: Actual and forecast expenditure vs SHET forecast allowance (Pre true-up. Impact of 'hand back' included. Excluding spend associated with T2 output delivery where there is no funding mechanism)</t>
  </si>
  <si>
    <t>Figure 4a: Actual and forecast expenditure vs forecast allowance: All TOs</t>
  </si>
  <si>
    <t>Figure 4b: Actual and forecast expenditure vs forecast allowance: All TOs (pre true-up, impact of 'hand back'/voluntary deferral/GEF included)</t>
  </si>
  <si>
    <t xml:space="preserve">Figure 5: Actual and forecast expenditure vs NGESO forecast allowance </t>
  </si>
  <si>
    <t xml:space="preserve">Figure 6: RoRE based on Notional Gearing – RIIO-ET1 period </t>
  </si>
  <si>
    <t>NGET TO (voluntary deferral included)</t>
  </si>
  <si>
    <t>and is reflected in the values above.</t>
  </si>
  <si>
    <t>Figure 4c: Actual and forecast expenditure vs forecast allowance: All TOs (pre true-up, impact of 'hand back'/voluntary deferral/GEF included. )</t>
  </si>
  <si>
    <t>SHET (hand back excluded)</t>
  </si>
  <si>
    <t>SHET (hand back included)</t>
  </si>
  <si>
    <t>T1 expenditure includes costs incurred/forecast to be incurred with delivery of T2 outputs with no funding mechansism</t>
  </si>
  <si>
    <t>T1 expenditure includes generation costs incurred/forecast to be incurred with delivery of T2 outputs with no funding mechanism</t>
  </si>
  <si>
    <t>LR spend: excluding generation costs incurred where there is no funding mechanism in T1</t>
  </si>
  <si>
    <t>SHET's expenditure includes generation costs incurred/forecast to be incurred in the ET1 period where the output is expected to be delivered in RIIO-T2 (delivery post 31 March 2023 for specific mechanisms and post 31 March 2021 for other) and where there is no mechanism to fund these costs in RIIO-ET1.</t>
  </si>
  <si>
    <t xml:space="preserve">SHET's expenditure includes generation costs incurred/forecast to be incurred in the ET1 period where the output is expected to be delivered in RIIO-T2 (delivery post 31 March 2023 for specific mechanisms and post 31 March 2021 for other) and where there is no mechanism to fund these costs in RIIO-ET1. </t>
  </si>
  <si>
    <t>In this presentation, SHET's expenditure excludes generation costs incurred/forecast to be incurred in the ET1 period where the output is expected to be delivered in RIIO-T2 (delivery post 31 March 2023 for specific mechanisms and post 31 March 2021 for other) and where there is no mechanism to fund these costs in RIIO-ET1</t>
  </si>
  <si>
    <t>In this presentation, SHET's expenditure excludes generation costs incurred/forecast to be incurred in the ET1 period where the output is expected to be delivered in RIIO-T2 (delivery post 31 March 2023 for specific mechanisms and post 31 March 2021 for other) and where there is no mechanism to fund these costs in RIIO-ET1 (Excluded value across entire ET1 period = £46.6m).  
T1 costs associated with progressing ECU2 project (£6.4m) have been included.</t>
  </si>
  <si>
    <r>
      <t xml:space="preserve">and is </t>
    </r>
    <r>
      <rPr>
        <b/>
        <sz val="10"/>
        <color theme="1"/>
        <rFont val="Verdana"/>
        <family val="2"/>
      </rPr>
      <t xml:space="preserve">not </t>
    </r>
    <r>
      <rPr>
        <sz val="10"/>
        <color theme="1"/>
        <rFont val="Verdana"/>
        <family val="2"/>
      </rPr>
      <t>reflected in the values above.</t>
    </r>
  </si>
  <si>
    <t>This is figure 4 in the annual report summary</t>
  </si>
  <si>
    <t>This is table 2 in the annual report summary</t>
  </si>
  <si>
    <t>This is figure 2 in the annual report summary</t>
  </si>
  <si>
    <t>This is figure 3 in the annual report summary</t>
  </si>
  <si>
    <t>This is figure 1 in the annual report summary</t>
  </si>
  <si>
    <t>This is table 1 in the annual report summary</t>
  </si>
  <si>
    <t>This is figure 5 in the annual report summary</t>
  </si>
  <si>
    <t>This is table 3 in the annual report summary</t>
  </si>
  <si>
    <t>Summary annual report reference</t>
  </si>
  <si>
    <r>
      <t xml:space="preserve">Table 2: Performance Scores for the SSO </t>
    </r>
    <r>
      <rPr>
        <b/>
        <sz val="9"/>
        <color theme="1"/>
        <rFont val="Verdana"/>
        <family val="2"/>
      </rPr>
      <t>Survey</t>
    </r>
  </si>
  <si>
    <t>Figure 1, page three</t>
  </si>
  <si>
    <t>Table 1, page four</t>
  </si>
  <si>
    <t>Figures 2 and 3, page five</t>
  </si>
  <si>
    <t>Figure 4a: Actual and forecast expenditure vs forecast allowance: All TOs (pre true up)</t>
  </si>
  <si>
    <t>Figure 3c: Actual and forecast expenditure vs SHET forecast allowance (Pre true-up. Impact of 'hand back' included)</t>
  </si>
  <si>
    <t>[5] Total BCF (tonnes per CO2 equivalent) in 2018-19: 1,827,020; 2017-18: 2,197,699</t>
  </si>
  <si>
    <t xml:space="preserve">[7] All offers issued within licence timescales.  </t>
  </si>
  <si>
    <t>SPT: T1 expenditure and T1 allowance comparison RRP18 and RRP19 (Pre true-up.  GEF removed)</t>
  </si>
  <si>
    <t>excludes hand back</t>
  </si>
  <si>
    <t>2021/22</t>
  </si>
  <si>
    <t>2022/23</t>
  </si>
  <si>
    <t>2023/24</t>
  </si>
  <si>
    <t>2024/25</t>
  </si>
  <si>
    <t>2025/26</t>
  </si>
  <si>
    <t>includes voluntary deferral</t>
  </si>
  <si>
    <t>includes hand back</t>
  </si>
  <si>
    <t>19-20</t>
  </si>
  <si>
    <t>20-21</t>
  </si>
  <si>
    <t>NOTE: The methodology chosen by Ofgem and relevant network companies have simplifying assumptions that may result in a different customer bill value</t>
  </si>
  <si>
    <t>Figure 3b: Actual and forecast expenditure vs SHET forecast allowance (pre true-up, impact of 'hand back' included)</t>
  </si>
  <si>
    <r>
      <t xml:space="preserve">NGET </t>
    </r>
    <r>
      <rPr>
        <sz val="8"/>
        <rFont val="Verdana"/>
        <family val="2"/>
      </rPr>
      <t>(excludes ‘voluntary deferral’)</t>
    </r>
  </si>
  <si>
    <r>
      <t xml:space="preserve">SPT </t>
    </r>
    <r>
      <rPr>
        <sz val="8"/>
        <rFont val="Verdana"/>
        <family val="2"/>
      </rPr>
      <t>(includes end-of-period clawback)</t>
    </r>
  </si>
  <si>
    <r>
      <t xml:space="preserve">SHET </t>
    </r>
    <r>
      <rPr>
        <sz val="8"/>
        <rFont val="Verdana"/>
        <family val="2"/>
      </rPr>
      <t>(excludes ‘hand back’ allowance adjustment &amp; excludes value of crossover scheme spend)</t>
    </r>
  </si>
  <si>
    <r>
      <t xml:space="preserve">SHET </t>
    </r>
    <r>
      <rPr>
        <sz val="8"/>
        <rFont val="Verdana"/>
        <family val="2"/>
      </rPr>
      <t>(includes ‘hand back’ allowance adjustment &amp; excludes value of crossover scheme spend)</t>
    </r>
  </si>
  <si>
    <t xml:space="preserve">Figure 5: Actual and forecast expenditure vs SO forecast allowance </t>
  </si>
  <si>
    <t>Table 10a</t>
  </si>
  <si>
    <t>Table 10b</t>
  </si>
  <si>
    <t>Table 10a: SPT TO: T1 expenditure and T1 allowance comparison RRP18 and RRP19 (pre true-up)</t>
  </si>
  <si>
    <t>CAPEX CATEGORY SUMMARY of tables 9b, 10b and 11b</t>
  </si>
  <si>
    <t>Table 10b: SPT TO: T1 expenditure and T1 allowance comparison RRP18 and RRP19 (pre true-up, GEF removed)</t>
  </si>
  <si>
    <t>Scheme</t>
  </si>
  <si>
    <t xml:space="preserve">Scheme </t>
  </si>
  <si>
    <t xml:space="preserve">There are specific projects for which each licensee is incurring expenditure within the RIIO-T1 period, with the output being delivered in RIIO-T2 (delivery post 31 March 2023 for specific mechanisms and post 31 March 2021 for other) and where there is no mechanism to fund these costs in RIIO-T1 and therefore allowance for this expenditure within the RIIO-T1 period. 
This worksheet summarises the expenditure currently forecast to be incurrred by SHET in relation to the projects spanning the relevant T2 timescales and the current forecast of allowed expenditure associated with the successful delivery of the associated output category. There is currently no mechanism to fund these costs in RIIO-ET1. </t>
  </si>
  <si>
    <t>Table 2, page eight</t>
  </si>
  <si>
    <t>Figure 4, page nine</t>
  </si>
  <si>
    <t>Figure 5, page fourteen</t>
  </si>
  <si>
    <t>Table 3, page fourteen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</si>
</sst>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0%"/>
    <numFmt numFmtId="171" formatCode="[$-809]d\ mmmm\ yyyy;@"/>
    <numFmt numFmtId="172" formatCode="0.000"/>
    <numFmt numFmtId="173" formatCode="[$$-409]#,##0.00"/>
    <numFmt numFmtId="174" formatCode="#,##0.0;[Red]\(#,##0.0\)"/>
    <numFmt numFmtId="175" formatCode="#,##0.0"/>
    <numFmt numFmtId="176" formatCode="_-* #,##0_-;\-* #,##0_-;_-* &quot;-&quot;??_-;_-@_-"/>
    <numFmt numFmtId="177" formatCode="#,##0;[Red]\(#,##0\)"/>
    <numFmt numFmtId="178" formatCode="#,##0.000"/>
    <numFmt numFmtId="179" formatCode="#,##0.0000"/>
    <numFmt numFmtId="180" formatCode="0.00000000000000"/>
    <numFmt numFmtId="181" formatCode="#,##0_ ;[Red]\-#,##0\ "/>
    <numFmt numFmtId="182" formatCode="#,##0.0_ ;[Red]\-#,##0.0\ "/>
    <numFmt numFmtId="183" formatCode="#,##0.00_ ;[Red]\-#,##0.00\ "/>
    <numFmt numFmtId="184" formatCode="0.0000000000000"/>
    <numFmt numFmtId="185" formatCode="#,##0.0000000000000000"/>
    <numFmt numFmtId="186" formatCode="0.0000%"/>
    <numFmt numFmtId="187" formatCode="0.000000000%"/>
    <numFmt numFmtId="188" formatCode="0.000000000000"/>
    <numFmt numFmtId="189" formatCode="#,##0.0_);\(#,##0.0\);\-_)"/>
    <numFmt numFmtId="190" formatCode="_-* #,##0.0_-;\-* #,##0.0_-;_-* &quot;-&quot;??_-;_-@_-"/>
    <numFmt numFmtId="191" formatCode="[$-F800]dddd\,\ mmmm\ dd\,\ yyyy"/>
    <numFmt numFmtId="192" formatCode="#,##0;\(#,##0\)"/>
    <numFmt numFmtId="193" formatCode="d\-mmm\-yyyy"/>
    <numFmt numFmtId="194" formatCode="0.000000"/>
    <numFmt numFmtId="195" formatCode="#,##0.00;[Red]\-#,##0.00;\-"/>
    <numFmt numFmtId="196" formatCode="#,##0.00;[Red]#,##0.00;\-"/>
    <numFmt numFmtId="197" formatCode="#,##0.0_);[Red]\(#,##0.0\);\-"/>
    <numFmt numFmtId="198" formatCode="0.0000"/>
  </numFmts>
  <fonts count="144">
    <font>
      <sz val="10"/>
      <color theme="1"/>
      <name val="Verdana"/>
      <family val="2"/>
    </font>
    <font>
      <sz val="10"/>
      <color theme="1"/>
      <name val="Verdana"/>
      <family val="2"/>
    </font>
    <font>
      <b/>
      <sz val="10"/>
      <color theme="1"/>
      <name val="Verdana"/>
      <family val="2"/>
    </font>
    <font>
      <b/>
      <sz val="12"/>
      <color theme="1"/>
      <name val="Verdana"/>
      <family val="2"/>
    </font>
    <font>
      <b/>
      <sz val="10"/>
      <color rgb="FF000000"/>
      <name val="Verdana"/>
      <family val="2"/>
    </font>
    <font>
      <sz val="10"/>
      <color rgb="FF000000"/>
      <name val="Verdana"/>
      <family val="2"/>
    </font>
    <font>
      <sz val="10"/>
      <name val="Verdana"/>
      <family val="2"/>
    </font>
    <font>
      <b/>
      <sz val="20"/>
      <name val="CG Omega"/>
      <family val="2"/>
    </font>
    <font>
      <b/>
      <sz val="16"/>
      <name val="CG Omega"/>
      <family val="2"/>
    </font>
    <font>
      <b/>
      <sz val="10"/>
      <color indexed="8"/>
      <name val="CG Omega"/>
      <family val="2"/>
    </font>
    <font>
      <sz val="11"/>
      <name val="CG Omega"/>
      <family val="2"/>
    </font>
    <font>
      <b/>
      <sz val="16"/>
      <color rgb="FF3E3E3E"/>
      <name val="CG Omega"/>
      <family val="2"/>
    </font>
    <font>
      <b/>
      <sz val="10"/>
      <name val="Verdana"/>
      <family val="2"/>
    </font>
    <font>
      <b/>
      <sz val="14"/>
      <color theme="1"/>
      <name val="Gill Sans MT"/>
      <family val="2"/>
    </font>
    <font>
      <sz val="11"/>
      <name val="Verdana"/>
      <family val="2"/>
    </font>
    <font>
      <b/>
      <sz val="11"/>
      <color rgb="FF1F497D"/>
      <name val="Calibri"/>
      <family val="2"/>
    </font>
    <font>
      <sz val="10"/>
      <color theme="1"/>
      <name val="Times New Roman"/>
      <family val="1"/>
    </font>
    <font>
      <sz val="11"/>
      <color rgb="FF000000"/>
      <name val="Calibri"/>
      <family val="2"/>
    </font>
    <font>
      <b/>
      <sz val="11"/>
      <color rgb="FF000000"/>
      <name val="Calibri"/>
      <family val="2"/>
    </font>
    <font>
      <sz val="8"/>
      <color rgb="FF000000"/>
      <name val="Verdana"/>
      <family val="2"/>
    </font>
    <font>
      <i/>
      <sz val="8"/>
      <color rgb="FF000000"/>
      <name val="Verdana"/>
      <family val="2"/>
    </font>
    <font>
      <b/>
      <sz val="8"/>
      <color rgb="FF000000"/>
      <name val="Verdana"/>
      <family val="2"/>
    </font>
    <font>
      <b/>
      <sz val="9"/>
      <color theme="1"/>
      <name val="Verdana"/>
      <family val="2"/>
    </font>
    <font>
      <sz val="10"/>
      <color indexed="8"/>
      <name val="Verdana"/>
      <family val="2"/>
    </font>
    <font>
      <b/>
      <sz val="9"/>
      <color rgb="FF000000"/>
      <name val="Verdana"/>
      <family val="2"/>
    </font>
    <font>
      <sz val="9"/>
      <color theme="1"/>
      <name val="Verdana"/>
      <family val="2"/>
    </font>
    <font>
      <u/>
      <sz val="10"/>
      <color theme="10"/>
      <name val="Verdana"/>
      <family val="2"/>
    </font>
    <font>
      <sz val="9"/>
      <color rgb="FF000000"/>
      <name val="Verdana"/>
      <family val="2"/>
    </font>
    <font>
      <sz val="11"/>
      <name val="Calibri"/>
      <family val="2"/>
      <scheme val="minor"/>
    </font>
    <font>
      <u/>
      <sz val="9"/>
      <color rgb="FF000000"/>
      <name val="Verdana"/>
      <family val="2"/>
    </font>
    <font>
      <sz val="9"/>
      <color rgb="FF000000"/>
      <name val="Symbol"/>
      <family val="1"/>
      <charset val="2"/>
    </font>
    <font>
      <sz val="7"/>
      <color rgb="FF000000"/>
      <name val="Times New Roman"/>
      <family val="1"/>
    </font>
    <font>
      <b/>
      <sz val="9"/>
      <color rgb="FF000000"/>
      <name val="Arial"/>
      <family val="2"/>
    </font>
    <font>
      <sz val="9"/>
      <color rgb="FF000000"/>
      <name val="Arial"/>
      <family val="2"/>
    </font>
    <font>
      <i/>
      <sz val="9"/>
      <color rgb="FF000000"/>
      <name val="Verdana"/>
      <family val="2"/>
    </font>
    <font>
      <sz val="8.5"/>
      <color rgb="FF000000"/>
      <name val="Verdana"/>
      <family val="2"/>
    </font>
    <font>
      <b/>
      <sz val="8.5"/>
      <color rgb="FF000000"/>
      <name val="Verdana"/>
      <family val="2"/>
    </font>
    <font>
      <sz val="9"/>
      <color rgb="FF000000"/>
      <name val="Calibri"/>
      <family val="2"/>
    </font>
    <font>
      <b/>
      <sz val="9"/>
      <color rgb="FF000000"/>
      <name val="Calibri"/>
      <family val="2"/>
    </font>
    <font>
      <b/>
      <vertAlign val="subscript"/>
      <sz val="9"/>
      <color theme="1"/>
      <name val="Verdana"/>
      <family val="2"/>
    </font>
    <font>
      <i/>
      <sz val="8"/>
      <color rgb="FF000000"/>
      <name val="Calibri"/>
      <family val="2"/>
    </font>
    <font>
      <sz val="8"/>
      <color theme="1"/>
      <name val="Verdana"/>
      <family val="2"/>
    </font>
    <font>
      <b/>
      <sz val="9"/>
      <color rgb="FFFF0000"/>
      <name val="Calibri"/>
      <family val="2"/>
    </font>
    <font>
      <u/>
      <sz val="9"/>
      <color theme="1"/>
      <name val="Verdana"/>
      <family val="2"/>
    </font>
    <font>
      <b/>
      <vertAlign val="superscript"/>
      <sz val="9"/>
      <color theme="1"/>
      <name val="Verdana"/>
      <family val="2"/>
    </font>
    <font>
      <b/>
      <sz val="8"/>
      <color theme="1"/>
      <name val="Verdana"/>
      <family val="2"/>
    </font>
    <font>
      <b/>
      <vertAlign val="subscript"/>
      <sz val="10"/>
      <color theme="1"/>
      <name val="Verdana"/>
      <family val="2"/>
    </font>
    <font>
      <b/>
      <vertAlign val="superscript"/>
      <sz val="8"/>
      <color theme="1"/>
      <name val="Verdana"/>
      <family val="2"/>
    </font>
    <font>
      <i/>
      <sz val="8"/>
      <color theme="1"/>
      <name val="Verdana"/>
      <family val="2"/>
    </font>
    <font>
      <i/>
      <sz val="9"/>
      <color rgb="FF000000"/>
      <name val="Arial"/>
      <family val="2"/>
    </font>
    <font>
      <sz val="8.5"/>
      <color theme="1"/>
      <name val="Verdana"/>
      <family val="2"/>
    </font>
    <font>
      <b/>
      <sz val="8.5"/>
      <color theme="1"/>
      <name val="Verdana"/>
      <family val="2"/>
    </font>
    <font>
      <b/>
      <sz val="10"/>
      <color rgb="FFFF0000"/>
      <name val="Arial"/>
      <family val="2"/>
    </font>
    <font>
      <b/>
      <sz val="10"/>
      <color rgb="FFFF0000"/>
      <name val="Verdana"/>
      <family val="2"/>
    </font>
    <font>
      <b/>
      <sz val="8"/>
      <color theme="1"/>
      <name val="Calibri"/>
      <family val="2"/>
      <scheme val="minor"/>
    </font>
    <font>
      <b/>
      <sz val="9"/>
      <name val="Calibri"/>
      <family val="2"/>
    </font>
    <font>
      <sz val="10"/>
      <color rgb="FFFF0000"/>
      <name val="Verdana"/>
      <family val="2"/>
    </font>
    <font>
      <b/>
      <sz val="12"/>
      <color rgb="FF000000"/>
      <name val="Verdana"/>
      <family val="2"/>
    </font>
    <font>
      <b/>
      <sz val="14"/>
      <color rgb="FF000000"/>
      <name val="Verdana"/>
      <family val="2"/>
    </font>
    <font>
      <b/>
      <sz val="18"/>
      <color rgb="FF000000"/>
      <name val="Verdana"/>
      <family val="2"/>
    </font>
    <font>
      <sz val="10"/>
      <color theme="1"/>
      <name val="Symbol"/>
      <family val="1"/>
      <charset val="2"/>
    </font>
    <font>
      <i/>
      <sz val="10"/>
      <color theme="1"/>
      <name val="Verdana"/>
      <family val="2"/>
    </font>
    <font>
      <i/>
      <sz val="10"/>
      <color theme="0" tint="-0.249977111117893"/>
      <name val="Verdana"/>
      <family val="2"/>
    </font>
    <font>
      <sz val="10"/>
      <color theme="0" tint="-0.249977111117893"/>
      <name val="Verdana"/>
      <family val="2"/>
    </font>
    <font>
      <sz val="10"/>
      <color rgb="FF1F497D"/>
      <name val="Verdana"/>
      <family val="2"/>
    </font>
    <font>
      <sz val="8"/>
      <color theme="1"/>
      <name val="Calibri"/>
      <family val="2"/>
    </font>
    <font>
      <sz val="11"/>
      <color rgb="FF1F497D"/>
      <name val="Calibri"/>
      <family val="2"/>
    </font>
    <font>
      <sz val="11"/>
      <color theme="1"/>
      <name val="Calibri"/>
      <family val="2"/>
      <scheme val="minor"/>
    </font>
    <font>
      <u/>
      <sz val="11"/>
      <color indexed="12"/>
      <name val="CG Omega"/>
      <family val="2"/>
    </font>
    <font>
      <b/>
      <sz val="11"/>
      <color theme="1"/>
      <name val="Calibri"/>
      <family val="2"/>
      <scheme val="minor"/>
    </font>
    <font>
      <b/>
      <sz val="11"/>
      <name val="Calibri"/>
      <family val="2"/>
      <scheme val="minor"/>
    </font>
    <font>
      <sz val="9"/>
      <color indexed="81"/>
      <name val="Tahoma"/>
      <family val="2"/>
    </font>
    <font>
      <b/>
      <sz val="9"/>
      <color indexed="81"/>
      <name val="Tahoma"/>
      <family val="2"/>
    </font>
    <font>
      <b/>
      <sz val="10"/>
      <color theme="0" tint="-0.249977111117893"/>
      <name val="Verdana"/>
      <family val="2"/>
    </font>
    <font>
      <sz val="10"/>
      <color rgb="FFFF0000"/>
      <name val="Arial"/>
      <family val="2"/>
    </font>
    <font>
      <b/>
      <sz val="9"/>
      <color rgb="FF000000"/>
      <name val="Symbol"/>
      <family val="1"/>
      <charset val="2"/>
    </font>
    <font>
      <b/>
      <sz val="7"/>
      <color rgb="FF000000"/>
      <name val="Times New Roman"/>
      <family val="1"/>
    </font>
    <font>
      <b/>
      <i/>
      <sz val="9"/>
      <color rgb="FF000000"/>
      <name val="Verdana"/>
      <family val="2"/>
    </font>
    <font>
      <sz val="10"/>
      <color theme="0" tint="-0.14999847407452621"/>
      <name val="Verdana"/>
      <family val="2"/>
    </font>
    <font>
      <b/>
      <sz val="9"/>
      <color theme="1"/>
      <name val="Calibri"/>
      <family val="2"/>
      <scheme val="minor"/>
    </font>
    <font>
      <b/>
      <sz val="10"/>
      <color rgb="FF848484"/>
      <name val="Verdana"/>
      <family val="2"/>
    </font>
    <font>
      <b/>
      <sz val="9"/>
      <color rgb="FFFFFFFF"/>
      <name val="Verdana"/>
      <family val="2"/>
    </font>
    <font>
      <i/>
      <sz val="8"/>
      <color theme="1"/>
      <name val="Calibri"/>
      <family val="2"/>
      <scheme val="minor"/>
    </font>
    <font>
      <sz val="10"/>
      <color theme="0"/>
      <name val="Verdana"/>
      <family val="2"/>
    </font>
    <font>
      <sz val="10"/>
      <name val="Arial"/>
      <family val="2"/>
    </font>
    <font>
      <b/>
      <sz val="10"/>
      <color theme="1"/>
      <name val="Arial"/>
      <family val="2"/>
    </font>
    <font>
      <sz val="8"/>
      <name val="Verdana"/>
      <family val="2"/>
    </font>
    <font>
      <sz val="11"/>
      <color rgb="FF000000"/>
      <name val="Arial"/>
      <family val="2"/>
    </font>
    <font>
      <b/>
      <i/>
      <sz val="11"/>
      <color theme="3" tint="0.59999389629810485"/>
      <name val="Verdana"/>
      <family val="2"/>
    </font>
    <font>
      <u/>
      <sz val="10"/>
      <color theme="1"/>
      <name val="Verdana"/>
      <family val="2"/>
    </font>
    <font>
      <b/>
      <sz val="11"/>
      <color rgb="FF000000"/>
      <name val="Arial"/>
      <family val="2"/>
    </font>
    <font>
      <b/>
      <i/>
      <sz val="10"/>
      <color theme="3" tint="0.59999389629810485"/>
      <name val="Verdana"/>
      <family val="2"/>
    </font>
    <font>
      <sz val="10"/>
      <color theme="1"/>
      <name val="Arial"/>
      <family val="2"/>
    </font>
    <font>
      <sz val="10"/>
      <color theme="1"/>
      <name val="Calibri"/>
      <family val="2"/>
    </font>
    <font>
      <u/>
      <sz val="9"/>
      <color indexed="81"/>
      <name val="Tahoma"/>
      <family val="2"/>
    </font>
    <font>
      <sz val="9"/>
      <color theme="0" tint="-0.14999847407452621"/>
      <name val="Verdana"/>
      <family val="2"/>
    </font>
    <font>
      <i/>
      <sz val="10"/>
      <color theme="0" tint="-0.14999847407452621"/>
      <name val="Verdana"/>
      <family val="2"/>
    </font>
    <font>
      <b/>
      <sz val="10"/>
      <color theme="0" tint="-0.14999847407452621"/>
      <name val="Verdana"/>
      <family val="2"/>
    </font>
    <font>
      <b/>
      <sz val="9"/>
      <color theme="0" tint="-0.14999847407452621"/>
      <name val="Calibri"/>
      <family val="2"/>
    </font>
    <font>
      <b/>
      <i/>
      <sz val="10"/>
      <color theme="1"/>
      <name val="Verdana"/>
      <family val="2"/>
    </font>
    <font>
      <b/>
      <i/>
      <sz val="10"/>
      <color theme="0" tint="-0.14999847407452621"/>
      <name val="Verdana"/>
      <family val="2"/>
    </font>
    <font>
      <sz val="8"/>
      <color theme="1"/>
      <name val="Calibri"/>
      <family val="2"/>
      <scheme val="minor"/>
    </font>
    <font>
      <i/>
      <sz val="8"/>
      <name val="Calibri"/>
      <family val="2"/>
      <scheme val="minor"/>
    </font>
    <font>
      <b/>
      <sz val="9"/>
      <name val="Verdana"/>
      <family val="2"/>
    </font>
    <font>
      <b/>
      <sz val="14"/>
      <color rgb="FFFF0000"/>
      <name val="Verdana"/>
      <family val="2"/>
    </font>
    <font>
      <i/>
      <sz val="9"/>
      <color rgb="FF000000"/>
      <name val="Calibri"/>
      <family val="2"/>
      <scheme val="minor"/>
    </font>
    <font>
      <sz val="10"/>
      <name val="Gill Sans MT"/>
      <family val="2"/>
    </font>
    <font>
      <sz val="10"/>
      <color theme="1"/>
      <name val="Gill Sans MT"/>
      <family val="2"/>
    </font>
    <font>
      <u/>
      <sz val="10"/>
      <color theme="1"/>
      <name val="Gill Sans MT"/>
      <family val="2"/>
    </font>
    <font>
      <sz val="10"/>
      <color theme="0" tint="-4.9989318521683403E-2"/>
      <name val="Gill Sans MT"/>
      <family val="2"/>
    </font>
    <font>
      <b/>
      <sz val="10"/>
      <name val="Arial"/>
      <family val="2"/>
    </font>
    <font>
      <sz val="10"/>
      <name val="Helv"/>
      <charset val="204"/>
    </font>
    <font>
      <sz val="10"/>
      <color indexed="8"/>
      <name val="Arial"/>
      <family val="2"/>
    </font>
    <font>
      <sz val="10"/>
      <color indexed="9"/>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sz val="10"/>
      <name val="MS Sans Serif"/>
      <family val="2"/>
    </font>
    <font>
      <i/>
      <sz val="10"/>
      <color indexed="18"/>
      <name val="Arial"/>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u/>
      <sz val="11"/>
      <color indexed="48"/>
      <name val="CG Omega"/>
      <family val="2"/>
    </font>
    <font>
      <sz val="11"/>
      <color indexed="17"/>
      <name val="Calibri"/>
      <family val="2"/>
    </font>
    <font>
      <b/>
      <sz val="14"/>
      <name val="Arial"/>
      <family val="2"/>
    </font>
    <font>
      <sz val="10"/>
      <color indexed="12"/>
      <name val="Arial"/>
      <family val="2"/>
    </font>
    <font>
      <sz val="8"/>
      <name val="Arial"/>
      <family val="2"/>
    </font>
    <font>
      <b/>
      <sz val="11"/>
      <color indexed="63"/>
      <name val="Calibri"/>
      <family val="2"/>
    </font>
    <font>
      <i/>
      <sz val="10"/>
      <color indexed="10"/>
      <name val="Arial"/>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9"/>
      <name val="NewsGoth Lt BT"/>
      <family val="2"/>
    </font>
    <font>
      <sz val="11"/>
      <color indexed="14"/>
      <name val="Calibri"/>
      <family val="2"/>
    </font>
    <font>
      <b/>
      <i/>
      <sz val="11"/>
      <color theme="1"/>
      <name val="Calibri"/>
      <family val="2"/>
      <scheme val="minor"/>
    </font>
    <font>
      <b/>
      <sz val="13"/>
      <color rgb="FFFF0000"/>
      <name val="Verdana"/>
      <family val="2"/>
    </font>
  </fonts>
  <fills count="91">
    <fill>
      <patternFill patternType="none"/>
    </fill>
    <fill>
      <patternFill patternType="gray125"/>
    </fill>
    <fill>
      <patternFill patternType="solid">
        <fgColor rgb="FFFF9900"/>
        <bgColor indexed="64"/>
      </patternFill>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52"/>
        <bgColor indexed="64"/>
      </patternFill>
    </fill>
    <fill>
      <patternFill patternType="solid">
        <fgColor rgb="FFB8CCE4"/>
        <bgColor indexed="64"/>
      </patternFill>
    </fill>
    <fill>
      <patternFill patternType="solid">
        <fgColor rgb="FFFFFFFF"/>
        <bgColor indexed="64"/>
      </patternFill>
    </fill>
    <fill>
      <patternFill patternType="solid">
        <fgColor rgb="FFC2D69B"/>
        <bgColor indexed="64"/>
      </patternFill>
    </fill>
    <fill>
      <patternFill patternType="solid">
        <fgColor rgb="FFD9D9D9"/>
        <bgColor indexed="64"/>
      </patternFill>
    </fill>
    <fill>
      <patternFill patternType="solid">
        <fgColor rgb="FFBFBFBF"/>
        <bgColor indexed="64"/>
      </patternFill>
    </fill>
    <fill>
      <patternFill patternType="solid">
        <fgColor rgb="FF95B3D7"/>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rgb="FF757171"/>
        <bgColor indexed="64"/>
      </patternFill>
    </fill>
    <fill>
      <patternFill patternType="solid">
        <fgColor theme="4" tint="0.59996337778862885"/>
        <bgColor indexed="64"/>
      </patternFill>
    </fill>
    <fill>
      <patternFill patternType="solid">
        <fgColor rgb="FFFF000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6D9F1"/>
        <bgColor indexed="64"/>
      </patternFill>
    </fill>
    <fill>
      <patternFill patternType="solid">
        <fgColor rgb="FFC4BD97"/>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indexed="22"/>
      </patternFill>
    </fill>
    <fill>
      <patternFill patternType="solid">
        <fgColor indexed="26"/>
        <bgColor indexed="64"/>
      </patternFill>
    </fill>
    <fill>
      <patternFill patternType="solid">
        <fgColor theme="0" tint="-0.499984740745262"/>
        <bgColor indexed="64"/>
      </patternFill>
    </fill>
    <fill>
      <patternFill patternType="solid">
        <fgColor rgb="FFC5E1FF"/>
        <bgColor indexed="64"/>
      </patternFill>
    </fill>
    <fill>
      <patternFill patternType="solid">
        <fgColor indexed="41"/>
      </patternFill>
    </fill>
    <fill>
      <patternFill patternType="solid">
        <fgColor indexed="40"/>
      </patternFill>
    </fill>
    <fill>
      <patternFill patternType="solid">
        <fgColor indexed="50"/>
      </patternFill>
    </fill>
    <fill>
      <patternFill patternType="solid">
        <fgColor indexed="35"/>
      </patternFill>
    </fill>
    <fill>
      <patternFill patternType="solid">
        <fgColor indexed="47"/>
      </patternFill>
    </fill>
    <fill>
      <patternFill patternType="solid">
        <fgColor indexed="57"/>
      </patternFill>
    </fill>
    <fill>
      <patternFill patternType="solid">
        <fgColor indexed="24"/>
      </patternFill>
    </fill>
    <fill>
      <patternFill patternType="solid">
        <fgColor indexed="54"/>
      </patternFill>
    </fill>
    <fill>
      <patternFill patternType="solid">
        <fgColor indexed="58"/>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6"/>
      </patternFill>
    </fill>
    <fill>
      <patternFill patternType="solid">
        <fgColor indexed="51"/>
        <bgColor indexed="64"/>
      </patternFill>
    </fill>
    <fill>
      <patternFill patternType="solid">
        <fgColor indexed="42"/>
        <bgColor indexed="64"/>
      </patternFill>
    </fill>
    <fill>
      <patternFill patternType="solid">
        <fgColor indexed="27"/>
        <bgColor indexed="64"/>
      </patternFill>
    </fill>
    <fill>
      <patternFill patternType="solid">
        <fgColor indexed="43"/>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15"/>
      </patternFill>
    </fill>
    <fill>
      <patternFill patternType="solid">
        <fgColor indexed="20"/>
      </patternFill>
    </fill>
    <fill>
      <patternFill patternType="solid">
        <fgColor indexed="58"/>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thick">
        <color rgb="FF000000"/>
      </top>
      <bottom style="medium">
        <color rgb="FF000000"/>
      </bottom>
      <diagonal/>
    </border>
    <border>
      <left/>
      <right style="dotted">
        <color indexed="64"/>
      </right>
      <top/>
      <bottom/>
      <diagonal/>
    </border>
    <border>
      <left/>
      <right style="medium">
        <color indexed="64"/>
      </right>
      <top/>
      <bottom/>
      <diagonal/>
    </border>
    <border>
      <left style="thin">
        <color auto="1"/>
      </left>
      <right/>
      <top style="thin">
        <color auto="1"/>
      </top>
      <bottom style="thin">
        <color auto="1"/>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ck">
        <color rgb="FF000000"/>
      </bottom>
      <diagonal/>
    </border>
    <border>
      <left style="medium">
        <color rgb="FF000000"/>
      </left>
      <right/>
      <top style="thick">
        <color rgb="FF000000"/>
      </top>
      <bottom/>
      <diagonal/>
    </border>
    <border>
      <left/>
      <right/>
      <top style="thick">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right/>
      <top style="medium">
        <color rgb="FF000000"/>
      </top>
      <bottom/>
      <diagonal/>
    </border>
    <border>
      <left style="dotted">
        <color indexed="64"/>
      </left>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hair">
        <color indexed="22"/>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diagonal/>
    </border>
    <border>
      <left/>
      <right/>
      <top style="thin">
        <color indexed="48"/>
      </top>
      <bottom style="double">
        <color indexed="48"/>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diagonal/>
    </border>
    <border>
      <left/>
      <right/>
      <top style="thin">
        <color indexed="48"/>
      </top>
      <bottom style="double">
        <color indexed="48"/>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diagonal/>
    </border>
    <border>
      <left/>
      <right/>
      <top style="thin">
        <color indexed="48"/>
      </top>
      <bottom style="double">
        <color indexed="48"/>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64"/>
      </top>
      <bottom/>
      <diagonal/>
    </border>
    <border>
      <left/>
      <right/>
      <top style="thin">
        <color indexed="48"/>
      </top>
      <bottom style="double">
        <color indexed="48"/>
      </bottom>
      <diagonal/>
    </border>
    <border>
      <left/>
      <right/>
      <top style="thin">
        <color indexed="64"/>
      </top>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s>
  <cellStyleXfs count="1968">
    <xf numFmtId="0" fontId="0" fillId="0" borderId="0"/>
    <xf numFmtId="0" fontId="6" fillId="0" borderId="0"/>
    <xf numFmtId="0" fontId="1" fillId="0" borderId="0"/>
    <xf numFmtId="0" fontId="10" fillId="0" borderId="0"/>
    <xf numFmtId="0" fontId="10" fillId="0" borderId="0"/>
    <xf numFmtId="173" fontId="10" fillId="0" borderId="0"/>
    <xf numFmtId="173" fontId="23" fillId="0" borderId="0"/>
    <xf numFmtId="173" fontId="10" fillId="0" borderId="0"/>
    <xf numFmtId="173" fontId="1" fillId="0" borderId="0"/>
    <xf numFmtId="0" fontId="26" fillId="0" borderId="0" applyNumberForma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0" fontId="67" fillId="0" borderId="0"/>
    <xf numFmtId="173" fontId="1" fillId="0" borderId="0"/>
    <xf numFmtId="173" fontId="68" fillId="0" borderId="0" applyNumberFormat="0" applyFill="0" applyBorder="0" applyAlignment="0" applyProtection="0">
      <alignment vertical="top"/>
      <protection locked="0"/>
    </xf>
    <xf numFmtId="173" fontId="1" fillId="0" borderId="0"/>
    <xf numFmtId="173" fontId="1" fillId="0" borderId="0"/>
    <xf numFmtId="173" fontId="1" fillId="0" borderId="0"/>
    <xf numFmtId="189" fontId="108" fillId="0" borderId="0" applyFill="0" applyBorder="0">
      <alignment vertical="center"/>
    </xf>
    <xf numFmtId="189" fontId="109" fillId="36" borderId="0"/>
    <xf numFmtId="189" fontId="107" fillId="29" borderId="0"/>
    <xf numFmtId="189" fontId="106" fillId="28" borderId="0"/>
    <xf numFmtId="189" fontId="106" fillId="37" borderId="0" applyBorder="0">
      <alignment vertical="center"/>
    </xf>
    <xf numFmtId="191" fontId="130" fillId="64" borderId="82" applyNumberFormat="0" applyFont="0" applyAlignment="0" applyProtection="0"/>
    <xf numFmtId="10" fontId="107" fillId="0" borderId="0" applyFont="0" applyFill="0" applyBorder="0" applyAlignment="0" applyProtection="0">
      <alignment vertical="center"/>
    </xf>
    <xf numFmtId="0" fontId="1"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168" fontId="92" fillId="0" borderId="0" applyFont="0" applyFill="0" applyBorder="0" applyAlignment="0" applyProtection="0"/>
    <xf numFmtId="0" fontId="1" fillId="0" borderId="0"/>
    <xf numFmtId="0" fontId="10" fillId="0" borderId="0"/>
    <xf numFmtId="0" fontId="84" fillId="0" borderId="0"/>
    <xf numFmtId="0" fontId="84" fillId="0" borderId="0"/>
    <xf numFmtId="174" fontId="1" fillId="26" borderId="1">
      <alignment vertical="center"/>
    </xf>
    <xf numFmtId="0" fontId="10" fillId="0" borderId="0"/>
    <xf numFmtId="0" fontId="26" fillId="0" borderId="0" applyNumberFormat="0" applyFill="0" applyBorder="0" applyAlignment="0" applyProtection="0">
      <alignment vertical="top"/>
      <protection locked="0"/>
    </xf>
    <xf numFmtId="191" fontId="67" fillId="0" borderId="0"/>
    <xf numFmtId="191" fontId="1" fillId="0" borderId="0"/>
    <xf numFmtId="191" fontId="92" fillId="0" borderId="0"/>
    <xf numFmtId="9" fontId="92" fillId="0" borderId="0" applyFont="0" applyFill="0" applyBorder="0" applyAlignment="0" applyProtection="0"/>
    <xf numFmtId="191" fontId="84" fillId="0" borderId="0"/>
    <xf numFmtId="191" fontId="84" fillId="0" borderId="0"/>
    <xf numFmtId="191" fontId="10" fillId="0" borderId="0"/>
    <xf numFmtId="191" fontId="84" fillId="0" borderId="0"/>
    <xf numFmtId="191" fontId="10" fillId="0" borderId="0"/>
    <xf numFmtId="191" fontId="10"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10" fillId="0" borderId="0"/>
    <xf numFmtId="191" fontId="10" fillId="0" borderId="0"/>
    <xf numFmtId="191" fontId="10" fillId="0" borderId="0"/>
    <xf numFmtId="191" fontId="84" fillId="0" borderId="0"/>
    <xf numFmtId="191" fontId="10" fillId="0" borderId="0"/>
    <xf numFmtId="191" fontId="84" fillId="0" borderId="0"/>
    <xf numFmtId="191" fontId="10" fillId="0" borderId="0"/>
    <xf numFmtId="191" fontId="10" fillId="0" borderId="0"/>
    <xf numFmtId="191" fontId="10"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111" fillId="0" borderId="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84" fillId="0" borderId="0" applyFont="0" applyFill="0" applyBorder="0" applyAlignment="0" applyProtection="0"/>
    <xf numFmtId="191" fontId="111" fillId="0" borderId="0"/>
    <xf numFmtId="191" fontId="84" fillId="0" borderId="0" applyFont="0" applyFill="0" applyBorder="0" applyAlignment="0" applyProtection="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alignment vertical="center"/>
    </xf>
    <xf numFmtId="191" fontId="10" fillId="0" borderId="0"/>
    <xf numFmtId="191" fontId="10" fillId="0" borderId="0"/>
    <xf numFmtId="191" fontId="10" fillId="0" borderId="0"/>
    <xf numFmtId="191" fontId="10" fillId="0" borderId="0"/>
    <xf numFmtId="191" fontId="10" fillId="0" borderId="0"/>
    <xf numFmtId="191" fontId="10" fillId="0" borderId="0"/>
    <xf numFmtId="191" fontId="84" fillId="0" borderId="0">
      <alignment vertical="center"/>
    </xf>
    <xf numFmtId="191" fontId="84" fillId="0" borderId="0">
      <alignment vertical="center"/>
    </xf>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10" fillId="0" borderId="0"/>
    <xf numFmtId="191" fontId="10" fillId="0" borderId="0"/>
    <xf numFmtId="191" fontId="10" fillId="0" borderId="0"/>
    <xf numFmtId="191" fontId="84" fillId="0" borderId="0"/>
    <xf numFmtId="191" fontId="84" fillId="0" borderId="0"/>
    <xf numFmtId="191" fontId="84" fillId="0" borderId="0"/>
    <xf numFmtId="191" fontId="84" fillId="0" borderId="0"/>
    <xf numFmtId="191" fontId="84" fillId="0" borderId="0"/>
    <xf numFmtId="191" fontId="10" fillId="0" borderId="0"/>
    <xf numFmtId="191" fontId="10" fillId="0" borderId="0">
      <alignment vertical="justify"/>
    </xf>
    <xf numFmtId="191" fontId="112" fillId="38" borderId="0" applyNumberFormat="0" applyBorder="0" applyAlignment="0" applyProtection="0"/>
    <xf numFmtId="191" fontId="112" fillId="38" borderId="0" applyNumberFormat="0" applyBorder="0" applyAlignment="0" applyProtection="0"/>
    <xf numFmtId="191" fontId="112" fillId="39" borderId="0" applyNumberFormat="0" applyBorder="0" applyAlignment="0" applyProtection="0"/>
    <xf numFmtId="191" fontId="112" fillId="39" borderId="0" applyNumberFormat="0" applyBorder="0" applyAlignment="0" applyProtection="0"/>
    <xf numFmtId="191" fontId="112" fillId="40" borderId="0" applyNumberFormat="0" applyBorder="0" applyAlignment="0" applyProtection="0"/>
    <xf numFmtId="191" fontId="112" fillId="40" borderId="0" applyNumberFormat="0" applyBorder="0" applyAlignment="0" applyProtection="0"/>
    <xf numFmtId="191" fontId="112" fillId="41" borderId="0" applyNumberFormat="0" applyBorder="0" applyAlignment="0" applyProtection="0"/>
    <xf numFmtId="191" fontId="112" fillId="41" borderId="0" applyNumberFormat="0" applyBorder="0" applyAlignment="0" applyProtection="0"/>
    <xf numFmtId="191" fontId="112" fillId="38" borderId="0" applyNumberFormat="0" applyBorder="0" applyAlignment="0" applyProtection="0"/>
    <xf numFmtId="191" fontId="112" fillId="38" borderId="0" applyNumberFormat="0" applyBorder="0" applyAlignment="0" applyProtection="0"/>
    <xf numFmtId="191" fontId="112" fillId="42" borderId="0" applyNumberFormat="0" applyBorder="0" applyAlignment="0" applyProtection="0"/>
    <xf numFmtId="191" fontId="112" fillId="42" borderId="0" applyNumberFormat="0" applyBorder="0" applyAlignment="0" applyProtection="0"/>
    <xf numFmtId="191" fontId="112" fillId="34" borderId="0" applyNumberFormat="0" applyBorder="0" applyAlignment="0" applyProtection="0"/>
    <xf numFmtId="191" fontId="112" fillId="34" borderId="0" applyNumberFormat="0" applyBorder="0" applyAlignment="0" applyProtection="0"/>
    <xf numFmtId="191" fontId="112" fillId="39" borderId="0" applyNumberFormat="0" applyBorder="0" applyAlignment="0" applyProtection="0"/>
    <xf numFmtId="191" fontId="112" fillId="39" borderId="0" applyNumberFormat="0" applyBorder="0" applyAlignment="0" applyProtection="0"/>
    <xf numFmtId="191" fontId="112" fillId="43" borderId="0" applyNumberFormat="0" applyBorder="0" applyAlignment="0" applyProtection="0"/>
    <xf numFmtId="191" fontId="112" fillId="43" borderId="0" applyNumberFormat="0" applyBorder="0" applyAlignment="0" applyProtection="0"/>
    <xf numFmtId="191" fontId="112" fillId="44" borderId="0" applyNumberFormat="0" applyBorder="0" applyAlignment="0" applyProtection="0"/>
    <xf numFmtId="191" fontId="112" fillId="44" borderId="0" applyNumberFormat="0" applyBorder="0" applyAlignment="0" applyProtection="0"/>
    <xf numFmtId="191" fontId="112" fillId="45" borderId="0" applyNumberFormat="0" applyBorder="0" applyAlignment="0" applyProtection="0"/>
    <xf numFmtId="191" fontId="112" fillId="45" borderId="0" applyNumberFormat="0" applyBorder="0" applyAlignment="0" applyProtection="0"/>
    <xf numFmtId="191" fontId="112" fillId="42" borderId="0" applyNumberFormat="0" applyBorder="0" applyAlignment="0" applyProtection="0"/>
    <xf numFmtId="191" fontId="112" fillId="42" borderId="0" applyNumberFormat="0" applyBorder="0" applyAlignment="0" applyProtection="0"/>
    <xf numFmtId="191" fontId="113" fillId="46" borderId="0" applyNumberFormat="0" applyBorder="0" applyAlignment="0" applyProtection="0"/>
    <xf numFmtId="191" fontId="113" fillId="46" borderId="0" applyNumberFormat="0" applyBorder="0" applyAlignment="0" applyProtection="0"/>
    <xf numFmtId="191" fontId="113" fillId="39" borderId="0" applyNumberFormat="0" applyBorder="0" applyAlignment="0" applyProtection="0"/>
    <xf numFmtId="191" fontId="113" fillId="39" borderId="0" applyNumberFormat="0" applyBorder="0" applyAlignment="0" applyProtection="0"/>
    <xf numFmtId="191" fontId="113" fillId="43" borderId="0" applyNumberFormat="0" applyBorder="0" applyAlignment="0" applyProtection="0"/>
    <xf numFmtId="191" fontId="113" fillId="43" borderId="0" applyNumberFormat="0" applyBorder="0" applyAlignment="0" applyProtection="0"/>
    <xf numFmtId="191" fontId="113" fillId="44" borderId="0" applyNumberFormat="0" applyBorder="0" applyAlignment="0" applyProtection="0"/>
    <xf numFmtId="191" fontId="113" fillId="44" borderId="0" applyNumberFormat="0" applyBorder="0" applyAlignment="0" applyProtection="0"/>
    <xf numFmtId="191" fontId="113" fillId="46" borderId="0" applyNumberFormat="0" applyBorder="0" applyAlignment="0" applyProtection="0"/>
    <xf numFmtId="191" fontId="113" fillId="46" borderId="0" applyNumberFormat="0" applyBorder="0" applyAlignment="0" applyProtection="0"/>
    <xf numFmtId="191" fontId="113" fillId="47" borderId="0" applyNumberFormat="0" applyBorder="0" applyAlignment="0" applyProtection="0"/>
    <xf numFmtId="191" fontId="113" fillId="47" borderId="0" applyNumberFormat="0" applyBorder="0" applyAlignment="0" applyProtection="0"/>
    <xf numFmtId="191" fontId="114" fillId="48" borderId="0" applyNumberFormat="0" applyBorder="0" applyAlignment="0" applyProtection="0"/>
    <xf numFmtId="191" fontId="114" fillId="49" borderId="0" applyNumberFormat="0" applyBorder="0" applyAlignment="0" applyProtection="0"/>
    <xf numFmtId="191" fontId="115" fillId="50" borderId="0" applyNumberFormat="0" applyBorder="0" applyAlignment="0" applyProtection="0"/>
    <xf numFmtId="191" fontId="115" fillId="51" borderId="0" applyNumberFormat="0" applyBorder="0" applyAlignment="0" applyProtection="0"/>
    <xf numFmtId="191" fontId="115" fillId="51" borderId="0" applyNumberFormat="0" applyBorder="0" applyAlignment="0" applyProtection="0"/>
    <xf numFmtId="191" fontId="114" fillId="52" borderId="0" applyNumberFormat="0" applyBorder="0" applyAlignment="0" applyProtection="0"/>
    <xf numFmtId="191" fontId="114" fillId="53" borderId="0" applyNumberFormat="0" applyBorder="0" applyAlignment="0" applyProtection="0"/>
    <xf numFmtId="191" fontId="115" fillId="54" borderId="0" applyNumberFormat="0" applyBorder="0" applyAlignment="0" applyProtection="0"/>
    <xf numFmtId="191" fontId="115" fillId="55" borderId="0" applyNumberFormat="0" applyBorder="0" applyAlignment="0" applyProtection="0"/>
    <xf numFmtId="191" fontId="115" fillId="55" borderId="0" applyNumberFormat="0" applyBorder="0" applyAlignment="0" applyProtection="0"/>
    <xf numFmtId="191" fontId="114" fillId="56" borderId="0" applyNumberFormat="0" applyBorder="0" applyAlignment="0" applyProtection="0"/>
    <xf numFmtId="191" fontId="114" fillId="57" borderId="0" applyNumberFormat="0" applyBorder="0" applyAlignment="0" applyProtection="0"/>
    <xf numFmtId="191" fontId="115" fillId="58" borderId="0" applyNumberFormat="0" applyBorder="0" applyAlignment="0" applyProtection="0"/>
    <xf numFmtId="191" fontId="115" fillId="59" borderId="0" applyNumberFormat="0" applyBorder="0" applyAlignment="0" applyProtection="0"/>
    <xf numFmtId="191" fontId="115" fillId="59" borderId="0" applyNumberFormat="0" applyBorder="0" applyAlignment="0" applyProtection="0"/>
    <xf numFmtId="191" fontId="114" fillId="52" borderId="0" applyNumberFormat="0" applyBorder="0" applyAlignment="0" applyProtection="0"/>
    <xf numFmtId="191" fontId="114" fillId="60" borderId="0" applyNumberFormat="0" applyBorder="0" applyAlignment="0" applyProtection="0"/>
    <xf numFmtId="191" fontId="115" fillId="53" borderId="0" applyNumberFormat="0" applyBorder="0" applyAlignment="0" applyProtection="0"/>
    <xf numFmtId="191" fontId="115" fillId="61" borderId="0" applyNumberFormat="0" applyBorder="0" applyAlignment="0" applyProtection="0"/>
    <xf numFmtId="191" fontId="115" fillId="61" borderId="0" applyNumberFormat="0" applyBorder="0" applyAlignment="0" applyProtection="0"/>
    <xf numFmtId="191" fontId="114" fillId="62" borderId="0" applyNumberFormat="0" applyBorder="0" applyAlignment="0" applyProtection="0"/>
    <xf numFmtId="191" fontId="114" fillId="63" borderId="0" applyNumberFormat="0" applyBorder="0" applyAlignment="0" applyProtection="0"/>
    <xf numFmtId="191" fontId="115" fillId="50" borderId="0" applyNumberFormat="0" applyBorder="0" applyAlignment="0" applyProtection="0"/>
    <xf numFmtId="191" fontId="115" fillId="50" borderId="0" applyNumberFormat="0" applyBorder="0" applyAlignment="0" applyProtection="0"/>
    <xf numFmtId="191" fontId="115" fillId="50" borderId="0" applyNumberFormat="0" applyBorder="0" applyAlignment="0" applyProtection="0"/>
    <xf numFmtId="191" fontId="114" fillId="64" borderId="0" applyNumberFormat="0" applyBorder="0" applyAlignment="0" applyProtection="0"/>
    <xf numFmtId="191" fontId="114" fillId="65" borderId="0" applyNumberFormat="0" applyBorder="0" applyAlignment="0" applyProtection="0"/>
    <xf numFmtId="191" fontId="115" fillId="66" borderId="0" applyNumberFormat="0" applyBorder="0" applyAlignment="0" applyProtection="0"/>
    <xf numFmtId="191" fontId="115" fillId="67" borderId="0" applyNumberFormat="0" applyBorder="0" applyAlignment="0" applyProtection="0"/>
    <xf numFmtId="191" fontId="115" fillId="67" borderId="0" applyNumberFormat="0" applyBorder="0" applyAlignment="0" applyProtection="0"/>
    <xf numFmtId="191" fontId="116" fillId="64" borderId="0" applyNumberFormat="0" applyBorder="0" applyAlignment="0" applyProtection="0"/>
    <xf numFmtId="191" fontId="116" fillId="64" borderId="0" applyNumberFormat="0" applyBorder="0" applyAlignment="0" applyProtection="0"/>
    <xf numFmtId="191" fontId="117" fillId="68" borderId="47" applyNumberFormat="0" applyAlignment="0" applyProtection="0"/>
    <xf numFmtId="191" fontId="117" fillId="68" borderId="47" applyNumberFormat="0" applyAlignment="0" applyProtection="0"/>
    <xf numFmtId="191" fontId="118" fillId="61" borderId="48" applyNumberFormat="0" applyAlignment="0" applyProtection="0"/>
    <xf numFmtId="191" fontId="118" fillId="61" borderId="48" applyNumberFormat="0" applyAlignment="0" applyProtection="0"/>
    <xf numFmtId="37" fontId="110" fillId="0" borderId="21">
      <alignment horizontal="center"/>
    </xf>
    <xf numFmtId="37" fontId="110" fillId="0" borderId="0">
      <alignment horizontal="center" vertical="center" wrapText="1"/>
    </xf>
    <xf numFmtId="191" fontId="84" fillId="0" borderId="0" applyNumberFormat="0" applyFont="0" applyBorder="0" applyAlignment="0"/>
    <xf numFmtId="191" fontId="84" fillId="0" borderId="0" applyNumberFormat="0" applyFont="0" applyBorder="0" applyAlignment="0"/>
    <xf numFmtId="191" fontId="84" fillId="0" borderId="0" applyNumberFormat="0" applyFont="0" applyBorder="0" applyAlignment="0"/>
    <xf numFmtId="191" fontId="84" fillId="0" borderId="0" applyNumberFormat="0" applyFont="0" applyBorder="0" applyAlignment="0"/>
    <xf numFmtId="191" fontId="84" fillId="0" borderId="0" applyNumberFormat="0" applyFont="0" applyBorder="0" applyAlignment="0"/>
    <xf numFmtId="191" fontId="84" fillId="0" borderId="0" applyNumberFormat="0" applyFont="0" applyBorder="0" applyAlignment="0"/>
    <xf numFmtId="191" fontId="84" fillId="0" borderId="0" applyNumberFormat="0" applyFont="0" applyBorder="0" applyAlignment="0"/>
    <xf numFmtId="191" fontId="84" fillId="0" borderId="0" applyNumberFormat="0" applyFont="0" applyBorder="0" applyAlignment="0"/>
    <xf numFmtId="191" fontId="84" fillId="0" borderId="0" applyNumberFormat="0" applyFont="0" applyBorder="0" applyAlignment="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8" fontId="114"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8" fontId="114" fillId="0" borderId="0" applyFont="0" applyFill="0" applyBorder="0" applyAlignment="0" applyProtection="0"/>
    <xf numFmtId="168" fontId="8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70" fontId="10" fillId="0" borderId="0" applyFont="0" applyFill="0" applyBorder="0" applyAlignment="0" applyProtection="0"/>
    <xf numFmtId="168" fontId="84"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11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114" fillId="0" borderId="0" applyFont="0" applyFill="0" applyBorder="0" applyAlignment="0" applyProtection="0"/>
    <xf numFmtId="168" fontId="10" fillId="0" borderId="0" applyFont="0" applyFill="0" applyBorder="0" applyAlignment="0" applyProtection="0"/>
    <xf numFmtId="168" fontId="11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11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68" fontId="84" fillId="0" borderId="0" applyFont="0" applyFill="0" applyBorder="0" applyAlignment="0" applyProtection="0"/>
    <xf numFmtId="193" fontId="84" fillId="0" borderId="0" applyFill="0" applyBorder="0"/>
    <xf numFmtId="193" fontId="84" fillId="0" borderId="0" applyFill="0" applyBorder="0"/>
    <xf numFmtId="193" fontId="84" fillId="0" borderId="0" applyFill="0" applyBorder="0"/>
    <xf numFmtId="166" fontId="84" fillId="0" borderId="0" applyFont="0" applyFill="0" applyBorder="0" applyAlignment="0" applyProtection="0"/>
    <xf numFmtId="168" fontId="84" fillId="0" borderId="0" applyFont="0" applyFill="0" applyBorder="0" applyAlignment="0" applyProtection="0"/>
    <xf numFmtId="191" fontId="119" fillId="69" borderId="0" applyNumberFormat="0" applyBorder="0" applyAlignment="0" applyProtection="0"/>
    <xf numFmtId="191" fontId="119" fillId="70" borderId="0" applyNumberFormat="0" applyBorder="0" applyAlignment="0" applyProtection="0"/>
    <xf numFmtId="191" fontId="119" fillId="71" borderId="0" applyNumberFormat="0" applyBorder="0" applyAlignment="0" applyProtection="0"/>
    <xf numFmtId="191" fontId="120" fillId="0" borderId="0" applyFont="0" applyFill="0" applyBorder="0" applyAlignment="0" applyProtection="0"/>
    <xf numFmtId="191" fontId="121" fillId="0" borderId="0" applyNumberFormat="0" applyFill="0" applyBorder="0" applyAlignment="0" applyProtection="0"/>
    <xf numFmtId="191" fontId="121" fillId="0" borderId="0" applyNumberFormat="0" applyFill="0" applyBorder="0" applyAlignment="0" applyProtection="0"/>
    <xf numFmtId="191" fontId="114" fillId="57" borderId="0" applyNumberFormat="0" applyBorder="0" applyAlignment="0" applyProtection="0"/>
    <xf numFmtId="191" fontId="114" fillId="57" borderId="0" applyNumberFormat="0" applyBorder="0" applyAlignment="0" applyProtection="0"/>
    <xf numFmtId="191" fontId="84" fillId="34" borderId="0" applyNumberFormat="0" applyFont="0" applyBorder="0" applyAlignment="0" applyProtection="0"/>
    <xf numFmtId="191" fontId="84" fillId="34" borderId="0" applyNumberFormat="0" applyFont="0" applyBorder="0" applyAlignment="0" applyProtection="0"/>
    <xf numFmtId="191" fontId="84" fillId="34" borderId="0" applyNumberFormat="0" applyFont="0" applyBorder="0" applyAlignment="0" applyProtection="0"/>
    <xf numFmtId="191" fontId="84" fillId="34" borderId="0" applyNumberFormat="0" applyFont="0" applyBorder="0" applyAlignment="0" applyProtection="0"/>
    <xf numFmtId="191" fontId="84" fillId="34" borderId="0" applyNumberFormat="0" applyFont="0" applyBorder="0" applyAlignment="0" applyProtection="0"/>
    <xf numFmtId="191" fontId="84" fillId="34" borderId="0" applyNumberFormat="0" applyFont="0" applyBorder="0" applyAlignment="0" applyProtection="0"/>
    <xf numFmtId="191" fontId="84" fillId="34" borderId="0" applyNumberFormat="0" applyFont="0" applyBorder="0" applyAlignment="0" applyProtection="0"/>
    <xf numFmtId="191" fontId="84" fillId="34" borderId="0" applyNumberFormat="0" applyFont="0" applyBorder="0" applyAlignment="0" applyProtection="0"/>
    <xf numFmtId="191" fontId="84" fillId="34" borderId="0" applyNumberFormat="0" applyFont="0" applyBorder="0" applyAlignment="0" applyProtection="0"/>
    <xf numFmtId="191" fontId="122" fillId="0" borderId="49" applyNumberFormat="0" applyFill="0" applyAlignment="0" applyProtection="0"/>
    <xf numFmtId="191" fontId="122" fillId="0" borderId="49" applyNumberFormat="0" applyFill="0" applyAlignment="0" applyProtection="0"/>
    <xf numFmtId="191" fontId="123" fillId="0" borderId="50" applyNumberFormat="0" applyFill="0" applyAlignment="0" applyProtection="0"/>
    <xf numFmtId="191" fontId="123" fillId="0" borderId="50" applyNumberFormat="0" applyFill="0" applyAlignment="0" applyProtection="0"/>
    <xf numFmtId="191" fontId="124" fillId="0" borderId="51" applyNumberFormat="0" applyFill="0" applyAlignment="0" applyProtection="0"/>
    <xf numFmtId="191" fontId="124" fillId="0" borderId="51" applyNumberFormat="0" applyFill="0" applyAlignment="0" applyProtection="0"/>
    <xf numFmtId="191" fontId="124" fillId="0" borderId="0" applyNumberFormat="0" applyFill="0" applyBorder="0" applyAlignment="0" applyProtection="0"/>
    <xf numFmtId="191" fontId="124" fillId="0" borderId="0" applyNumberFormat="0" applyFill="0" applyBorder="0" applyAlignment="0" applyProtection="0"/>
    <xf numFmtId="191" fontId="125" fillId="65" borderId="47" applyNumberFormat="0" applyAlignment="0" applyProtection="0"/>
    <xf numFmtId="191" fontId="125" fillId="65" borderId="47" applyNumberFormat="0" applyAlignment="0" applyProtection="0"/>
    <xf numFmtId="191" fontId="126" fillId="72" borderId="0"/>
    <xf numFmtId="191" fontId="127" fillId="0" borderId="52" applyNumberFormat="0" applyFill="0" applyAlignment="0" applyProtection="0"/>
    <xf numFmtId="191" fontId="127" fillId="0" borderId="52" applyNumberFormat="0" applyFill="0" applyAlignment="0" applyProtection="0"/>
    <xf numFmtId="37" fontId="128" fillId="0" borderId="0"/>
    <xf numFmtId="191" fontId="127" fillId="65" borderId="0" applyNumberFormat="0" applyBorder="0" applyAlignment="0" applyProtection="0"/>
    <xf numFmtId="191" fontId="127" fillId="65" borderId="0" applyNumberFormat="0" applyBorder="0" applyAlignment="0" applyProtection="0"/>
    <xf numFmtId="38" fontId="84" fillId="0" borderId="0" applyFont="0" applyFill="0" applyBorder="0" applyAlignment="0" applyProtection="0"/>
    <xf numFmtId="191" fontId="23" fillId="0" borderId="0"/>
    <xf numFmtId="191" fontId="23" fillId="0" borderId="0"/>
    <xf numFmtId="191" fontId="23" fillId="0" borderId="0"/>
    <xf numFmtId="191" fontId="23" fillId="0" borderId="0"/>
    <xf numFmtId="191" fontId="23" fillId="0" borderId="0"/>
    <xf numFmtId="191" fontId="84" fillId="0" borderId="0"/>
    <xf numFmtId="191" fontId="84" fillId="0" borderId="0"/>
    <xf numFmtId="191" fontId="84" fillId="0" borderId="0"/>
    <xf numFmtId="191" fontId="84" fillId="0" borderId="0"/>
    <xf numFmtId="0" fontId="1" fillId="0" borderId="0"/>
    <xf numFmtId="191" fontId="114" fillId="0" borderId="0" applyFill="0" applyBorder="0" applyAlignment="0" applyProtection="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114" fillId="0" borderId="0"/>
    <xf numFmtId="191" fontId="114" fillId="0" borderId="0" applyFill="0" applyBorder="0" applyAlignment="0" applyProtection="0"/>
    <xf numFmtId="191" fontId="8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84" fillId="0" borderId="0"/>
    <xf numFmtId="191" fontId="84" fillId="0" borderId="0"/>
    <xf numFmtId="191" fontId="84" fillId="0" borderId="0"/>
    <xf numFmtId="191" fontId="84" fillId="0" borderId="0"/>
    <xf numFmtId="191" fontId="84" fillId="0" borderId="0"/>
    <xf numFmtId="191" fontId="114" fillId="0" borderId="0" applyFill="0" applyBorder="0" applyAlignment="0" applyProtection="0"/>
    <xf numFmtId="191" fontId="114" fillId="0" borderId="0" applyFill="0" applyBorder="0" applyAlignment="0" applyProtection="0"/>
    <xf numFmtId="191" fontId="84" fillId="0" borderId="0"/>
    <xf numFmtId="191" fontId="84" fillId="0" borderId="0"/>
    <xf numFmtId="191" fontId="84" fillId="0" borderId="0"/>
    <xf numFmtId="191" fontId="84" fillId="0" borderId="0"/>
    <xf numFmtId="191" fontId="84" fillId="0" borderId="0"/>
    <xf numFmtId="191" fontId="8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84" fillId="0" borderId="0"/>
    <xf numFmtId="191" fontId="84" fillId="0" borderId="0"/>
    <xf numFmtId="191" fontId="84" fillId="0" borderId="0"/>
    <xf numFmtId="191" fontId="84" fillId="0" borderId="0"/>
    <xf numFmtId="191" fontId="84" fillId="0" borderId="0"/>
    <xf numFmtId="191" fontId="84" fillId="0" borderId="0"/>
    <xf numFmtId="191" fontId="84" fillId="0" borderId="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84" fillId="0" borderId="0"/>
    <xf numFmtId="191" fontId="84" fillId="0" borderId="0"/>
    <xf numFmtId="191" fontId="84" fillId="0" borderId="0"/>
    <xf numFmtId="191" fontId="84" fillId="0" borderId="0"/>
    <xf numFmtId="191" fontId="92" fillId="0" borderId="0"/>
    <xf numFmtId="191" fontId="92" fillId="0" borderId="0"/>
    <xf numFmtId="191" fontId="92" fillId="0" borderId="0"/>
    <xf numFmtId="191" fontId="92" fillId="0" borderId="0"/>
    <xf numFmtId="191" fontId="92" fillId="0" borderId="0"/>
    <xf numFmtId="191" fontId="92" fillId="0" borderId="0"/>
    <xf numFmtId="191" fontId="92" fillId="0" borderId="0"/>
    <xf numFmtId="191" fontId="92" fillId="0" borderId="0"/>
    <xf numFmtId="191" fontId="92" fillId="0" borderId="0"/>
    <xf numFmtId="191" fontId="92" fillId="0" borderId="0"/>
    <xf numFmtId="191" fontId="92" fillId="0" borderId="0"/>
    <xf numFmtId="191" fontId="84" fillId="0" borderId="0"/>
    <xf numFmtId="191" fontId="84" fillId="0" borderId="0"/>
    <xf numFmtId="191" fontId="84" fillId="0" borderId="0"/>
    <xf numFmtId="191" fontId="8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92" fillId="0" borderId="0"/>
    <xf numFmtId="191" fontId="92" fillId="0" borderId="0"/>
    <xf numFmtId="191" fontId="92" fillId="0" borderId="0"/>
    <xf numFmtId="191" fontId="92" fillId="0" borderId="0"/>
    <xf numFmtId="191" fontId="92" fillId="0" borderId="0"/>
    <xf numFmtId="191" fontId="92"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92" fillId="0" borderId="0"/>
    <xf numFmtId="191" fontId="92"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84" fillId="0" borderId="0"/>
    <xf numFmtId="191" fontId="114" fillId="0" borderId="0" applyFill="0" applyBorder="0" applyAlignment="0" applyProtection="0"/>
    <xf numFmtId="191" fontId="23" fillId="0" borderId="0"/>
    <xf numFmtId="191" fontId="23"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xf numFmtId="191" fontId="114" fillId="0" borderId="0"/>
    <xf numFmtId="191" fontId="114" fillId="0" borderId="0"/>
    <xf numFmtId="191" fontId="114" fillId="0" borderId="0"/>
    <xf numFmtId="191" fontId="114" fillId="0" borderId="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applyFill="0" applyBorder="0" applyAlignment="0" applyProtection="0"/>
    <xf numFmtId="191" fontId="114" fillId="0" borderId="0" applyFill="0" applyBorder="0" applyAlignment="0" applyProtection="0"/>
    <xf numFmtId="191" fontId="114" fillId="0" borderId="0"/>
    <xf numFmtId="191" fontId="114" fillId="0" borderId="0"/>
    <xf numFmtId="191" fontId="10" fillId="0" borderId="0">
      <alignment vertical="top"/>
    </xf>
    <xf numFmtId="191" fontId="10" fillId="0" borderId="0">
      <alignment vertical="top"/>
    </xf>
    <xf numFmtId="191" fontId="129" fillId="0" borderId="0" applyFill="0" applyBorder="0">
      <protection locked="0"/>
    </xf>
    <xf numFmtId="191" fontId="130" fillId="64" borderId="47" applyNumberFormat="0" applyFont="0" applyAlignment="0" applyProtection="0"/>
    <xf numFmtId="191" fontId="130" fillId="64" borderId="47" applyNumberFormat="0" applyFont="0" applyAlignment="0" applyProtection="0"/>
    <xf numFmtId="191" fontId="130" fillId="64" borderId="47" applyNumberFormat="0" applyFont="0" applyAlignment="0" applyProtection="0"/>
    <xf numFmtId="191" fontId="130" fillId="64" borderId="47" applyNumberFormat="0" applyFont="0" applyAlignment="0" applyProtection="0"/>
    <xf numFmtId="191" fontId="130" fillId="64" borderId="47" applyNumberFormat="0" applyFont="0" applyAlignment="0" applyProtection="0"/>
    <xf numFmtId="191" fontId="130" fillId="64" borderId="47" applyNumberFormat="0" applyFont="0" applyAlignment="0" applyProtection="0"/>
    <xf numFmtId="191" fontId="130" fillId="64" borderId="47" applyNumberFormat="0" applyFont="0" applyAlignment="0" applyProtection="0"/>
    <xf numFmtId="191" fontId="130" fillId="64" borderId="47" applyNumberFormat="0" applyFont="0" applyAlignment="0" applyProtection="0"/>
    <xf numFmtId="191" fontId="130" fillId="64" borderId="47" applyNumberFormat="0" applyFont="0" applyAlignment="0" applyProtection="0"/>
    <xf numFmtId="191" fontId="131" fillId="68" borderId="53" applyNumberFormat="0" applyAlignment="0" applyProtection="0"/>
    <xf numFmtId="191" fontId="131" fillId="68" borderId="53" applyNumberFormat="0" applyAlignment="0" applyProtection="0"/>
    <xf numFmtId="9" fontId="84"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8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1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8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194" fontId="23" fillId="73" borderId="1">
      <alignment vertical="center"/>
    </xf>
    <xf numFmtId="195" fontId="23" fillId="73" borderId="1">
      <alignment vertical="center"/>
    </xf>
    <xf numFmtId="195" fontId="23" fillId="73" borderId="1">
      <alignment vertical="center"/>
    </xf>
    <xf numFmtId="191" fontId="23" fillId="73" borderId="1">
      <alignment vertical="center"/>
    </xf>
    <xf numFmtId="191" fontId="23" fillId="73" borderId="1">
      <alignment vertical="center"/>
    </xf>
    <xf numFmtId="191" fontId="23" fillId="73" borderId="1">
      <alignment vertical="center"/>
    </xf>
    <xf numFmtId="191" fontId="23" fillId="73" borderId="1">
      <alignment vertical="center"/>
    </xf>
    <xf numFmtId="174" fontId="23" fillId="73" borderId="1">
      <alignment vertical="center"/>
    </xf>
    <xf numFmtId="174" fontId="23" fillId="73" borderId="1">
      <alignment vertical="center"/>
    </xf>
    <xf numFmtId="194" fontId="23" fillId="73" borderId="1">
      <alignment vertical="center"/>
    </xf>
    <xf numFmtId="191" fontId="132" fillId="0" borderId="0"/>
    <xf numFmtId="196" fontId="23" fillId="0" borderId="0">
      <protection locked="0"/>
    </xf>
    <xf numFmtId="196" fontId="23" fillId="0" borderId="0">
      <protection locked="0"/>
    </xf>
    <xf numFmtId="195" fontId="23" fillId="35" borderId="1">
      <alignment vertical="center"/>
      <protection locked="0"/>
    </xf>
    <xf numFmtId="197" fontId="23" fillId="35" borderId="1">
      <alignment vertical="center"/>
      <protection locked="0"/>
    </xf>
    <xf numFmtId="191" fontId="23" fillId="35" borderId="1">
      <alignment vertical="center"/>
      <protection locked="0"/>
    </xf>
    <xf numFmtId="191" fontId="23" fillId="35" borderId="1">
      <alignment vertical="center"/>
      <protection locked="0"/>
    </xf>
    <xf numFmtId="197" fontId="23" fillId="35" borderId="1">
      <alignment vertical="center"/>
      <protection locked="0"/>
    </xf>
    <xf numFmtId="197" fontId="23" fillId="35" borderId="1">
      <alignment vertical="center"/>
      <protection locked="0"/>
    </xf>
    <xf numFmtId="191" fontId="23" fillId="35" borderId="1">
      <alignment vertical="center"/>
      <protection locked="0"/>
    </xf>
    <xf numFmtId="191" fontId="23" fillId="35" borderId="1">
      <alignment vertical="center"/>
      <protection locked="0"/>
    </xf>
    <xf numFmtId="197" fontId="23" fillId="35" borderId="1">
      <alignment vertical="center"/>
      <protection locked="0"/>
    </xf>
    <xf numFmtId="195" fontId="23" fillId="35" borderId="1">
      <alignment vertical="center"/>
      <protection locked="0"/>
    </xf>
    <xf numFmtId="195" fontId="23" fillId="35" borderId="1">
      <alignment vertical="center"/>
      <protection locked="0"/>
    </xf>
    <xf numFmtId="170" fontId="23" fillId="35" borderId="1">
      <alignment vertical="center"/>
      <protection locked="0"/>
    </xf>
    <xf numFmtId="170" fontId="23" fillId="35" borderId="1">
      <alignment vertical="center"/>
      <protection locked="0"/>
    </xf>
    <xf numFmtId="170" fontId="23" fillId="35" borderId="1">
      <alignment vertical="center"/>
      <protection locked="0"/>
    </xf>
    <xf numFmtId="170" fontId="23" fillId="35" borderId="1">
      <alignment vertical="center"/>
      <protection locked="0"/>
    </xf>
    <xf numFmtId="195" fontId="23" fillId="35" borderId="1">
      <alignment vertical="center"/>
      <protection locked="0"/>
    </xf>
    <xf numFmtId="195" fontId="23" fillId="74" borderId="1">
      <alignment vertical="center"/>
    </xf>
    <xf numFmtId="195" fontId="23" fillId="74" borderId="1">
      <alignment vertical="center"/>
    </xf>
    <xf numFmtId="197" fontId="23" fillId="74" borderId="1">
      <alignment vertical="center"/>
    </xf>
    <xf numFmtId="197" fontId="23" fillId="74" borderId="1">
      <alignment vertical="center"/>
    </xf>
    <xf numFmtId="197" fontId="23" fillId="74" borderId="1">
      <alignment vertical="center"/>
    </xf>
    <xf numFmtId="197" fontId="23" fillId="74" borderId="1">
      <alignment vertical="center"/>
    </xf>
    <xf numFmtId="174" fontId="23" fillId="74" borderId="1">
      <alignment vertical="center"/>
    </xf>
    <xf numFmtId="194" fontId="23" fillId="74" borderId="1">
      <alignment vertical="center"/>
    </xf>
    <xf numFmtId="191" fontId="23" fillId="74" borderId="1">
      <alignment vertical="center"/>
    </xf>
    <xf numFmtId="191" fontId="23" fillId="74" borderId="1">
      <alignment vertical="center"/>
    </xf>
    <xf numFmtId="191" fontId="23" fillId="74" borderId="1">
      <alignment vertical="center"/>
    </xf>
    <xf numFmtId="191" fontId="23" fillId="74" borderId="1">
      <alignment vertical="center"/>
    </xf>
    <xf numFmtId="195" fontId="23" fillId="74" borderId="1">
      <alignment vertical="center"/>
    </xf>
    <xf numFmtId="195" fontId="23" fillId="74" borderId="1">
      <alignment vertical="center"/>
    </xf>
    <xf numFmtId="195" fontId="23" fillId="74" borderId="1">
      <alignment vertical="center"/>
    </xf>
    <xf numFmtId="195" fontId="23" fillId="74" borderId="1">
      <alignment vertical="center"/>
    </xf>
    <xf numFmtId="195" fontId="23" fillId="75" borderId="1">
      <alignment horizontal="right" vertical="center"/>
      <protection locked="0"/>
    </xf>
    <xf numFmtId="191" fontId="23" fillId="75" borderId="1">
      <alignment horizontal="right" vertical="center"/>
      <protection locked="0"/>
    </xf>
    <xf numFmtId="191" fontId="23" fillId="75" borderId="1">
      <alignment horizontal="right" vertical="center"/>
      <protection locked="0"/>
    </xf>
    <xf numFmtId="194" fontId="23" fillId="75" borderId="1">
      <alignment horizontal="right" vertical="center"/>
      <protection locked="0"/>
    </xf>
    <xf numFmtId="174" fontId="23" fillId="75" borderId="1">
      <alignment horizontal="right" vertical="center"/>
      <protection locked="0"/>
    </xf>
    <xf numFmtId="194" fontId="23" fillId="75" borderId="1">
      <alignment horizontal="right" vertical="center"/>
      <protection locked="0"/>
    </xf>
    <xf numFmtId="195" fontId="23" fillId="75" borderId="1">
      <alignment horizontal="right" vertical="center"/>
      <protection locked="0"/>
    </xf>
    <xf numFmtId="195" fontId="23" fillId="75" borderId="1">
      <alignment horizontal="right" vertical="center"/>
      <protection locked="0"/>
    </xf>
    <xf numFmtId="195" fontId="23" fillId="75" borderId="1">
      <alignment horizontal="right" vertical="center"/>
      <protection locked="0"/>
    </xf>
    <xf numFmtId="4" fontId="130" fillId="76" borderId="47" applyNumberFormat="0" applyProtection="0">
      <alignment vertical="center"/>
    </xf>
    <xf numFmtId="4" fontId="133" fillId="6" borderId="47" applyNumberFormat="0" applyProtection="0">
      <alignment vertical="center"/>
    </xf>
    <xf numFmtId="4" fontId="130" fillId="6" borderId="47" applyNumberFormat="0" applyProtection="0">
      <alignment horizontal="left" vertical="center" indent="1"/>
    </xf>
    <xf numFmtId="191" fontId="134" fillId="76" borderId="54" applyNumberFormat="0" applyProtection="0">
      <alignment horizontal="left" vertical="top" indent="1"/>
    </xf>
    <xf numFmtId="4" fontId="130" fillId="77" borderId="47" applyNumberFormat="0" applyProtection="0">
      <alignment horizontal="left" vertical="center" indent="1"/>
    </xf>
    <xf numFmtId="4" fontId="130" fillId="78" borderId="47" applyNumberFormat="0" applyProtection="0">
      <alignment horizontal="right" vertical="center"/>
    </xf>
    <xf numFmtId="4" fontId="130" fillId="79" borderId="47" applyNumberFormat="0" applyProtection="0">
      <alignment horizontal="right" vertical="center"/>
    </xf>
    <xf numFmtId="4" fontId="130" fillId="80" borderId="55" applyNumberFormat="0" applyProtection="0">
      <alignment horizontal="right" vertical="center"/>
    </xf>
    <xf numFmtId="4" fontId="130" fillId="47" borderId="47" applyNumberFormat="0" applyProtection="0">
      <alignment horizontal="right" vertical="center"/>
    </xf>
    <xf numFmtId="4" fontId="130" fillId="81" borderId="47" applyNumberFormat="0" applyProtection="0">
      <alignment horizontal="right" vertical="center"/>
    </xf>
    <xf numFmtId="4" fontId="130" fillId="82" borderId="47" applyNumberFormat="0" applyProtection="0">
      <alignment horizontal="right" vertical="center"/>
    </xf>
    <xf numFmtId="4" fontId="130" fillId="43" borderId="47" applyNumberFormat="0" applyProtection="0">
      <alignment horizontal="right" vertical="center"/>
    </xf>
    <xf numFmtId="4" fontId="130" fillId="40" borderId="47" applyNumberFormat="0" applyProtection="0">
      <alignment horizontal="right" vertical="center"/>
    </xf>
    <xf numFmtId="4" fontId="130" fillId="83" borderId="47" applyNumberFormat="0" applyProtection="0">
      <alignment horizontal="right" vertical="center"/>
    </xf>
    <xf numFmtId="4" fontId="130" fillId="84" borderId="55" applyNumberFormat="0" applyProtection="0">
      <alignment horizontal="left" vertical="center" indent="1"/>
    </xf>
    <xf numFmtId="4" fontId="84" fillId="45" borderId="55" applyNumberFormat="0" applyProtection="0">
      <alignment horizontal="left" vertical="center" indent="1"/>
    </xf>
    <xf numFmtId="4" fontId="84" fillId="45" borderId="55" applyNumberFormat="0" applyProtection="0">
      <alignment horizontal="left" vertical="center" indent="1"/>
    </xf>
    <xf numFmtId="4" fontId="130" fillId="39" borderId="47" applyNumberFormat="0" applyProtection="0">
      <alignment horizontal="right" vertical="center"/>
    </xf>
    <xf numFmtId="4" fontId="130" fillId="38" borderId="55" applyNumberFormat="0" applyProtection="0">
      <alignment horizontal="left" vertical="center" indent="1"/>
    </xf>
    <xf numFmtId="4" fontId="112" fillId="38" borderId="0" applyNumberFormat="0" applyProtection="0">
      <alignment horizontal="left" vertical="center" indent="1"/>
    </xf>
    <xf numFmtId="4" fontId="130" fillId="38" borderId="55" applyNumberFormat="0" applyProtection="0">
      <alignment horizontal="left" vertical="center" indent="1"/>
    </xf>
    <xf numFmtId="4" fontId="130" fillId="39" borderId="55" applyNumberFormat="0" applyProtection="0">
      <alignment horizontal="left" vertical="center" indent="1"/>
    </xf>
    <xf numFmtId="4" fontId="112" fillId="39" borderId="0" applyNumberFormat="0" applyProtection="0">
      <alignment horizontal="left" vertical="center" indent="1"/>
    </xf>
    <xf numFmtId="4" fontId="130" fillId="39" borderId="55" applyNumberFormat="0" applyProtection="0">
      <alignment horizontal="left" vertical="center" indent="1"/>
    </xf>
    <xf numFmtId="191" fontId="130" fillId="34" borderId="47" applyNumberFormat="0" applyProtection="0">
      <alignment horizontal="left" vertical="center" indent="1"/>
    </xf>
    <xf numFmtId="191" fontId="84" fillId="45" borderId="54" applyNumberFormat="0" applyProtection="0">
      <alignment horizontal="left" vertical="center" indent="1"/>
    </xf>
    <xf numFmtId="191" fontId="130" fillId="34" borderId="47" applyNumberFormat="0" applyProtection="0">
      <alignment horizontal="left" vertical="center" indent="1"/>
    </xf>
    <xf numFmtId="191" fontId="130" fillId="45" borderId="54" applyNumberFormat="0" applyProtection="0">
      <alignment horizontal="left" vertical="top" indent="1"/>
    </xf>
    <xf numFmtId="191" fontId="84" fillId="45" borderId="54" applyNumberFormat="0" applyProtection="0">
      <alignment horizontal="left" vertical="top" indent="1"/>
    </xf>
    <xf numFmtId="191" fontId="130" fillId="45" borderId="54" applyNumberFormat="0" applyProtection="0">
      <alignment horizontal="left" vertical="top" indent="1"/>
    </xf>
    <xf numFmtId="191" fontId="130" fillId="45" borderId="54" applyNumberFormat="0" applyProtection="0">
      <alignment horizontal="left" vertical="top" indent="1"/>
    </xf>
    <xf numFmtId="191" fontId="130" fillId="45" borderId="54" applyNumberFormat="0" applyProtection="0">
      <alignment horizontal="left" vertical="top" indent="1"/>
    </xf>
    <xf numFmtId="191" fontId="130" fillId="45" borderId="54" applyNumberFormat="0" applyProtection="0">
      <alignment horizontal="left" vertical="top" indent="1"/>
    </xf>
    <xf numFmtId="191" fontId="130" fillId="45" borderId="54" applyNumberFormat="0" applyProtection="0">
      <alignment horizontal="left" vertical="top" indent="1"/>
    </xf>
    <xf numFmtId="191" fontId="130" fillId="45" borderId="54" applyNumberFormat="0" applyProtection="0">
      <alignment horizontal="left" vertical="top" indent="1"/>
    </xf>
    <xf numFmtId="191" fontId="130" fillId="45" borderId="54" applyNumberFormat="0" applyProtection="0">
      <alignment horizontal="left" vertical="top" indent="1"/>
    </xf>
    <xf numFmtId="191" fontId="130" fillId="45" borderId="54" applyNumberFormat="0" applyProtection="0">
      <alignment horizontal="left" vertical="top" indent="1"/>
    </xf>
    <xf numFmtId="191" fontId="130" fillId="45" borderId="54" applyNumberFormat="0" applyProtection="0">
      <alignment horizontal="left" vertical="top" indent="1"/>
    </xf>
    <xf numFmtId="191" fontId="130" fillId="85" borderId="47" applyNumberFormat="0" applyProtection="0">
      <alignment horizontal="left" vertical="center" indent="1"/>
    </xf>
    <xf numFmtId="191" fontId="84" fillId="39" borderId="54" applyNumberFormat="0" applyProtection="0">
      <alignment horizontal="left" vertical="center" indent="1"/>
    </xf>
    <xf numFmtId="191" fontId="130" fillId="85" borderId="47" applyNumberFormat="0" applyProtection="0">
      <alignment horizontal="left" vertical="center" indent="1"/>
    </xf>
    <xf numFmtId="191" fontId="130" fillId="39" borderId="54" applyNumberFormat="0" applyProtection="0">
      <alignment horizontal="left" vertical="top" indent="1"/>
    </xf>
    <xf numFmtId="191" fontId="84" fillId="39" borderId="54" applyNumberFormat="0" applyProtection="0">
      <alignment horizontal="left" vertical="top" indent="1"/>
    </xf>
    <xf numFmtId="191" fontId="130" fillId="39" borderId="54" applyNumberFormat="0" applyProtection="0">
      <alignment horizontal="left" vertical="top" indent="1"/>
    </xf>
    <xf numFmtId="191" fontId="130" fillId="39" borderId="54" applyNumberFormat="0" applyProtection="0">
      <alignment horizontal="left" vertical="top" indent="1"/>
    </xf>
    <xf numFmtId="191" fontId="130" fillId="39" borderId="54" applyNumberFormat="0" applyProtection="0">
      <alignment horizontal="left" vertical="top" indent="1"/>
    </xf>
    <xf numFmtId="191" fontId="130" fillId="39" borderId="54" applyNumberFormat="0" applyProtection="0">
      <alignment horizontal="left" vertical="top" indent="1"/>
    </xf>
    <xf numFmtId="191" fontId="130" fillId="39" borderId="54" applyNumberFormat="0" applyProtection="0">
      <alignment horizontal="left" vertical="top" indent="1"/>
    </xf>
    <xf numFmtId="191" fontId="130" fillId="39" borderId="54" applyNumberFormat="0" applyProtection="0">
      <alignment horizontal="left" vertical="top" indent="1"/>
    </xf>
    <xf numFmtId="191" fontId="130" fillId="39" borderId="54" applyNumberFormat="0" applyProtection="0">
      <alignment horizontal="left" vertical="top" indent="1"/>
    </xf>
    <xf numFmtId="191" fontId="130" fillId="39" borderId="54" applyNumberFormat="0" applyProtection="0">
      <alignment horizontal="left" vertical="top" indent="1"/>
    </xf>
    <xf numFmtId="191" fontId="130" fillId="39" borderId="54" applyNumberFormat="0" applyProtection="0">
      <alignment horizontal="left" vertical="top" indent="1"/>
    </xf>
    <xf numFmtId="191" fontId="130" fillId="86" borderId="47" applyNumberFormat="0" applyProtection="0">
      <alignment horizontal="left" vertical="center" indent="1"/>
    </xf>
    <xf numFmtId="191" fontId="84" fillId="86" borderId="54" applyNumberFormat="0" applyProtection="0">
      <alignment horizontal="left" vertical="center" indent="1"/>
    </xf>
    <xf numFmtId="191" fontId="130" fillId="86" borderId="47" applyNumberFormat="0" applyProtection="0">
      <alignment horizontal="left" vertical="center" indent="1"/>
    </xf>
    <xf numFmtId="191" fontId="130" fillId="86" borderId="54" applyNumberFormat="0" applyProtection="0">
      <alignment horizontal="left" vertical="top" indent="1"/>
    </xf>
    <xf numFmtId="191" fontId="84" fillId="86" borderId="54" applyNumberFormat="0" applyProtection="0">
      <alignment horizontal="left" vertical="top" indent="1"/>
    </xf>
    <xf numFmtId="191" fontId="130" fillId="86" borderId="54" applyNumberFormat="0" applyProtection="0">
      <alignment horizontal="left" vertical="top" indent="1"/>
    </xf>
    <xf numFmtId="191" fontId="130" fillId="86" borderId="54" applyNumberFormat="0" applyProtection="0">
      <alignment horizontal="left" vertical="top" indent="1"/>
    </xf>
    <xf numFmtId="191" fontId="130" fillId="86" borderId="54" applyNumberFormat="0" applyProtection="0">
      <alignment horizontal="left" vertical="top" indent="1"/>
    </xf>
    <xf numFmtId="191" fontId="130" fillId="86" borderId="54" applyNumberFormat="0" applyProtection="0">
      <alignment horizontal="left" vertical="top" indent="1"/>
    </xf>
    <xf numFmtId="191" fontId="130" fillId="86" borderId="54" applyNumberFormat="0" applyProtection="0">
      <alignment horizontal="left" vertical="top" indent="1"/>
    </xf>
    <xf numFmtId="191" fontId="130" fillId="86" borderId="54" applyNumberFormat="0" applyProtection="0">
      <alignment horizontal="left" vertical="top" indent="1"/>
    </xf>
    <xf numFmtId="191" fontId="130" fillId="86" borderId="54" applyNumberFormat="0" applyProtection="0">
      <alignment horizontal="left" vertical="top" indent="1"/>
    </xf>
    <xf numFmtId="191" fontId="130" fillId="86" borderId="54" applyNumberFormat="0" applyProtection="0">
      <alignment horizontal="left" vertical="top" indent="1"/>
    </xf>
    <xf numFmtId="191" fontId="130" fillId="86" borderId="54" applyNumberFormat="0" applyProtection="0">
      <alignment horizontal="left" vertical="top" indent="1"/>
    </xf>
    <xf numFmtId="191" fontId="130" fillId="38" borderId="47" applyNumberFormat="0" applyProtection="0">
      <alignment horizontal="left" vertical="center" indent="1"/>
    </xf>
    <xf numFmtId="191" fontId="84" fillId="38" borderId="54" applyNumberFormat="0" applyProtection="0">
      <alignment horizontal="left" vertical="center" indent="1"/>
    </xf>
    <xf numFmtId="191" fontId="130" fillId="38" borderId="47" applyNumberFormat="0" applyProtection="0">
      <alignment horizontal="left" vertical="center" indent="1"/>
    </xf>
    <xf numFmtId="191" fontId="130" fillId="38" borderId="54" applyNumberFormat="0" applyProtection="0">
      <alignment horizontal="left" vertical="top" indent="1"/>
    </xf>
    <xf numFmtId="191" fontId="84" fillId="38" borderId="54" applyNumberFormat="0" applyProtection="0">
      <alignment horizontal="left" vertical="top" indent="1"/>
    </xf>
    <xf numFmtId="191" fontId="130" fillId="38" borderId="54" applyNumberFormat="0" applyProtection="0">
      <alignment horizontal="left" vertical="top" indent="1"/>
    </xf>
    <xf numFmtId="191" fontId="130" fillId="38" borderId="54" applyNumberFormat="0" applyProtection="0">
      <alignment horizontal="left" vertical="top" indent="1"/>
    </xf>
    <xf numFmtId="191" fontId="130" fillId="38" borderId="54" applyNumberFormat="0" applyProtection="0">
      <alignment horizontal="left" vertical="top" indent="1"/>
    </xf>
    <xf numFmtId="191" fontId="130" fillId="38" borderId="54" applyNumberFormat="0" applyProtection="0">
      <alignment horizontal="left" vertical="top" indent="1"/>
    </xf>
    <xf numFmtId="191" fontId="130" fillId="38" borderId="54" applyNumberFormat="0" applyProtection="0">
      <alignment horizontal="left" vertical="top" indent="1"/>
    </xf>
    <xf numFmtId="191" fontId="130" fillId="38" borderId="54" applyNumberFormat="0" applyProtection="0">
      <alignment horizontal="left" vertical="top" indent="1"/>
    </xf>
    <xf numFmtId="191" fontId="130" fillId="38" borderId="54" applyNumberFormat="0" applyProtection="0">
      <alignment horizontal="left" vertical="top" indent="1"/>
    </xf>
    <xf numFmtId="191" fontId="130" fillId="38" borderId="54" applyNumberFormat="0" applyProtection="0">
      <alignment horizontal="left" vertical="top" indent="1"/>
    </xf>
    <xf numFmtId="191" fontId="130" fillId="38" borderId="54" applyNumberFormat="0" applyProtection="0">
      <alignment horizontal="left" vertical="top" indent="1"/>
    </xf>
    <xf numFmtId="191" fontId="130" fillId="87" borderId="56" applyNumberFormat="0">
      <protection locked="0"/>
    </xf>
    <xf numFmtId="191" fontId="84" fillId="87" borderId="1" applyNumberFormat="0">
      <protection locked="0"/>
    </xf>
    <xf numFmtId="191" fontId="130" fillId="87" borderId="56" applyNumberFormat="0">
      <protection locked="0"/>
    </xf>
    <xf numFmtId="191" fontId="130" fillId="87" borderId="56" applyNumberFormat="0">
      <protection locked="0"/>
    </xf>
    <xf numFmtId="191" fontId="130" fillId="87" borderId="56" applyNumberFormat="0">
      <protection locked="0"/>
    </xf>
    <xf numFmtId="191" fontId="130" fillId="87" borderId="56" applyNumberFormat="0">
      <protection locked="0"/>
    </xf>
    <xf numFmtId="191" fontId="130" fillId="87" borderId="56" applyNumberFormat="0">
      <protection locked="0"/>
    </xf>
    <xf numFmtId="191" fontId="130" fillId="87" borderId="56" applyNumberFormat="0">
      <protection locked="0"/>
    </xf>
    <xf numFmtId="191" fontId="130" fillId="87" borderId="56" applyNumberFormat="0">
      <protection locked="0"/>
    </xf>
    <xf numFmtId="191" fontId="130" fillId="87" borderId="56" applyNumberFormat="0">
      <protection locked="0"/>
    </xf>
    <xf numFmtId="191" fontId="130" fillId="87" borderId="56" applyNumberFormat="0">
      <protection locked="0"/>
    </xf>
    <xf numFmtId="191" fontId="135" fillId="45" borderId="57" applyBorder="0"/>
    <xf numFmtId="4" fontId="136" fillId="72" borderId="54" applyNumberFormat="0" applyProtection="0">
      <alignment vertical="center"/>
    </xf>
    <xf numFmtId="4" fontId="133" fillId="35" borderId="1" applyNumberFormat="0" applyProtection="0">
      <alignment vertical="center"/>
    </xf>
    <xf numFmtId="4" fontId="136" fillId="34" borderId="54" applyNumberFormat="0" applyProtection="0">
      <alignment horizontal="left" vertical="center" indent="1"/>
    </xf>
    <xf numFmtId="191" fontId="136" fillId="72" borderId="54" applyNumberFormat="0" applyProtection="0">
      <alignment horizontal="left" vertical="top" indent="1"/>
    </xf>
    <xf numFmtId="4" fontId="130" fillId="0" borderId="47" applyNumberFormat="0" applyProtection="0">
      <alignment horizontal="right" vertical="center"/>
    </xf>
    <xf numFmtId="4" fontId="133" fillId="3" borderId="47" applyNumberFormat="0" applyProtection="0">
      <alignment horizontal="right" vertical="center"/>
    </xf>
    <xf numFmtId="4" fontId="130" fillId="77" borderId="47" applyNumberFormat="0" applyProtection="0">
      <alignment horizontal="left" vertical="center" indent="1"/>
    </xf>
    <xf numFmtId="191" fontId="136" fillId="39" borderId="54" applyNumberFormat="0" applyProtection="0">
      <alignment horizontal="left" vertical="top" indent="1"/>
    </xf>
    <xf numFmtId="4" fontId="137" fillId="88" borderId="55" applyNumberFormat="0" applyProtection="0">
      <alignment horizontal="left" vertical="center" indent="1"/>
    </xf>
    <xf numFmtId="191" fontId="130" fillId="89" borderId="1"/>
    <xf numFmtId="4" fontId="138" fillId="87" borderId="47" applyNumberFormat="0" applyProtection="0">
      <alignment horizontal="right" vertical="center"/>
    </xf>
    <xf numFmtId="191" fontId="139" fillId="0" borderId="0" applyNumberFormat="0" applyFill="0" applyBorder="0" applyAlignment="0" applyProtection="0"/>
    <xf numFmtId="191" fontId="84" fillId="90" borderId="0"/>
    <xf numFmtId="191" fontId="84" fillId="0" borderId="0" applyFont="0" applyFill="0" applyBorder="0" applyAlignment="0" applyProtection="0"/>
    <xf numFmtId="37" fontId="110" fillId="0" borderId="27" applyNumberFormat="0"/>
    <xf numFmtId="191" fontId="140" fillId="0" borderId="58" applyNumberFormat="0" applyAlignment="0" applyProtection="0"/>
    <xf numFmtId="191" fontId="139" fillId="0" borderId="0" applyNumberFormat="0" applyFill="0" applyBorder="0" applyAlignment="0" applyProtection="0"/>
    <xf numFmtId="191" fontId="139" fillId="0" borderId="0" applyNumberFormat="0" applyFill="0" applyBorder="0" applyAlignment="0" applyProtection="0"/>
    <xf numFmtId="192" fontId="110" fillId="0" borderId="34" applyFill="0"/>
    <xf numFmtId="191" fontId="119" fillId="0" borderId="59" applyNumberFormat="0" applyFill="0" applyAlignment="0" applyProtection="0"/>
    <xf numFmtId="191" fontId="119" fillId="0" borderId="59" applyNumberFormat="0" applyFill="0" applyAlignment="0" applyProtection="0"/>
    <xf numFmtId="37" fontId="110" fillId="0" borderId="38" applyNumberFormat="0" applyFill="0"/>
    <xf numFmtId="165" fontId="84" fillId="0" borderId="0" applyFont="0" applyFill="0" applyBorder="0" applyAlignment="0" applyProtection="0"/>
    <xf numFmtId="167" fontId="84" fillId="0" borderId="0" applyFont="0" applyFill="0" applyBorder="0" applyAlignment="0" applyProtection="0"/>
    <xf numFmtId="191" fontId="141" fillId="0" borderId="0" applyNumberFormat="0" applyFill="0" applyBorder="0" applyAlignment="0" applyProtection="0"/>
    <xf numFmtId="191" fontId="141" fillId="0" borderId="0" applyNumberFormat="0" applyFill="0" applyBorder="0" applyAlignment="0" applyProtection="0"/>
    <xf numFmtId="191" fontId="84" fillId="72" borderId="0" applyNumberFormat="0" applyFont="0" applyBorder="0" applyAlignment="0" applyProtection="0"/>
    <xf numFmtId="191" fontId="84" fillId="72" borderId="0" applyNumberFormat="0" applyFont="0" applyBorder="0" applyAlignment="0" applyProtection="0"/>
    <xf numFmtId="191" fontId="84" fillId="72" borderId="0" applyNumberFormat="0" applyFont="0" applyBorder="0" applyAlignment="0" applyProtection="0"/>
    <xf numFmtId="191" fontId="84" fillId="72" borderId="0" applyNumberFormat="0" applyFont="0" applyBorder="0" applyAlignment="0" applyProtection="0"/>
    <xf numFmtId="191" fontId="84" fillId="72" borderId="0" applyNumberFormat="0" applyFont="0" applyBorder="0" applyAlignment="0" applyProtection="0"/>
    <xf numFmtId="191" fontId="84" fillId="72" borderId="0" applyNumberFormat="0" applyFont="0" applyBorder="0" applyAlignment="0" applyProtection="0"/>
    <xf numFmtId="191" fontId="84" fillId="72" borderId="0" applyNumberFormat="0" applyFont="0" applyBorder="0" applyAlignment="0" applyProtection="0"/>
    <xf numFmtId="191" fontId="84" fillId="72" borderId="0" applyNumberFormat="0" applyFont="0" applyBorder="0" applyAlignment="0" applyProtection="0"/>
    <xf numFmtId="191" fontId="84" fillId="72" borderId="0" applyNumberFormat="0" applyFont="0" applyBorder="0" applyAlignment="0" applyProtection="0"/>
    <xf numFmtId="10" fontId="107" fillId="0" borderId="0" applyFont="0" applyFill="0" applyBorder="0" applyAlignment="0" applyProtection="0">
      <alignment vertical="center"/>
    </xf>
    <xf numFmtId="0" fontId="1" fillId="0" borderId="0"/>
    <xf numFmtId="0" fontId="10" fillId="0" borderId="0"/>
    <xf numFmtId="191" fontId="23" fillId="35" borderId="61">
      <alignment vertical="center"/>
      <protection locked="0"/>
    </xf>
    <xf numFmtId="195" fontId="23" fillId="75" borderId="61">
      <alignment horizontal="right" vertical="center"/>
      <protection locked="0"/>
    </xf>
    <xf numFmtId="4" fontId="130" fillId="6" borderId="63" applyNumberFormat="0" applyProtection="0">
      <alignment horizontal="left" vertical="center" indent="1"/>
    </xf>
    <xf numFmtId="170" fontId="23" fillId="35" borderId="61">
      <alignment vertical="center"/>
      <protection locked="0"/>
    </xf>
    <xf numFmtId="191" fontId="84" fillId="0" borderId="0">
      <alignment vertical="center"/>
    </xf>
    <xf numFmtId="191" fontId="131" fillId="68" borderId="75" applyNumberFormat="0" applyAlignment="0" applyProtection="0"/>
    <xf numFmtId="191" fontId="131" fillId="68" borderId="75" applyNumberFormat="0" applyAlignment="0" applyProtection="0"/>
    <xf numFmtId="191" fontId="130" fillId="64" borderId="74" applyNumberFormat="0" applyFont="0" applyAlignment="0" applyProtection="0"/>
    <xf numFmtId="191" fontId="130" fillId="64" borderId="74" applyNumberFormat="0" applyFont="0" applyAlignment="0" applyProtection="0"/>
    <xf numFmtId="191" fontId="130" fillId="64" borderId="74" applyNumberFormat="0" applyFont="0" applyAlignment="0" applyProtection="0"/>
    <xf numFmtId="191" fontId="130" fillId="64" borderId="74" applyNumberFormat="0" applyFont="0" applyAlignment="0" applyProtection="0"/>
    <xf numFmtId="191" fontId="130" fillId="64" borderId="74" applyNumberFormat="0" applyFont="0" applyAlignment="0" applyProtection="0"/>
    <xf numFmtId="191" fontId="130" fillId="64" borderId="74" applyNumberFormat="0" applyFont="0" applyAlignment="0" applyProtection="0"/>
    <xf numFmtId="191" fontId="130" fillId="64" borderId="74" applyNumberFormat="0" applyFont="0" applyAlignment="0" applyProtection="0"/>
    <xf numFmtId="191" fontId="130" fillId="64" borderId="74" applyNumberFormat="0" applyFont="0" applyAlignment="0" applyProtection="0"/>
    <xf numFmtId="191" fontId="130" fillId="64" borderId="74" applyNumberFormat="0" applyFont="0" applyAlignment="0" applyProtection="0"/>
    <xf numFmtId="191" fontId="131" fillId="68" borderId="91" applyNumberFormat="0" applyAlignment="0" applyProtection="0"/>
    <xf numFmtId="191" fontId="131" fillId="68" borderId="91" applyNumberFormat="0" applyAlignment="0" applyProtection="0"/>
    <xf numFmtId="191" fontId="130" fillId="64" borderId="90" applyNumberFormat="0" applyFont="0" applyAlignment="0" applyProtection="0"/>
    <xf numFmtId="191" fontId="130" fillId="64" borderId="90" applyNumberFormat="0" applyFont="0" applyAlignment="0" applyProtection="0"/>
    <xf numFmtId="191" fontId="130" fillId="64" borderId="90" applyNumberFormat="0" applyFont="0" applyAlignment="0" applyProtection="0"/>
    <xf numFmtId="191" fontId="130" fillId="64" borderId="90" applyNumberFormat="0" applyFont="0" applyAlignment="0" applyProtection="0"/>
    <xf numFmtId="191" fontId="130" fillId="64" borderId="90" applyNumberFormat="0" applyFont="0" applyAlignment="0" applyProtection="0"/>
    <xf numFmtId="191" fontId="130" fillId="64" borderId="90" applyNumberFormat="0" applyFont="0" applyAlignment="0" applyProtection="0"/>
    <xf numFmtId="191" fontId="130" fillId="64" borderId="90" applyNumberFormat="0" applyFont="0" applyAlignment="0" applyProtection="0"/>
    <xf numFmtId="191" fontId="130" fillId="64" borderId="90" applyNumberFormat="0" applyFont="0" applyAlignment="0" applyProtection="0"/>
    <xf numFmtId="173" fontId="1" fillId="0" borderId="0"/>
    <xf numFmtId="173" fontId="68" fillId="0" borderId="0" applyNumberFormat="0" applyFill="0" applyBorder="0" applyAlignment="0" applyProtection="0">
      <alignment vertical="top"/>
      <protection locked="0"/>
    </xf>
    <xf numFmtId="191" fontId="84" fillId="0" borderId="0">
      <alignment vertical="center"/>
    </xf>
    <xf numFmtId="191" fontId="84" fillId="0" borderId="0">
      <alignment vertical="center"/>
    </xf>
    <xf numFmtId="191" fontId="117" fillId="68" borderId="66" applyNumberFormat="0" applyAlignment="0" applyProtection="0"/>
    <xf numFmtId="191" fontId="117" fillId="68" borderId="66" applyNumberFormat="0" applyAlignment="0" applyProtection="0"/>
    <xf numFmtId="191" fontId="117" fillId="68" borderId="82" applyNumberFormat="0" applyAlignment="0" applyProtection="0"/>
    <xf numFmtId="191" fontId="117" fillId="68" borderId="63" applyNumberFormat="0" applyAlignment="0" applyProtection="0"/>
    <xf numFmtId="191" fontId="117" fillId="68" borderId="63" applyNumberFormat="0" applyAlignment="0" applyProtection="0"/>
    <xf numFmtId="191" fontId="117" fillId="68" borderId="60" applyNumberFormat="0" applyAlignment="0" applyProtection="0"/>
    <xf numFmtId="191" fontId="117" fillId="68" borderId="60" applyNumberFormat="0" applyAlignment="0" applyProtection="0"/>
    <xf numFmtId="191" fontId="125" fillId="65" borderId="66" applyNumberFormat="0" applyAlignment="0" applyProtection="0"/>
    <xf numFmtId="191" fontId="125" fillId="65" borderId="66" applyNumberFormat="0" applyAlignment="0" applyProtection="0"/>
    <xf numFmtId="191" fontId="125" fillId="65" borderId="82" applyNumberFormat="0" applyAlignment="0" applyProtection="0"/>
    <xf numFmtId="191" fontId="125" fillId="65" borderId="82" applyNumberFormat="0" applyAlignment="0" applyProtection="0"/>
    <xf numFmtId="191" fontId="125" fillId="65" borderId="63" applyNumberFormat="0" applyAlignment="0" applyProtection="0"/>
    <xf numFmtId="191" fontId="125" fillId="65" borderId="63" applyNumberFormat="0" applyAlignment="0" applyProtection="0"/>
    <xf numFmtId="191" fontId="125" fillId="65" borderId="60" applyNumberFormat="0" applyAlignment="0" applyProtection="0"/>
    <xf numFmtId="191" fontId="125" fillId="65" borderId="60" applyNumberFormat="0" applyAlignment="0" applyProtection="0"/>
    <xf numFmtId="191" fontId="125" fillId="65" borderId="90" applyNumberFormat="0" applyAlignment="0" applyProtection="0"/>
    <xf numFmtId="191" fontId="125" fillId="65" borderId="90" applyNumberFormat="0" applyAlignment="0" applyProtection="0"/>
    <xf numFmtId="191" fontId="125" fillId="65" borderId="74" applyNumberFormat="0" applyAlignment="0" applyProtection="0"/>
    <xf numFmtId="191" fontId="125" fillId="65" borderId="74" applyNumberFormat="0" applyAlignment="0" applyProtection="0"/>
    <xf numFmtId="191" fontId="117" fillId="68" borderId="90" applyNumberFormat="0" applyAlignment="0" applyProtection="0"/>
    <xf numFmtId="191" fontId="117" fillId="68" borderId="74" applyNumberFormat="0" applyAlignment="0" applyProtection="0"/>
    <xf numFmtId="191" fontId="117" fillId="68" borderId="74" applyNumberFormat="0" applyAlignment="0" applyProtection="0"/>
    <xf numFmtId="191" fontId="130" fillId="64" borderId="82" applyNumberFormat="0" applyFont="0" applyAlignment="0" applyProtection="0"/>
    <xf numFmtId="191" fontId="130" fillId="64" borderId="82" applyNumberFormat="0" applyFont="0" applyAlignment="0" applyProtection="0"/>
    <xf numFmtId="191" fontId="130" fillId="64" borderId="82" applyNumberFormat="0" applyFont="0" applyAlignment="0" applyProtection="0"/>
    <xf numFmtId="191" fontId="130" fillId="64" borderId="82" applyNumberFormat="0" applyFont="0" applyAlignment="0" applyProtection="0"/>
    <xf numFmtId="191" fontId="130" fillId="64" borderId="82" applyNumberFormat="0" applyFont="0" applyAlignment="0" applyProtection="0"/>
    <xf numFmtId="191" fontId="131" fillId="68" borderId="83" applyNumberFormat="0" applyAlignment="0" applyProtection="0"/>
    <xf numFmtId="191" fontId="131" fillId="68" borderId="83" applyNumberFormat="0" applyAlignment="0" applyProtection="0"/>
    <xf numFmtId="191" fontId="130" fillId="64" borderId="66" applyNumberFormat="0" applyFont="0" applyAlignment="0" applyProtection="0"/>
    <xf numFmtId="191" fontId="130" fillId="64" borderId="66" applyNumberFormat="0" applyFont="0" applyAlignment="0" applyProtection="0"/>
    <xf numFmtId="191" fontId="130" fillId="64" borderId="66" applyNumberFormat="0" applyFont="0" applyAlignment="0" applyProtection="0"/>
    <xf numFmtId="191" fontId="130" fillId="64" borderId="66" applyNumberFormat="0" applyFont="0" applyAlignment="0" applyProtection="0"/>
    <xf numFmtId="191" fontId="130" fillId="64" borderId="66" applyNumberFormat="0" applyFont="0" applyAlignment="0" applyProtection="0"/>
    <xf numFmtId="191" fontId="130" fillId="64" borderId="66" applyNumberFormat="0" applyFont="0" applyAlignment="0" applyProtection="0"/>
    <xf numFmtId="191" fontId="130" fillId="64" borderId="66" applyNumberFormat="0" applyFont="0" applyAlignment="0" applyProtection="0"/>
    <xf numFmtId="191" fontId="130" fillId="64" borderId="66" applyNumberFormat="0" applyFont="0" applyAlignment="0" applyProtection="0"/>
    <xf numFmtId="191" fontId="130" fillId="64" borderId="66" applyNumberFormat="0" applyFont="0" applyAlignment="0" applyProtection="0"/>
    <xf numFmtId="191" fontId="131" fillId="68" borderId="67" applyNumberFormat="0" applyAlignment="0" applyProtection="0"/>
    <xf numFmtId="191" fontId="131" fillId="68" borderId="67" applyNumberFormat="0" applyAlignment="0" applyProtection="0"/>
    <xf numFmtId="4" fontId="130" fillId="76" borderId="82" applyNumberFormat="0" applyProtection="0">
      <alignment vertical="center"/>
    </xf>
    <xf numFmtId="4" fontId="133" fillId="6" borderId="82" applyNumberFormat="0" applyProtection="0">
      <alignment vertical="center"/>
    </xf>
    <xf numFmtId="4" fontId="130" fillId="6" borderId="82" applyNumberFormat="0" applyProtection="0">
      <alignment horizontal="left" vertical="center" indent="1"/>
    </xf>
    <xf numFmtId="191" fontId="134" fillId="76" borderId="84" applyNumberFormat="0" applyProtection="0">
      <alignment horizontal="left" vertical="top" indent="1"/>
    </xf>
    <xf numFmtId="4" fontId="130" fillId="77" borderId="82" applyNumberFormat="0" applyProtection="0">
      <alignment horizontal="left" vertical="center" indent="1"/>
    </xf>
    <xf numFmtId="4" fontId="130" fillId="78" borderId="82" applyNumberFormat="0" applyProtection="0">
      <alignment horizontal="right" vertical="center"/>
    </xf>
    <xf numFmtId="4" fontId="130" fillId="79" borderId="82" applyNumberFormat="0" applyProtection="0">
      <alignment horizontal="right" vertical="center"/>
    </xf>
    <xf numFmtId="4" fontId="130" fillId="80" borderId="85" applyNumberFormat="0" applyProtection="0">
      <alignment horizontal="right" vertical="center"/>
    </xf>
    <xf numFmtId="4" fontId="130" fillId="47" borderId="82" applyNumberFormat="0" applyProtection="0">
      <alignment horizontal="right" vertical="center"/>
    </xf>
    <xf numFmtId="4" fontId="130" fillId="81" borderId="82" applyNumberFormat="0" applyProtection="0">
      <alignment horizontal="right" vertical="center"/>
    </xf>
    <xf numFmtId="4" fontId="130" fillId="82" borderId="82" applyNumberFormat="0" applyProtection="0">
      <alignment horizontal="right" vertical="center"/>
    </xf>
    <xf numFmtId="4" fontId="130" fillId="76" borderId="66" applyNumberFormat="0" applyProtection="0">
      <alignment vertical="center"/>
    </xf>
    <xf numFmtId="4" fontId="133" fillId="6" borderId="66" applyNumberFormat="0" applyProtection="0">
      <alignment vertical="center"/>
    </xf>
    <xf numFmtId="4" fontId="130" fillId="6" borderId="66" applyNumberFormat="0" applyProtection="0">
      <alignment horizontal="left" vertical="center" indent="1"/>
    </xf>
    <xf numFmtId="191" fontId="134" fillId="76" borderId="68" applyNumberFormat="0" applyProtection="0">
      <alignment horizontal="left" vertical="top" indent="1"/>
    </xf>
    <xf numFmtId="4" fontId="130" fillId="77" borderId="66" applyNumberFormat="0" applyProtection="0">
      <alignment horizontal="left" vertical="center" indent="1"/>
    </xf>
    <xf numFmtId="4" fontId="130" fillId="78" borderId="66" applyNumberFormat="0" applyProtection="0">
      <alignment horizontal="right" vertical="center"/>
    </xf>
    <xf numFmtId="4" fontId="130" fillId="79" borderId="66" applyNumberFormat="0" applyProtection="0">
      <alignment horizontal="right" vertical="center"/>
    </xf>
    <xf numFmtId="4" fontId="130" fillId="80" borderId="69" applyNumberFormat="0" applyProtection="0">
      <alignment horizontal="right" vertical="center"/>
    </xf>
    <xf numFmtId="4" fontId="130" fillId="47" borderId="66" applyNumberFormat="0" applyProtection="0">
      <alignment horizontal="right" vertical="center"/>
    </xf>
    <xf numFmtId="4" fontId="130" fillId="82" borderId="66" applyNumberFormat="0" applyProtection="0">
      <alignment horizontal="right" vertical="center"/>
    </xf>
    <xf numFmtId="4" fontId="130" fillId="43" borderId="66" applyNumberFormat="0" applyProtection="0">
      <alignment horizontal="right" vertical="center"/>
    </xf>
    <xf numFmtId="4" fontId="130" fillId="40" borderId="66" applyNumberFormat="0" applyProtection="0">
      <alignment horizontal="right" vertical="center"/>
    </xf>
    <xf numFmtId="4" fontId="130" fillId="83" borderId="66" applyNumberFormat="0" applyProtection="0">
      <alignment horizontal="right" vertical="center"/>
    </xf>
    <xf numFmtId="4" fontId="130" fillId="84" borderId="69" applyNumberFormat="0" applyProtection="0">
      <alignment horizontal="left" vertical="center" indent="1"/>
    </xf>
    <xf numFmtId="4" fontId="84" fillId="45" borderId="69" applyNumberFormat="0" applyProtection="0">
      <alignment horizontal="left" vertical="center" indent="1"/>
    </xf>
    <xf numFmtId="4" fontId="84" fillId="45" borderId="69" applyNumberFormat="0" applyProtection="0">
      <alignment horizontal="left" vertical="center" indent="1"/>
    </xf>
    <xf numFmtId="4" fontId="130" fillId="39" borderId="66" applyNumberFormat="0" applyProtection="0">
      <alignment horizontal="right" vertical="center"/>
    </xf>
    <xf numFmtId="4" fontId="130" fillId="38" borderId="69" applyNumberFormat="0" applyProtection="0">
      <alignment horizontal="left" vertical="center" indent="1"/>
    </xf>
    <xf numFmtId="191" fontId="130" fillId="64" borderId="63" applyNumberFormat="0" applyFont="0" applyAlignment="0" applyProtection="0"/>
    <xf numFmtId="191" fontId="130" fillId="64" borderId="63" applyNumberFormat="0" applyFont="0" applyAlignment="0" applyProtection="0"/>
    <xf numFmtId="191" fontId="130" fillId="64" borderId="63" applyNumberFormat="0" applyFont="0" applyAlignment="0" applyProtection="0"/>
    <xf numFmtId="191" fontId="130" fillId="64" borderId="63" applyNumberFormat="0" applyFont="0" applyAlignment="0" applyProtection="0"/>
    <xf numFmtId="191" fontId="130" fillId="64" borderId="63" applyNumberFormat="0" applyFont="0" applyAlignment="0" applyProtection="0"/>
    <xf numFmtId="191" fontId="130" fillId="64" borderId="63" applyNumberFormat="0" applyFont="0" applyAlignment="0" applyProtection="0"/>
    <xf numFmtId="191" fontId="130" fillId="64" borderId="63" applyNumberFormat="0" applyFont="0" applyAlignment="0" applyProtection="0"/>
    <xf numFmtId="191" fontId="130" fillId="64" borderId="63" applyNumberFormat="0" applyFont="0" applyAlignment="0" applyProtection="0"/>
    <xf numFmtId="191" fontId="130" fillId="64" borderId="63" applyNumberFormat="0" applyFont="0" applyAlignment="0" applyProtection="0"/>
    <xf numFmtId="4" fontId="130" fillId="39" borderId="69" applyNumberFormat="0" applyProtection="0">
      <alignment horizontal="left" vertical="center" indent="1"/>
    </xf>
    <xf numFmtId="4" fontId="130" fillId="40" borderId="82" applyNumberFormat="0" applyProtection="0">
      <alignment horizontal="right" vertical="center"/>
    </xf>
    <xf numFmtId="191" fontId="130" fillId="34" borderId="66" applyNumberFormat="0" applyProtection="0">
      <alignment horizontal="left" vertical="center" indent="1"/>
    </xf>
    <xf numFmtId="191" fontId="84" fillId="45" borderId="68" applyNumberFormat="0" applyProtection="0">
      <alignment horizontal="left" vertical="center" indent="1"/>
    </xf>
    <xf numFmtId="191" fontId="130" fillId="45" borderId="68" applyNumberFormat="0" applyProtection="0">
      <alignment horizontal="left" vertical="top" indent="1"/>
    </xf>
    <xf numFmtId="191" fontId="84" fillId="45" borderId="68" applyNumberFormat="0" applyProtection="0">
      <alignment horizontal="left" vertical="top" indent="1"/>
    </xf>
    <xf numFmtId="191" fontId="130" fillId="45" borderId="68" applyNumberFormat="0" applyProtection="0">
      <alignment horizontal="left" vertical="top" indent="1"/>
    </xf>
    <xf numFmtId="191" fontId="84" fillId="0" borderId="0">
      <alignment vertical="center"/>
    </xf>
    <xf numFmtId="191" fontId="130" fillId="45" borderId="68" applyNumberFormat="0" applyProtection="0">
      <alignment horizontal="left" vertical="top" indent="1"/>
    </xf>
    <xf numFmtId="191" fontId="130" fillId="45" borderId="68" applyNumberFormat="0" applyProtection="0">
      <alignment horizontal="left" vertical="top" indent="1"/>
    </xf>
    <xf numFmtId="191" fontId="130" fillId="45" borderId="68" applyNumberFormat="0" applyProtection="0">
      <alignment horizontal="left" vertical="top" indent="1"/>
    </xf>
    <xf numFmtId="191" fontId="130" fillId="45" borderId="68" applyNumberFormat="0" applyProtection="0">
      <alignment horizontal="left" vertical="top" indent="1"/>
    </xf>
    <xf numFmtId="191" fontId="130" fillId="85" borderId="66" applyNumberFormat="0" applyProtection="0">
      <alignment horizontal="left" vertical="center" indent="1"/>
    </xf>
    <xf numFmtId="191" fontId="84" fillId="39" borderId="68" applyNumberFormat="0" applyProtection="0">
      <alignment horizontal="left" vertical="center" indent="1"/>
    </xf>
    <xf numFmtId="191" fontId="130" fillId="39" borderId="68" applyNumberFormat="0" applyProtection="0">
      <alignment horizontal="left" vertical="top" indent="1"/>
    </xf>
    <xf numFmtId="191" fontId="130" fillId="39" borderId="68" applyNumberFormat="0" applyProtection="0">
      <alignment horizontal="left" vertical="top" indent="1"/>
    </xf>
    <xf numFmtId="191" fontId="130" fillId="39" borderId="68" applyNumberFormat="0" applyProtection="0">
      <alignment horizontal="left" vertical="top" indent="1"/>
    </xf>
    <xf numFmtId="191" fontId="130" fillId="39" borderId="68" applyNumberFormat="0" applyProtection="0">
      <alignment horizontal="left" vertical="top" indent="1"/>
    </xf>
    <xf numFmtId="191" fontId="130" fillId="39" borderId="68" applyNumberFormat="0" applyProtection="0">
      <alignment horizontal="left" vertical="top" indent="1"/>
    </xf>
    <xf numFmtId="191" fontId="130" fillId="39" borderId="68" applyNumberFormat="0" applyProtection="0">
      <alignment horizontal="left" vertical="top" indent="1"/>
    </xf>
    <xf numFmtId="191" fontId="130" fillId="39" borderId="68" applyNumberFormat="0" applyProtection="0">
      <alignment horizontal="left" vertical="top" indent="1"/>
    </xf>
    <xf numFmtId="194" fontId="23" fillId="73" borderId="61">
      <alignment vertical="center"/>
    </xf>
    <xf numFmtId="195" fontId="23" fillId="73" borderId="61">
      <alignment vertical="center"/>
    </xf>
    <xf numFmtId="195" fontId="23" fillId="73" borderId="61">
      <alignment vertical="center"/>
    </xf>
    <xf numFmtId="191" fontId="23" fillId="73" borderId="61">
      <alignment vertical="center"/>
    </xf>
    <xf numFmtId="191" fontId="23" fillId="73" borderId="61">
      <alignment vertical="center"/>
    </xf>
    <xf numFmtId="191" fontId="23" fillId="73" borderId="61">
      <alignment vertical="center"/>
    </xf>
    <xf numFmtId="191" fontId="23" fillId="73" borderId="61">
      <alignment vertical="center"/>
    </xf>
    <xf numFmtId="174" fontId="23" fillId="73" borderId="61">
      <alignment vertical="center"/>
    </xf>
    <xf numFmtId="174" fontId="23" fillId="73" borderId="61">
      <alignment vertical="center"/>
    </xf>
    <xf numFmtId="194" fontId="23" fillId="73" borderId="61">
      <alignment vertical="center"/>
    </xf>
    <xf numFmtId="191" fontId="130" fillId="86" borderId="66" applyNumberFormat="0" applyProtection="0">
      <alignment horizontal="left" vertical="center" indent="1"/>
    </xf>
    <xf numFmtId="191" fontId="84" fillId="86" borderId="68" applyNumberFormat="0" applyProtection="0">
      <alignment horizontal="left" vertical="center" indent="1"/>
    </xf>
    <xf numFmtId="195" fontId="23" fillId="35" borderId="61">
      <alignment vertical="center"/>
      <protection locked="0"/>
    </xf>
    <xf numFmtId="197" fontId="23" fillId="35" borderId="61">
      <alignment vertical="center"/>
      <protection locked="0"/>
    </xf>
    <xf numFmtId="191" fontId="23" fillId="35" borderId="61">
      <alignment vertical="center"/>
      <protection locked="0"/>
    </xf>
    <xf numFmtId="191" fontId="23" fillId="35" borderId="61">
      <alignment vertical="center"/>
      <protection locked="0"/>
    </xf>
    <xf numFmtId="197" fontId="23" fillId="35" borderId="61">
      <alignment vertical="center"/>
      <protection locked="0"/>
    </xf>
    <xf numFmtId="191" fontId="130" fillId="64" borderId="60" applyNumberFormat="0" applyFont="0" applyAlignment="0" applyProtection="0"/>
    <xf numFmtId="191" fontId="130" fillId="64" borderId="60" applyNumberFormat="0" applyFont="0" applyAlignment="0" applyProtection="0"/>
    <xf numFmtId="191" fontId="130" fillId="64" borderId="60" applyNumberFormat="0" applyFont="0" applyAlignment="0" applyProtection="0"/>
    <xf numFmtId="191" fontId="130" fillId="64" borderId="60" applyNumberFormat="0" applyFont="0" applyAlignment="0" applyProtection="0"/>
    <xf numFmtId="191" fontId="130" fillId="64" borderId="60" applyNumberFormat="0" applyFont="0" applyAlignment="0" applyProtection="0"/>
    <xf numFmtId="191" fontId="130" fillId="64" borderId="60" applyNumberFormat="0" applyFont="0" applyAlignment="0" applyProtection="0"/>
    <xf numFmtId="191" fontId="130" fillId="64" borderId="60" applyNumberFormat="0" applyFont="0" applyAlignment="0" applyProtection="0"/>
    <xf numFmtId="191" fontId="130" fillId="64" borderId="60" applyNumberFormat="0" applyFont="0" applyAlignment="0" applyProtection="0"/>
    <xf numFmtId="191" fontId="130" fillId="64" borderId="60" applyNumberFormat="0" applyFont="0" applyAlignment="0" applyProtection="0"/>
    <xf numFmtId="197" fontId="23" fillId="35" borderId="61">
      <alignment vertical="center"/>
      <protection locked="0"/>
    </xf>
    <xf numFmtId="191" fontId="23" fillId="35" borderId="61">
      <alignment vertical="center"/>
      <protection locked="0"/>
    </xf>
    <xf numFmtId="197" fontId="23" fillId="35" borderId="61">
      <alignment vertical="center"/>
      <protection locked="0"/>
    </xf>
    <xf numFmtId="195" fontId="23" fillId="35" borderId="61">
      <alignment vertical="center"/>
      <protection locked="0"/>
    </xf>
    <xf numFmtId="195" fontId="23" fillId="35" borderId="61">
      <alignment vertical="center"/>
      <protection locked="0"/>
    </xf>
    <xf numFmtId="170" fontId="23" fillId="35" borderId="61">
      <alignment vertical="center"/>
      <protection locked="0"/>
    </xf>
    <xf numFmtId="170" fontId="23" fillId="35" borderId="61">
      <alignment vertical="center"/>
      <protection locked="0"/>
    </xf>
    <xf numFmtId="170" fontId="23" fillId="35" borderId="61">
      <alignment vertical="center"/>
      <protection locked="0"/>
    </xf>
    <xf numFmtId="195" fontId="23" fillId="35" borderId="61">
      <alignment vertical="center"/>
      <protection locked="0"/>
    </xf>
    <xf numFmtId="195" fontId="23" fillId="74" borderId="61">
      <alignment vertical="center"/>
    </xf>
    <xf numFmtId="195" fontId="23" fillId="74" borderId="61">
      <alignment vertical="center"/>
    </xf>
    <xf numFmtId="197" fontId="23" fillId="74" borderId="61">
      <alignment vertical="center"/>
    </xf>
    <xf numFmtId="197" fontId="23" fillId="74" borderId="61">
      <alignment vertical="center"/>
    </xf>
    <xf numFmtId="197" fontId="23" fillId="74" borderId="61">
      <alignment vertical="center"/>
    </xf>
    <xf numFmtId="174" fontId="23" fillId="74" borderId="61">
      <alignment vertical="center"/>
    </xf>
    <xf numFmtId="194" fontId="23" fillId="74" borderId="61">
      <alignment vertical="center"/>
    </xf>
    <xf numFmtId="191" fontId="23" fillId="74" borderId="61">
      <alignment vertical="center"/>
    </xf>
    <xf numFmtId="191" fontId="23" fillId="74" borderId="61">
      <alignment vertical="center"/>
    </xf>
    <xf numFmtId="191" fontId="23" fillId="74" borderId="61">
      <alignment vertical="center"/>
    </xf>
    <xf numFmtId="191" fontId="23" fillId="74" borderId="61">
      <alignment vertical="center"/>
    </xf>
    <xf numFmtId="195" fontId="23" fillId="74" borderId="61">
      <alignment vertical="center"/>
    </xf>
    <xf numFmtId="195" fontId="23" fillId="74" borderId="61">
      <alignment vertical="center"/>
    </xf>
    <xf numFmtId="195" fontId="23" fillId="74" borderId="61">
      <alignment vertical="center"/>
    </xf>
    <xf numFmtId="195" fontId="23" fillId="74" borderId="61">
      <alignment vertical="center"/>
    </xf>
    <xf numFmtId="191" fontId="23" fillId="75" borderId="61">
      <alignment horizontal="right" vertical="center"/>
      <protection locked="0"/>
    </xf>
    <xf numFmtId="191" fontId="23" fillId="75" borderId="61">
      <alignment horizontal="right" vertical="center"/>
      <protection locked="0"/>
    </xf>
    <xf numFmtId="194" fontId="23" fillId="75" borderId="61">
      <alignment horizontal="right" vertical="center"/>
      <protection locked="0"/>
    </xf>
    <xf numFmtId="174" fontId="23" fillId="75" borderId="61">
      <alignment horizontal="right" vertical="center"/>
      <protection locked="0"/>
    </xf>
    <xf numFmtId="194" fontId="23" fillId="75" borderId="61">
      <alignment horizontal="right" vertical="center"/>
      <protection locked="0"/>
    </xf>
    <xf numFmtId="195" fontId="23" fillId="75" borderId="61">
      <alignment horizontal="right" vertical="center"/>
      <protection locked="0"/>
    </xf>
    <xf numFmtId="195" fontId="23" fillId="75" borderId="61">
      <alignment horizontal="right" vertical="center"/>
      <protection locked="0"/>
    </xf>
    <xf numFmtId="195" fontId="23" fillId="75" borderId="61">
      <alignment horizontal="right" vertical="center"/>
      <protection locked="0"/>
    </xf>
    <xf numFmtId="4" fontId="130" fillId="76" borderId="63" applyNumberFormat="0" applyProtection="0">
      <alignment vertical="center"/>
    </xf>
    <xf numFmtId="4" fontId="133" fillId="6" borderId="63" applyNumberFormat="0" applyProtection="0">
      <alignment vertical="center"/>
    </xf>
    <xf numFmtId="191" fontId="130" fillId="86" borderId="68" applyNumberFormat="0" applyProtection="0">
      <alignment horizontal="left" vertical="top" indent="1"/>
    </xf>
    <xf numFmtId="4" fontId="130" fillId="77" borderId="63" applyNumberFormat="0" applyProtection="0">
      <alignment horizontal="left" vertical="center" indent="1"/>
    </xf>
    <xf numFmtId="4" fontId="130" fillId="78" borderId="63" applyNumberFormat="0" applyProtection="0">
      <alignment horizontal="right" vertical="center"/>
    </xf>
    <xf numFmtId="4" fontId="130" fillId="79" borderId="63" applyNumberFormat="0" applyProtection="0">
      <alignment horizontal="right" vertical="center"/>
    </xf>
    <xf numFmtId="191" fontId="84" fillId="86" borderId="68" applyNumberFormat="0" applyProtection="0">
      <alignment horizontal="left" vertical="top" indent="1"/>
    </xf>
    <xf numFmtId="4" fontId="130" fillId="47" borderId="63" applyNumberFormat="0" applyProtection="0">
      <alignment horizontal="right" vertical="center"/>
    </xf>
    <xf numFmtId="4" fontId="130" fillId="81" borderId="63" applyNumberFormat="0" applyProtection="0">
      <alignment horizontal="right" vertical="center"/>
    </xf>
    <xf numFmtId="4" fontId="130" fillId="43" borderId="63" applyNumberFormat="0" applyProtection="0">
      <alignment horizontal="right" vertical="center"/>
    </xf>
    <xf numFmtId="4" fontId="130" fillId="40" borderId="63" applyNumberFormat="0" applyProtection="0">
      <alignment horizontal="right" vertical="center"/>
    </xf>
    <xf numFmtId="4" fontId="130" fillId="83" borderId="63" applyNumberFormat="0" applyProtection="0">
      <alignment horizontal="right" vertical="center"/>
    </xf>
    <xf numFmtId="191" fontId="130" fillId="86" borderId="68" applyNumberFormat="0" applyProtection="0">
      <alignment horizontal="left" vertical="top" indent="1"/>
    </xf>
    <xf numFmtId="191" fontId="130" fillId="86" borderId="68" applyNumberFormat="0" applyProtection="0">
      <alignment horizontal="left" vertical="top" indent="1"/>
    </xf>
    <xf numFmtId="191" fontId="130" fillId="86" borderId="68" applyNumberFormat="0" applyProtection="0">
      <alignment horizontal="left" vertical="top" indent="1"/>
    </xf>
    <xf numFmtId="4" fontId="130" fillId="39" borderId="63" applyNumberFormat="0" applyProtection="0">
      <alignment horizontal="right" vertical="center"/>
    </xf>
    <xf numFmtId="191" fontId="130" fillId="86" borderId="68" applyNumberFormat="0" applyProtection="0">
      <alignment horizontal="left" vertical="top" indent="1"/>
    </xf>
    <xf numFmtId="191" fontId="130" fillId="86" borderId="68" applyNumberFormat="0" applyProtection="0">
      <alignment horizontal="left" vertical="top" indent="1"/>
    </xf>
    <xf numFmtId="191" fontId="130" fillId="86" borderId="68" applyNumberFormat="0" applyProtection="0">
      <alignment horizontal="left" vertical="top" indent="1"/>
    </xf>
    <xf numFmtId="191" fontId="130" fillId="86" borderId="68" applyNumberFormat="0" applyProtection="0">
      <alignment horizontal="left" vertical="top" indent="1"/>
    </xf>
    <xf numFmtId="191" fontId="130" fillId="86" borderId="68" applyNumberFormat="0" applyProtection="0">
      <alignment horizontal="left" vertical="top" indent="1"/>
    </xf>
    <xf numFmtId="191" fontId="130" fillId="34" borderId="63" applyNumberFormat="0" applyProtection="0">
      <alignment horizontal="left" vertical="center" indent="1"/>
    </xf>
    <xf numFmtId="191" fontId="130" fillId="38" borderId="66" applyNumberFormat="0" applyProtection="0">
      <alignment horizontal="left" vertical="center" indent="1"/>
    </xf>
    <xf numFmtId="191" fontId="84" fillId="38" borderId="68" applyNumberFormat="0" applyProtection="0">
      <alignment horizontal="left" vertical="center" indent="1"/>
    </xf>
    <xf numFmtId="191" fontId="130" fillId="38" borderId="68" applyNumberFormat="0" applyProtection="0">
      <alignment horizontal="left" vertical="top" indent="1"/>
    </xf>
    <xf numFmtId="191" fontId="84" fillId="38" borderId="68" applyNumberFormat="0" applyProtection="0">
      <alignment horizontal="left" vertical="top" indent="1"/>
    </xf>
    <xf numFmtId="191" fontId="130" fillId="38" borderId="68" applyNumberFormat="0" applyProtection="0">
      <alignment horizontal="left" vertical="top" indent="1"/>
    </xf>
    <xf numFmtId="191" fontId="84" fillId="0" borderId="0">
      <alignment vertical="center"/>
    </xf>
    <xf numFmtId="191" fontId="130" fillId="38" borderId="68" applyNumberFormat="0" applyProtection="0">
      <alignment horizontal="left" vertical="top" indent="1"/>
    </xf>
    <xf numFmtId="191" fontId="130" fillId="38" borderId="68" applyNumberFormat="0" applyProtection="0">
      <alignment horizontal="left" vertical="top" indent="1"/>
    </xf>
    <xf numFmtId="191" fontId="130" fillId="38" borderId="68" applyNumberFormat="0" applyProtection="0">
      <alignment horizontal="left" vertical="top" indent="1"/>
    </xf>
    <xf numFmtId="191" fontId="130" fillId="38" borderId="68" applyNumberFormat="0" applyProtection="0">
      <alignment horizontal="left" vertical="top" indent="1"/>
    </xf>
    <xf numFmtId="191" fontId="130" fillId="38" borderId="68" applyNumberFormat="0" applyProtection="0">
      <alignment horizontal="left" vertical="top" indent="1"/>
    </xf>
    <xf numFmtId="191" fontId="130" fillId="85" borderId="63" applyNumberFormat="0" applyProtection="0">
      <alignment horizontal="left" vertical="center" indent="1"/>
    </xf>
    <xf numFmtId="191" fontId="130" fillId="38" borderId="68" applyNumberFormat="0" applyProtection="0">
      <alignment horizontal="left" vertical="top" indent="1"/>
    </xf>
    <xf numFmtId="4" fontId="84" fillId="45" borderId="85" applyNumberFormat="0" applyProtection="0">
      <alignment horizontal="left" vertical="center" indent="1"/>
    </xf>
    <xf numFmtId="4" fontId="84" fillId="45" borderId="85" applyNumberFormat="0" applyProtection="0">
      <alignment horizontal="left" vertical="center" indent="1"/>
    </xf>
    <xf numFmtId="4" fontId="130" fillId="39" borderId="82" applyNumberFormat="0" applyProtection="0">
      <alignment horizontal="right" vertical="center"/>
    </xf>
    <xf numFmtId="4" fontId="130" fillId="38" borderId="85" applyNumberFormat="0" applyProtection="0">
      <alignment horizontal="left" vertical="center" indent="1"/>
    </xf>
    <xf numFmtId="4" fontId="130" fillId="39" borderId="85" applyNumberFormat="0" applyProtection="0">
      <alignment horizontal="left" vertical="center" indent="1"/>
    </xf>
    <xf numFmtId="4" fontId="130" fillId="76" borderId="60" applyNumberFormat="0" applyProtection="0">
      <alignment vertical="center"/>
    </xf>
    <xf numFmtId="4" fontId="133" fillId="6" borderId="60" applyNumberFormat="0" applyProtection="0">
      <alignment vertical="center"/>
    </xf>
    <xf numFmtId="4" fontId="130" fillId="6" borderId="60" applyNumberFormat="0" applyProtection="0">
      <alignment horizontal="left" vertical="center" indent="1"/>
    </xf>
    <xf numFmtId="4" fontId="130" fillId="77" borderId="60" applyNumberFormat="0" applyProtection="0">
      <alignment horizontal="left" vertical="center" indent="1"/>
    </xf>
    <xf numFmtId="4" fontId="130" fillId="78" borderId="60" applyNumberFormat="0" applyProtection="0">
      <alignment horizontal="right" vertical="center"/>
    </xf>
    <xf numFmtId="4" fontId="130" fillId="79" borderId="60" applyNumberFormat="0" applyProtection="0">
      <alignment horizontal="right" vertical="center"/>
    </xf>
    <xf numFmtId="191" fontId="130" fillId="86" borderId="63" applyNumberFormat="0" applyProtection="0">
      <alignment horizontal="left" vertical="center" indent="1"/>
    </xf>
    <xf numFmtId="4" fontId="130" fillId="47" borderId="60" applyNumberFormat="0" applyProtection="0">
      <alignment horizontal="right" vertical="center"/>
    </xf>
    <xf numFmtId="4" fontId="130" fillId="81" borderId="60" applyNumberFormat="0" applyProtection="0">
      <alignment horizontal="right" vertical="center"/>
    </xf>
    <xf numFmtId="4" fontId="130" fillId="82" borderId="60" applyNumberFormat="0" applyProtection="0">
      <alignment horizontal="right" vertical="center"/>
    </xf>
    <xf numFmtId="4" fontId="130" fillId="43" borderId="60" applyNumberFormat="0" applyProtection="0">
      <alignment horizontal="right" vertical="center"/>
    </xf>
    <xf numFmtId="4" fontId="130" fillId="40" borderId="60" applyNumberFormat="0" applyProtection="0">
      <alignment horizontal="right" vertical="center"/>
    </xf>
    <xf numFmtId="4" fontId="130" fillId="83" borderId="60" applyNumberFormat="0" applyProtection="0">
      <alignment horizontal="right" vertical="center"/>
    </xf>
    <xf numFmtId="191" fontId="135" fillId="45" borderId="70" applyBorder="0"/>
    <xf numFmtId="4" fontId="130" fillId="39" borderId="60" applyNumberFormat="0" applyProtection="0">
      <alignment horizontal="right" vertical="center"/>
    </xf>
    <xf numFmtId="4" fontId="136" fillId="72" borderId="68" applyNumberFormat="0" applyProtection="0">
      <alignment vertical="center"/>
    </xf>
    <xf numFmtId="4" fontId="136" fillId="34" borderId="68" applyNumberFormat="0" applyProtection="0">
      <alignment horizontal="left" vertical="center" indent="1"/>
    </xf>
    <xf numFmtId="191" fontId="136" fillId="72" borderId="68" applyNumberFormat="0" applyProtection="0">
      <alignment horizontal="left" vertical="top" indent="1"/>
    </xf>
    <xf numFmtId="4" fontId="130" fillId="0" borderId="66" applyNumberFormat="0" applyProtection="0">
      <alignment horizontal="right" vertical="center"/>
    </xf>
    <xf numFmtId="4" fontId="133" fillId="3" borderId="66" applyNumberFormat="0" applyProtection="0">
      <alignment horizontal="right" vertical="center"/>
    </xf>
    <xf numFmtId="191" fontId="130" fillId="34" borderId="60" applyNumberFormat="0" applyProtection="0">
      <alignment horizontal="left" vertical="center" indent="1"/>
    </xf>
    <xf numFmtId="4" fontId="130" fillId="77" borderId="66" applyNumberFormat="0" applyProtection="0">
      <alignment horizontal="left" vertical="center" indent="1"/>
    </xf>
    <xf numFmtId="191" fontId="136" fillId="39" borderId="68" applyNumberFormat="0" applyProtection="0">
      <alignment horizontal="left" vertical="top" indent="1"/>
    </xf>
    <xf numFmtId="4" fontId="137" fillId="88" borderId="69" applyNumberFormat="0" applyProtection="0">
      <alignment horizontal="left" vertical="center" indent="1"/>
    </xf>
    <xf numFmtId="191" fontId="130" fillId="38" borderId="63" applyNumberFormat="0" applyProtection="0">
      <alignment horizontal="left" vertical="center" indent="1"/>
    </xf>
    <xf numFmtId="4" fontId="138" fillId="87" borderId="66" applyNumberFormat="0" applyProtection="0">
      <alignment horizontal="right" vertical="center"/>
    </xf>
    <xf numFmtId="37" fontId="110" fillId="0" borderId="71" applyNumberFormat="0"/>
    <xf numFmtId="191" fontId="130" fillId="85" borderId="60" applyNumberFormat="0" applyProtection="0">
      <alignment horizontal="left" vertical="center" indent="1"/>
    </xf>
    <xf numFmtId="192" fontId="110" fillId="0" borderId="65" applyFill="0"/>
    <xf numFmtId="191" fontId="119" fillId="0" borderId="72" applyNumberFormat="0" applyFill="0" applyAlignment="0" applyProtection="0"/>
    <xf numFmtId="191" fontId="119" fillId="0" borderId="72" applyNumberFormat="0" applyFill="0" applyAlignment="0" applyProtection="0"/>
    <xf numFmtId="191" fontId="84" fillId="87" borderId="61" applyNumberFormat="0">
      <protection locked="0"/>
    </xf>
    <xf numFmtId="191" fontId="117" fillId="68" borderId="90" applyNumberFormat="0" applyAlignment="0" applyProtection="0"/>
    <xf numFmtId="191" fontId="130" fillId="86" borderId="60" applyNumberFormat="0" applyProtection="0">
      <alignment horizontal="left" vertical="center" indent="1"/>
    </xf>
    <xf numFmtId="4" fontId="133" fillId="35" borderId="61" applyNumberFormat="0" applyProtection="0">
      <alignment vertical="center"/>
    </xf>
    <xf numFmtId="4" fontId="130" fillId="0" borderId="63" applyNumberFormat="0" applyProtection="0">
      <alignment horizontal="right" vertical="center"/>
    </xf>
    <xf numFmtId="4" fontId="133" fillId="3" borderId="63" applyNumberFormat="0" applyProtection="0">
      <alignment horizontal="right" vertical="center"/>
    </xf>
    <xf numFmtId="191" fontId="130" fillId="38" borderId="60" applyNumberFormat="0" applyProtection="0">
      <alignment horizontal="left" vertical="center" indent="1"/>
    </xf>
    <xf numFmtId="4" fontId="130" fillId="77" borderId="63" applyNumberFormat="0" applyProtection="0">
      <alignment horizontal="left" vertical="center" indent="1"/>
    </xf>
    <xf numFmtId="191" fontId="130" fillId="89" borderId="61"/>
    <xf numFmtId="4" fontId="138" fillId="87" borderId="63" applyNumberFormat="0" applyProtection="0">
      <alignment horizontal="right" vertical="center"/>
    </xf>
    <xf numFmtId="191" fontId="84" fillId="39" borderId="68" applyNumberFormat="0" applyProtection="0">
      <alignment horizontal="left" vertical="top" indent="1"/>
    </xf>
    <xf numFmtId="191" fontId="130" fillId="39" borderId="68" applyNumberFormat="0" applyProtection="0">
      <alignment horizontal="left" vertical="top" indent="1"/>
    </xf>
    <xf numFmtId="4" fontId="130" fillId="81" borderId="66" applyNumberFormat="0" applyProtection="0">
      <alignment horizontal="right" vertical="center"/>
    </xf>
    <xf numFmtId="192" fontId="110" fillId="0" borderId="62" applyFill="0"/>
    <xf numFmtId="191" fontId="130" fillId="45" borderId="68" applyNumberFormat="0" applyProtection="0">
      <alignment horizontal="left" vertical="top" indent="1"/>
    </xf>
    <xf numFmtId="4" fontId="130" fillId="0" borderId="60" applyNumberFormat="0" applyProtection="0">
      <alignment horizontal="right" vertical="center"/>
    </xf>
    <xf numFmtId="4" fontId="133" fillId="3" borderId="60" applyNumberFormat="0" applyProtection="0">
      <alignment horizontal="right" vertical="center"/>
    </xf>
    <xf numFmtId="4" fontId="130" fillId="77" borderId="60" applyNumberFormat="0" applyProtection="0">
      <alignment horizontal="left" vertical="center" indent="1"/>
    </xf>
    <xf numFmtId="191" fontId="130" fillId="45" borderId="68" applyNumberFormat="0" applyProtection="0">
      <alignment horizontal="left" vertical="top" indent="1"/>
    </xf>
    <xf numFmtId="4" fontId="138" fillId="87" borderId="60" applyNumberFormat="0" applyProtection="0">
      <alignment horizontal="right" vertical="center"/>
    </xf>
    <xf numFmtId="4" fontId="130" fillId="84" borderId="85" applyNumberFormat="0" applyProtection="0">
      <alignment horizontal="left" vertical="center" indent="1"/>
    </xf>
    <xf numFmtId="4" fontId="130" fillId="83" borderId="82" applyNumberFormat="0" applyProtection="0">
      <alignment horizontal="right" vertical="center"/>
    </xf>
    <xf numFmtId="4" fontId="130" fillId="82" borderId="63" applyNumberFormat="0" applyProtection="0">
      <alignment horizontal="right" vertical="center"/>
    </xf>
    <xf numFmtId="191" fontId="130" fillId="38" borderId="68" applyNumberFormat="0" applyProtection="0">
      <alignment horizontal="left" vertical="top" indent="1"/>
    </xf>
    <xf numFmtId="191" fontId="130" fillId="64" borderId="82" applyNumberFormat="0" applyFont="0" applyAlignment="0" applyProtection="0"/>
    <xf numFmtId="191" fontId="84" fillId="0" borderId="0">
      <alignment vertical="center"/>
    </xf>
    <xf numFmtId="4" fontId="130" fillId="43" borderId="82" applyNumberFormat="0" applyProtection="0">
      <alignment horizontal="right" vertical="center"/>
    </xf>
    <xf numFmtId="197" fontId="23" fillId="74" borderId="61">
      <alignment vertical="center"/>
    </xf>
    <xf numFmtId="191" fontId="130" fillId="45" borderId="68" applyNumberFormat="0" applyProtection="0">
      <alignment horizontal="left" vertical="top" indent="1"/>
    </xf>
    <xf numFmtId="191" fontId="130" fillId="64" borderId="82" applyNumberFormat="0" applyFont="0" applyAlignment="0" applyProtection="0"/>
    <xf numFmtId="191" fontId="130" fillId="64" borderId="82" applyNumberFormat="0" applyFont="0" applyAlignment="0" applyProtection="0"/>
    <xf numFmtId="174" fontId="1" fillId="26" borderId="61">
      <alignment vertical="center"/>
    </xf>
    <xf numFmtId="191" fontId="130" fillId="39" borderId="68" applyNumberFormat="0" applyProtection="0">
      <alignment horizontal="left" vertical="top" indent="1"/>
    </xf>
    <xf numFmtId="4" fontId="130" fillId="76" borderId="90" applyNumberFormat="0" applyProtection="0">
      <alignment vertical="center"/>
    </xf>
    <xf numFmtId="4" fontId="133" fillId="6" borderId="90" applyNumberFormat="0" applyProtection="0">
      <alignment vertical="center"/>
    </xf>
    <xf numFmtId="4" fontId="130" fillId="6" borderId="90" applyNumberFormat="0" applyProtection="0">
      <alignment horizontal="left" vertical="center" indent="1"/>
    </xf>
    <xf numFmtId="191" fontId="134" fillId="76" borderId="92" applyNumberFormat="0" applyProtection="0">
      <alignment horizontal="left" vertical="top" indent="1"/>
    </xf>
    <xf numFmtId="4" fontId="130" fillId="77" borderId="90" applyNumberFormat="0" applyProtection="0">
      <alignment horizontal="left" vertical="center" indent="1"/>
    </xf>
    <xf numFmtId="4" fontId="130" fillId="78" borderId="90" applyNumberFormat="0" applyProtection="0">
      <alignment horizontal="right" vertical="center"/>
    </xf>
    <xf numFmtId="4" fontId="130" fillId="79" borderId="90" applyNumberFormat="0" applyProtection="0">
      <alignment horizontal="right" vertical="center"/>
    </xf>
    <xf numFmtId="4" fontId="130" fillId="47" borderId="90" applyNumberFormat="0" applyProtection="0">
      <alignment horizontal="right" vertical="center"/>
    </xf>
    <xf numFmtId="4" fontId="130" fillId="81" borderId="90" applyNumberFormat="0" applyProtection="0">
      <alignment horizontal="right" vertical="center"/>
    </xf>
    <xf numFmtId="4" fontId="130" fillId="82" borderId="90" applyNumberFormat="0" applyProtection="0">
      <alignment horizontal="right" vertical="center"/>
    </xf>
    <xf numFmtId="4" fontId="130" fillId="43" borderId="90" applyNumberFormat="0" applyProtection="0">
      <alignment horizontal="right" vertical="center"/>
    </xf>
    <xf numFmtId="4" fontId="130" fillId="76" borderId="74" applyNumberFormat="0" applyProtection="0">
      <alignment vertical="center"/>
    </xf>
    <xf numFmtId="4" fontId="133" fillId="6" borderId="74" applyNumberFormat="0" applyProtection="0">
      <alignment vertical="center"/>
    </xf>
    <xf numFmtId="4" fontId="130" fillId="6" borderId="74" applyNumberFormat="0" applyProtection="0">
      <alignment horizontal="left" vertical="center" indent="1"/>
    </xf>
    <xf numFmtId="191" fontId="134" fillId="76" borderId="76" applyNumberFormat="0" applyProtection="0">
      <alignment horizontal="left" vertical="top" indent="1"/>
    </xf>
    <xf numFmtId="4" fontId="130" fillId="77" borderId="74" applyNumberFormat="0" applyProtection="0">
      <alignment horizontal="left" vertical="center" indent="1"/>
    </xf>
    <xf numFmtId="4" fontId="130" fillId="78" borderId="74" applyNumberFormat="0" applyProtection="0">
      <alignment horizontal="right" vertical="center"/>
    </xf>
    <xf numFmtId="4" fontId="130" fillId="79" borderId="74" applyNumberFormat="0" applyProtection="0">
      <alignment horizontal="right" vertical="center"/>
    </xf>
    <xf numFmtId="4" fontId="130" fillId="80" borderId="77" applyNumberFormat="0" applyProtection="0">
      <alignment horizontal="right" vertical="center"/>
    </xf>
    <xf numFmtId="4" fontId="130" fillId="47" borderId="74" applyNumberFormat="0" applyProtection="0">
      <alignment horizontal="right" vertical="center"/>
    </xf>
    <xf numFmtId="4" fontId="130" fillId="81" borderId="74" applyNumberFormat="0" applyProtection="0">
      <alignment horizontal="right" vertical="center"/>
    </xf>
    <xf numFmtId="4" fontId="130" fillId="82" borderId="74" applyNumberFormat="0" applyProtection="0">
      <alignment horizontal="right" vertical="center"/>
    </xf>
    <xf numFmtId="4" fontId="130" fillId="43" borderId="74" applyNumberFormat="0" applyProtection="0">
      <alignment horizontal="right" vertical="center"/>
    </xf>
    <xf numFmtId="4" fontId="130" fillId="40" borderId="74" applyNumberFormat="0" applyProtection="0">
      <alignment horizontal="right" vertical="center"/>
    </xf>
    <xf numFmtId="4" fontId="130" fillId="83" borderId="74" applyNumberFormat="0" applyProtection="0">
      <alignment horizontal="right" vertical="center"/>
    </xf>
    <xf numFmtId="4" fontId="130" fillId="84" borderId="77" applyNumberFormat="0" applyProtection="0">
      <alignment horizontal="left" vertical="center" indent="1"/>
    </xf>
    <xf numFmtId="4" fontId="84" fillId="45" borderId="77" applyNumberFormat="0" applyProtection="0">
      <alignment horizontal="left" vertical="center" indent="1"/>
    </xf>
    <xf numFmtId="4" fontId="84" fillId="45" borderId="77" applyNumberFormat="0" applyProtection="0">
      <alignment horizontal="left" vertical="center" indent="1"/>
    </xf>
    <xf numFmtId="4" fontId="130" fillId="39" borderId="74" applyNumberFormat="0" applyProtection="0">
      <alignment horizontal="right" vertical="center"/>
    </xf>
    <xf numFmtId="4" fontId="130" fillId="38" borderId="77" applyNumberFormat="0" applyProtection="0">
      <alignment horizontal="left" vertical="center" indent="1"/>
    </xf>
    <xf numFmtId="4" fontId="130" fillId="40" borderId="90" applyNumberFormat="0" applyProtection="0">
      <alignment horizontal="right" vertical="center"/>
    </xf>
    <xf numFmtId="4" fontId="130" fillId="39" borderId="77" applyNumberFormat="0" applyProtection="0">
      <alignment horizontal="left" vertical="center" indent="1"/>
    </xf>
    <xf numFmtId="37" fontId="110" fillId="0" borderId="64" applyNumberFormat="0"/>
    <xf numFmtId="191" fontId="130" fillId="64" borderId="90" applyNumberFormat="0" applyFont="0" applyAlignment="0" applyProtection="0"/>
    <xf numFmtId="191" fontId="117" fillId="68" borderId="82" applyNumberFormat="0" applyAlignment="0" applyProtection="0"/>
    <xf numFmtId="4" fontId="130" fillId="83" borderId="90" applyNumberFormat="0" applyProtection="0">
      <alignment horizontal="right" vertical="center"/>
    </xf>
    <xf numFmtId="191" fontId="130" fillId="34" borderId="74" applyNumberFormat="0" applyProtection="0">
      <alignment horizontal="left" vertical="center" indent="1"/>
    </xf>
    <xf numFmtId="191" fontId="84" fillId="45" borderId="76" applyNumberFormat="0" applyProtection="0">
      <alignment horizontal="left" vertical="center" indent="1"/>
    </xf>
    <xf numFmtId="191" fontId="130" fillId="45" borderId="76" applyNumberFormat="0" applyProtection="0">
      <alignment horizontal="left" vertical="top" indent="1"/>
    </xf>
    <xf numFmtId="191" fontId="84" fillId="45" borderId="76" applyNumberFormat="0" applyProtection="0">
      <alignment horizontal="left" vertical="top" indent="1"/>
    </xf>
    <xf numFmtId="191" fontId="130" fillId="45" borderId="76" applyNumberFormat="0" applyProtection="0">
      <alignment horizontal="left" vertical="top" indent="1"/>
    </xf>
    <xf numFmtId="191" fontId="130" fillId="45" borderId="76" applyNumberFormat="0" applyProtection="0">
      <alignment horizontal="left" vertical="top" indent="1"/>
    </xf>
    <xf numFmtId="191" fontId="130" fillId="45" borderId="76" applyNumberFormat="0" applyProtection="0">
      <alignment horizontal="left" vertical="top" indent="1"/>
    </xf>
    <xf numFmtId="191" fontId="130" fillId="45" borderId="76" applyNumberFormat="0" applyProtection="0">
      <alignment horizontal="left" vertical="top" indent="1"/>
    </xf>
    <xf numFmtId="191" fontId="130" fillId="45" borderId="76" applyNumberFormat="0" applyProtection="0">
      <alignment horizontal="left" vertical="top" indent="1"/>
    </xf>
    <xf numFmtId="191" fontId="130" fillId="45" borderId="76" applyNumberFormat="0" applyProtection="0">
      <alignment horizontal="left" vertical="top" indent="1"/>
    </xf>
    <xf numFmtId="191" fontId="130" fillId="45" borderId="76" applyNumberFormat="0" applyProtection="0">
      <alignment horizontal="left" vertical="top" indent="1"/>
    </xf>
    <xf numFmtId="191" fontId="130" fillId="45" borderId="76" applyNumberFormat="0" applyProtection="0">
      <alignment horizontal="left" vertical="top" indent="1"/>
    </xf>
    <xf numFmtId="191" fontId="130" fillId="85" borderId="74" applyNumberFormat="0" applyProtection="0">
      <alignment horizontal="left" vertical="center" indent="1"/>
    </xf>
    <xf numFmtId="191" fontId="84" fillId="39" borderId="76" applyNumberFormat="0" applyProtection="0">
      <alignment horizontal="left" vertical="center" indent="1"/>
    </xf>
    <xf numFmtId="191" fontId="130" fillId="39" borderId="76" applyNumberFormat="0" applyProtection="0">
      <alignment horizontal="left" vertical="top" indent="1"/>
    </xf>
    <xf numFmtId="191" fontId="84" fillId="39" borderId="76" applyNumberFormat="0" applyProtection="0">
      <alignment horizontal="left" vertical="top" indent="1"/>
    </xf>
    <xf numFmtId="191" fontId="130" fillId="39" borderId="76" applyNumberFormat="0" applyProtection="0">
      <alignment horizontal="left" vertical="top" indent="1"/>
    </xf>
    <xf numFmtId="191" fontId="130" fillId="39" borderId="76" applyNumberFormat="0" applyProtection="0">
      <alignment horizontal="left" vertical="top" indent="1"/>
    </xf>
    <xf numFmtId="191" fontId="130" fillId="39" borderId="76" applyNumberFormat="0" applyProtection="0">
      <alignment horizontal="left" vertical="top" indent="1"/>
    </xf>
    <xf numFmtId="191" fontId="130" fillId="39" borderId="76" applyNumberFormat="0" applyProtection="0">
      <alignment horizontal="left" vertical="top" indent="1"/>
    </xf>
    <xf numFmtId="191" fontId="130" fillId="39" borderId="76" applyNumberFormat="0" applyProtection="0">
      <alignment horizontal="left" vertical="top" indent="1"/>
    </xf>
    <xf numFmtId="191" fontId="130" fillId="39" borderId="76" applyNumberFormat="0" applyProtection="0">
      <alignment horizontal="left" vertical="top" indent="1"/>
    </xf>
    <xf numFmtId="191" fontId="130" fillId="39" borderId="76" applyNumberFormat="0" applyProtection="0">
      <alignment horizontal="left" vertical="top" indent="1"/>
    </xf>
    <xf numFmtId="191" fontId="130" fillId="39" borderId="76" applyNumberFormat="0" applyProtection="0">
      <alignment horizontal="left" vertical="top" indent="1"/>
    </xf>
    <xf numFmtId="191" fontId="130" fillId="86" borderId="74" applyNumberFormat="0" applyProtection="0">
      <alignment horizontal="left" vertical="center" indent="1"/>
    </xf>
    <xf numFmtId="191" fontId="84" fillId="86" borderId="76" applyNumberFormat="0" applyProtection="0">
      <alignment horizontal="left" vertical="center" indent="1"/>
    </xf>
    <xf numFmtId="191" fontId="130" fillId="86" borderId="76" applyNumberFormat="0" applyProtection="0">
      <alignment horizontal="left" vertical="top" indent="1"/>
    </xf>
    <xf numFmtId="191" fontId="84" fillId="86" borderId="76" applyNumberFormat="0" applyProtection="0">
      <alignment horizontal="left" vertical="top" indent="1"/>
    </xf>
    <xf numFmtId="191" fontId="130" fillId="86" borderId="76" applyNumberFormat="0" applyProtection="0">
      <alignment horizontal="left" vertical="top" indent="1"/>
    </xf>
    <xf numFmtId="191" fontId="130" fillId="86" borderId="76" applyNumberFormat="0" applyProtection="0">
      <alignment horizontal="left" vertical="top" indent="1"/>
    </xf>
    <xf numFmtId="191" fontId="130" fillId="86" borderId="76" applyNumberFormat="0" applyProtection="0">
      <alignment horizontal="left" vertical="top" indent="1"/>
    </xf>
    <xf numFmtId="191" fontId="130" fillId="86" borderId="76" applyNumberFormat="0" applyProtection="0">
      <alignment horizontal="left" vertical="top" indent="1"/>
    </xf>
    <xf numFmtId="191" fontId="130" fillId="86" borderId="76" applyNumberFormat="0" applyProtection="0">
      <alignment horizontal="left" vertical="top" indent="1"/>
    </xf>
    <xf numFmtId="191" fontId="130" fillId="86" borderId="76" applyNumberFormat="0" applyProtection="0">
      <alignment horizontal="left" vertical="top" indent="1"/>
    </xf>
    <xf numFmtId="191" fontId="130" fillId="86" borderId="76" applyNumberFormat="0" applyProtection="0">
      <alignment horizontal="left" vertical="top" indent="1"/>
    </xf>
    <xf numFmtId="191" fontId="130" fillId="86" borderId="76" applyNumberFormat="0" applyProtection="0">
      <alignment horizontal="left" vertical="top" indent="1"/>
    </xf>
    <xf numFmtId="191" fontId="130" fillId="38" borderId="74" applyNumberFormat="0" applyProtection="0">
      <alignment horizontal="left" vertical="center" indent="1"/>
    </xf>
    <xf numFmtId="191" fontId="84" fillId="38" borderId="76" applyNumberFormat="0" applyProtection="0">
      <alignment horizontal="left" vertical="center" indent="1"/>
    </xf>
    <xf numFmtId="191" fontId="130" fillId="38" borderId="76" applyNumberFormat="0" applyProtection="0">
      <alignment horizontal="left" vertical="top" indent="1"/>
    </xf>
    <xf numFmtId="191" fontId="84" fillId="38" borderId="76" applyNumberFormat="0" applyProtection="0">
      <alignment horizontal="left" vertical="top" indent="1"/>
    </xf>
    <xf numFmtId="191" fontId="130" fillId="38" borderId="76" applyNumberFormat="0" applyProtection="0">
      <alignment horizontal="left" vertical="top" indent="1"/>
    </xf>
    <xf numFmtId="191" fontId="130" fillId="38" borderId="76" applyNumberFormat="0" applyProtection="0">
      <alignment horizontal="left" vertical="top" indent="1"/>
    </xf>
    <xf numFmtId="191" fontId="130" fillId="38" borderId="76" applyNumberFormat="0" applyProtection="0">
      <alignment horizontal="left" vertical="top" indent="1"/>
    </xf>
    <xf numFmtId="191" fontId="130" fillId="38" borderId="76" applyNumberFormat="0" applyProtection="0">
      <alignment horizontal="left" vertical="top" indent="1"/>
    </xf>
    <xf numFmtId="191" fontId="130" fillId="38" borderId="76" applyNumberFormat="0" applyProtection="0">
      <alignment horizontal="left" vertical="top" indent="1"/>
    </xf>
    <xf numFmtId="191" fontId="130" fillId="38" borderId="76" applyNumberFormat="0" applyProtection="0">
      <alignment horizontal="left" vertical="top" indent="1"/>
    </xf>
    <xf numFmtId="191" fontId="130" fillId="38" borderId="76" applyNumberFormat="0" applyProtection="0">
      <alignment horizontal="left" vertical="top" indent="1"/>
    </xf>
    <xf numFmtId="191" fontId="130" fillId="38" borderId="76" applyNumberFormat="0" applyProtection="0">
      <alignment horizontal="left" vertical="top" indent="1"/>
    </xf>
    <xf numFmtId="4" fontId="130" fillId="39" borderId="90" applyNumberFormat="0" applyProtection="0">
      <alignment horizontal="right" vertical="center"/>
    </xf>
    <xf numFmtId="191" fontId="135" fillId="45" borderId="78" applyBorder="0"/>
    <xf numFmtId="4" fontId="136" fillId="72" borderId="76" applyNumberFormat="0" applyProtection="0">
      <alignment vertical="center"/>
    </xf>
    <xf numFmtId="4" fontId="136" fillId="34" borderId="76" applyNumberFormat="0" applyProtection="0">
      <alignment horizontal="left" vertical="center" indent="1"/>
    </xf>
    <xf numFmtId="191" fontId="136" fillId="72" borderId="76" applyNumberFormat="0" applyProtection="0">
      <alignment horizontal="left" vertical="top" indent="1"/>
    </xf>
    <xf numFmtId="4" fontId="130" fillId="0" borderId="74" applyNumberFormat="0" applyProtection="0">
      <alignment horizontal="right" vertical="center"/>
    </xf>
    <xf numFmtId="4" fontId="133" fillId="3" borderId="74" applyNumberFormat="0" applyProtection="0">
      <alignment horizontal="right" vertical="center"/>
    </xf>
    <xf numFmtId="4" fontId="130" fillId="77" borderId="74" applyNumberFormat="0" applyProtection="0">
      <alignment horizontal="left" vertical="center" indent="1"/>
    </xf>
    <xf numFmtId="191" fontId="136" fillId="39" borderId="76" applyNumberFormat="0" applyProtection="0">
      <alignment horizontal="left" vertical="top" indent="1"/>
    </xf>
    <xf numFmtId="4" fontId="137" fillId="88" borderId="77" applyNumberFormat="0" applyProtection="0">
      <alignment horizontal="left" vertical="center" indent="1"/>
    </xf>
    <xf numFmtId="4" fontId="138" fillId="87" borderId="74" applyNumberFormat="0" applyProtection="0">
      <alignment horizontal="right" vertical="center"/>
    </xf>
    <xf numFmtId="37" fontId="110" fillId="0" borderId="79" applyNumberFormat="0"/>
    <xf numFmtId="192" fontId="110" fillId="0" borderId="73" applyFill="0"/>
    <xf numFmtId="191" fontId="119" fillId="0" borderId="80" applyNumberFormat="0" applyFill="0" applyAlignment="0" applyProtection="0"/>
    <xf numFmtId="191" fontId="119" fillId="0" borderId="80" applyNumberFormat="0" applyFill="0" applyAlignment="0" applyProtection="0"/>
    <xf numFmtId="191" fontId="130" fillId="34" borderId="82" applyNumberFormat="0" applyProtection="0">
      <alignment horizontal="left" vertical="center" indent="1"/>
    </xf>
    <xf numFmtId="191" fontId="84" fillId="45" borderId="84" applyNumberFormat="0" applyProtection="0">
      <alignment horizontal="left" vertical="center" indent="1"/>
    </xf>
    <xf numFmtId="191" fontId="130" fillId="45" borderId="84" applyNumberFormat="0" applyProtection="0">
      <alignment horizontal="left" vertical="top" indent="1"/>
    </xf>
    <xf numFmtId="191" fontId="84" fillId="45" borderId="84" applyNumberFormat="0" applyProtection="0">
      <alignment horizontal="left" vertical="top" indent="1"/>
    </xf>
    <xf numFmtId="191" fontId="130" fillId="45" borderId="84" applyNumberFormat="0" applyProtection="0">
      <alignment horizontal="left" vertical="top" indent="1"/>
    </xf>
    <xf numFmtId="191" fontId="130" fillId="45" borderId="84" applyNumberFormat="0" applyProtection="0">
      <alignment horizontal="left" vertical="top" indent="1"/>
    </xf>
    <xf numFmtId="191" fontId="130" fillId="45" borderId="84" applyNumberFormat="0" applyProtection="0">
      <alignment horizontal="left" vertical="top" indent="1"/>
    </xf>
    <xf numFmtId="191" fontId="130" fillId="45" borderId="84" applyNumberFormat="0" applyProtection="0">
      <alignment horizontal="left" vertical="top" indent="1"/>
    </xf>
    <xf numFmtId="191" fontId="130" fillId="45" borderId="84" applyNumberFormat="0" applyProtection="0">
      <alignment horizontal="left" vertical="top" indent="1"/>
    </xf>
    <xf numFmtId="191" fontId="130" fillId="45" borderId="84" applyNumberFormat="0" applyProtection="0">
      <alignment horizontal="left" vertical="top" indent="1"/>
    </xf>
    <xf numFmtId="191" fontId="130" fillId="45" borderId="84" applyNumberFormat="0" applyProtection="0">
      <alignment horizontal="left" vertical="top" indent="1"/>
    </xf>
    <xf numFmtId="191" fontId="130" fillId="45" borderId="84" applyNumberFormat="0" applyProtection="0">
      <alignment horizontal="left" vertical="top" indent="1"/>
    </xf>
    <xf numFmtId="191" fontId="130" fillId="85" borderId="82" applyNumberFormat="0" applyProtection="0">
      <alignment horizontal="left" vertical="center" indent="1"/>
    </xf>
    <xf numFmtId="191" fontId="84" fillId="39" borderId="84" applyNumberFormat="0" applyProtection="0">
      <alignment horizontal="left" vertical="center" indent="1"/>
    </xf>
    <xf numFmtId="191" fontId="130" fillId="39" borderId="84" applyNumberFormat="0" applyProtection="0">
      <alignment horizontal="left" vertical="top" indent="1"/>
    </xf>
    <xf numFmtId="191" fontId="84" fillId="39" borderId="84" applyNumberFormat="0" applyProtection="0">
      <alignment horizontal="left" vertical="top" indent="1"/>
    </xf>
    <xf numFmtId="191" fontId="130" fillId="39" borderId="84" applyNumberFormat="0" applyProtection="0">
      <alignment horizontal="left" vertical="top" indent="1"/>
    </xf>
    <xf numFmtId="191" fontId="130" fillId="39" borderId="84" applyNumberFormat="0" applyProtection="0">
      <alignment horizontal="left" vertical="top" indent="1"/>
    </xf>
    <xf numFmtId="191" fontId="130" fillId="39" borderId="84" applyNumberFormat="0" applyProtection="0">
      <alignment horizontal="left" vertical="top" indent="1"/>
    </xf>
    <xf numFmtId="191" fontId="130" fillId="39" borderId="84" applyNumberFormat="0" applyProtection="0">
      <alignment horizontal="left" vertical="top" indent="1"/>
    </xf>
    <xf numFmtId="191" fontId="130" fillId="39" borderId="84" applyNumberFormat="0" applyProtection="0">
      <alignment horizontal="left" vertical="top" indent="1"/>
    </xf>
    <xf numFmtId="191" fontId="130" fillId="39" borderId="84" applyNumberFormat="0" applyProtection="0">
      <alignment horizontal="left" vertical="top" indent="1"/>
    </xf>
    <xf numFmtId="191" fontId="130" fillId="39" borderId="84" applyNumberFormat="0" applyProtection="0">
      <alignment horizontal="left" vertical="top" indent="1"/>
    </xf>
    <xf numFmtId="191" fontId="130" fillId="39" borderId="84" applyNumberFormat="0" applyProtection="0">
      <alignment horizontal="left" vertical="top" indent="1"/>
    </xf>
    <xf numFmtId="191" fontId="130" fillId="86" borderId="82" applyNumberFormat="0" applyProtection="0">
      <alignment horizontal="left" vertical="center" indent="1"/>
    </xf>
    <xf numFmtId="191" fontId="84" fillId="86" borderId="84" applyNumberFormat="0" applyProtection="0">
      <alignment horizontal="left" vertical="center" indent="1"/>
    </xf>
    <xf numFmtId="191" fontId="130" fillId="86" borderId="84" applyNumberFormat="0" applyProtection="0">
      <alignment horizontal="left" vertical="top" indent="1"/>
    </xf>
    <xf numFmtId="191" fontId="84" fillId="86" borderId="84" applyNumberFormat="0" applyProtection="0">
      <alignment horizontal="left" vertical="top" indent="1"/>
    </xf>
    <xf numFmtId="191" fontId="130" fillId="86" borderId="84" applyNumberFormat="0" applyProtection="0">
      <alignment horizontal="left" vertical="top" indent="1"/>
    </xf>
    <xf numFmtId="191" fontId="130" fillId="86" borderId="84" applyNumberFormat="0" applyProtection="0">
      <alignment horizontal="left" vertical="top" indent="1"/>
    </xf>
    <xf numFmtId="191" fontId="130" fillId="86" borderId="84" applyNumberFormat="0" applyProtection="0">
      <alignment horizontal="left" vertical="top" indent="1"/>
    </xf>
    <xf numFmtId="191" fontId="130" fillId="86" borderId="84" applyNumberFormat="0" applyProtection="0">
      <alignment horizontal="left" vertical="top" indent="1"/>
    </xf>
    <xf numFmtId="191" fontId="130" fillId="86" borderId="84" applyNumberFormat="0" applyProtection="0">
      <alignment horizontal="left" vertical="top" indent="1"/>
    </xf>
    <xf numFmtId="191" fontId="130" fillId="86" borderId="84" applyNumberFormat="0" applyProtection="0">
      <alignment horizontal="left" vertical="top" indent="1"/>
    </xf>
    <xf numFmtId="191" fontId="130" fillId="86" borderId="84" applyNumberFormat="0" applyProtection="0">
      <alignment horizontal="left" vertical="top" indent="1"/>
    </xf>
    <xf numFmtId="191" fontId="130" fillId="86" borderId="84" applyNumberFormat="0" applyProtection="0">
      <alignment horizontal="left" vertical="top" indent="1"/>
    </xf>
    <xf numFmtId="191" fontId="130" fillId="38" borderId="82" applyNumberFormat="0" applyProtection="0">
      <alignment horizontal="left" vertical="center" indent="1"/>
    </xf>
    <xf numFmtId="191" fontId="84" fillId="38" borderId="84" applyNumberFormat="0" applyProtection="0">
      <alignment horizontal="left" vertical="center" indent="1"/>
    </xf>
    <xf numFmtId="191" fontId="130" fillId="38" borderId="84" applyNumberFormat="0" applyProtection="0">
      <alignment horizontal="left" vertical="top" indent="1"/>
    </xf>
    <xf numFmtId="191" fontId="84" fillId="38" borderId="84" applyNumberFormat="0" applyProtection="0">
      <alignment horizontal="left" vertical="top" indent="1"/>
    </xf>
    <xf numFmtId="191" fontId="130" fillId="38" borderId="84" applyNumberFormat="0" applyProtection="0">
      <alignment horizontal="left" vertical="top" indent="1"/>
    </xf>
    <xf numFmtId="191" fontId="130" fillId="38" borderId="84" applyNumberFormat="0" applyProtection="0">
      <alignment horizontal="left" vertical="top" indent="1"/>
    </xf>
    <xf numFmtId="191" fontId="130" fillId="38" borderId="84" applyNumberFormat="0" applyProtection="0">
      <alignment horizontal="left" vertical="top" indent="1"/>
    </xf>
    <xf numFmtId="191" fontId="130" fillId="38" borderId="84" applyNumberFormat="0" applyProtection="0">
      <alignment horizontal="left" vertical="top" indent="1"/>
    </xf>
    <xf numFmtId="191" fontId="130" fillId="38" borderId="84" applyNumberFormat="0" applyProtection="0">
      <alignment horizontal="left" vertical="top" indent="1"/>
    </xf>
    <xf numFmtId="191" fontId="130" fillId="38" borderId="84" applyNumberFormat="0" applyProtection="0">
      <alignment horizontal="left" vertical="top" indent="1"/>
    </xf>
    <xf numFmtId="191" fontId="130" fillId="38" borderId="84" applyNumberFormat="0" applyProtection="0">
      <alignment horizontal="left" vertical="top" indent="1"/>
    </xf>
    <xf numFmtId="191" fontId="130" fillId="38" borderId="84" applyNumberFormat="0" applyProtection="0">
      <alignment horizontal="left" vertical="top" indent="1"/>
    </xf>
    <xf numFmtId="191" fontId="135" fillId="45" borderId="86" applyBorder="0"/>
    <xf numFmtId="4" fontId="136" fillId="72" borderId="84" applyNumberFormat="0" applyProtection="0">
      <alignment vertical="center"/>
    </xf>
    <xf numFmtId="4" fontId="136" fillId="34" borderId="84" applyNumberFormat="0" applyProtection="0">
      <alignment horizontal="left" vertical="center" indent="1"/>
    </xf>
    <xf numFmtId="191" fontId="136" fillId="72" borderId="84" applyNumberFormat="0" applyProtection="0">
      <alignment horizontal="left" vertical="top" indent="1"/>
    </xf>
    <xf numFmtId="4" fontId="130" fillId="0" borderId="82" applyNumberFormat="0" applyProtection="0">
      <alignment horizontal="right" vertical="center"/>
    </xf>
    <xf numFmtId="4" fontId="133" fillId="3" borderId="82" applyNumberFormat="0" applyProtection="0">
      <alignment horizontal="right" vertical="center"/>
    </xf>
    <xf numFmtId="4" fontId="130" fillId="77" borderId="82" applyNumberFormat="0" applyProtection="0">
      <alignment horizontal="left" vertical="center" indent="1"/>
    </xf>
    <xf numFmtId="191" fontId="136" fillId="39" borderId="84" applyNumberFormat="0" applyProtection="0">
      <alignment horizontal="left" vertical="top" indent="1"/>
    </xf>
    <xf numFmtId="4" fontId="137" fillId="88" borderId="85" applyNumberFormat="0" applyProtection="0">
      <alignment horizontal="left" vertical="center" indent="1"/>
    </xf>
    <xf numFmtId="4" fontId="138" fillId="87" borderId="82" applyNumberFormat="0" applyProtection="0">
      <alignment horizontal="right" vertical="center"/>
    </xf>
    <xf numFmtId="37" fontId="110" fillId="0" borderId="87" applyNumberFormat="0"/>
    <xf numFmtId="192" fontId="110" fillId="0" borderId="81" applyFill="0"/>
    <xf numFmtId="191" fontId="119" fillId="0" borderId="88" applyNumberFormat="0" applyFill="0" applyAlignment="0" applyProtection="0"/>
    <xf numFmtId="191" fontId="119" fillId="0" borderId="88" applyNumberFormat="0" applyFill="0" applyAlignment="0" applyProtection="0"/>
    <xf numFmtId="191" fontId="130" fillId="34" borderId="90" applyNumberFormat="0" applyProtection="0">
      <alignment horizontal="left" vertical="center" indent="1"/>
    </xf>
    <xf numFmtId="191" fontId="84" fillId="45" borderId="92" applyNumberFormat="0" applyProtection="0">
      <alignment horizontal="left" vertical="center" indent="1"/>
    </xf>
    <xf numFmtId="191" fontId="130" fillId="45" borderId="92" applyNumberFormat="0" applyProtection="0">
      <alignment horizontal="left" vertical="top" indent="1"/>
    </xf>
    <xf numFmtId="191" fontId="84" fillId="45" borderId="92" applyNumberFormat="0" applyProtection="0">
      <alignment horizontal="left" vertical="top" indent="1"/>
    </xf>
    <xf numFmtId="191" fontId="130" fillId="45" borderId="92" applyNumberFormat="0" applyProtection="0">
      <alignment horizontal="left" vertical="top" indent="1"/>
    </xf>
    <xf numFmtId="191" fontId="130" fillId="45" borderId="92" applyNumberFormat="0" applyProtection="0">
      <alignment horizontal="left" vertical="top" indent="1"/>
    </xf>
    <xf numFmtId="191" fontId="130" fillId="45" borderId="92" applyNumberFormat="0" applyProtection="0">
      <alignment horizontal="left" vertical="top" indent="1"/>
    </xf>
    <xf numFmtId="191" fontId="130" fillId="45" borderId="92" applyNumberFormat="0" applyProtection="0">
      <alignment horizontal="left" vertical="top" indent="1"/>
    </xf>
    <xf numFmtId="191" fontId="130" fillId="45" borderId="92" applyNumberFormat="0" applyProtection="0">
      <alignment horizontal="left" vertical="top" indent="1"/>
    </xf>
    <xf numFmtId="191" fontId="130" fillId="45" borderId="92" applyNumberFormat="0" applyProtection="0">
      <alignment horizontal="left" vertical="top" indent="1"/>
    </xf>
    <xf numFmtId="191" fontId="130" fillId="45" borderId="92" applyNumberFormat="0" applyProtection="0">
      <alignment horizontal="left" vertical="top" indent="1"/>
    </xf>
    <xf numFmtId="191" fontId="130" fillId="45" borderId="92" applyNumberFormat="0" applyProtection="0">
      <alignment horizontal="left" vertical="top" indent="1"/>
    </xf>
    <xf numFmtId="191" fontId="130" fillId="85" borderId="90" applyNumberFormat="0" applyProtection="0">
      <alignment horizontal="left" vertical="center" indent="1"/>
    </xf>
    <xf numFmtId="191" fontId="84" fillId="39" borderId="92" applyNumberFormat="0" applyProtection="0">
      <alignment horizontal="left" vertical="center" indent="1"/>
    </xf>
    <xf numFmtId="191" fontId="130" fillId="39" borderId="92" applyNumberFormat="0" applyProtection="0">
      <alignment horizontal="left" vertical="top" indent="1"/>
    </xf>
    <xf numFmtId="191" fontId="84" fillId="39" borderId="92" applyNumberFormat="0" applyProtection="0">
      <alignment horizontal="left" vertical="top" indent="1"/>
    </xf>
    <xf numFmtId="191" fontId="130" fillId="39" borderId="92" applyNumberFormat="0" applyProtection="0">
      <alignment horizontal="left" vertical="top" indent="1"/>
    </xf>
    <xf numFmtId="191" fontId="130" fillId="39" borderId="92" applyNumberFormat="0" applyProtection="0">
      <alignment horizontal="left" vertical="top" indent="1"/>
    </xf>
    <xf numFmtId="191" fontId="130" fillId="39" borderId="92" applyNumberFormat="0" applyProtection="0">
      <alignment horizontal="left" vertical="top" indent="1"/>
    </xf>
    <xf numFmtId="191" fontId="130" fillId="39" borderId="92" applyNumberFormat="0" applyProtection="0">
      <alignment horizontal="left" vertical="top" indent="1"/>
    </xf>
    <xf numFmtId="191" fontId="130" fillId="39" borderId="92" applyNumberFormat="0" applyProtection="0">
      <alignment horizontal="left" vertical="top" indent="1"/>
    </xf>
    <xf numFmtId="191" fontId="130" fillId="39" borderId="92" applyNumberFormat="0" applyProtection="0">
      <alignment horizontal="left" vertical="top" indent="1"/>
    </xf>
    <xf numFmtId="191" fontId="130" fillId="39" borderId="92" applyNumberFormat="0" applyProtection="0">
      <alignment horizontal="left" vertical="top" indent="1"/>
    </xf>
    <xf numFmtId="191" fontId="130" fillId="39" borderId="92" applyNumberFormat="0" applyProtection="0">
      <alignment horizontal="left" vertical="top" indent="1"/>
    </xf>
    <xf numFmtId="191" fontId="130" fillId="86" borderId="90" applyNumberFormat="0" applyProtection="0">
      <alignment horizontal="left" vertical="center" indent="1"/>
    </xf>
    <xf numFmtId="191" fontId="84" fillId="86" borderId="92" applyNumberFormat="0" applyProtection="0">
      <alignment horizontal="left" vertical="center" indent="1"/>
    </xf>
    <xf numFmtId="191" fontId="130" fillId="86" borderId="92" applyNumberFormat="0" applyProtection="0">
      <alignment horizontal="left" vertical="top" indent="1"/>
    </xf>
    <xf numFmtId="191" fontId="84" fillId="86" borderId="92" applyNumberFormat="0" applyProtection="0">
      <alignment horizontal="left" vertical="top" indent="1"/>
    </xf>
    <xf numFmtId="191" fontId="130" fillId="86" borderId="92" applyNumberFormat="0" applyProtection="0">
      <alignment horizontal="left" vertical="top" indent="1"/>
    </xf>
    <xf numFmtId="191" fontId="130" fillId="86" borderId="92" applyNumberFormat="0" applyProtection="0">
      <alignment horizontal="left" vertical="top" indent="1"/>
    </xf>
    <xf numFmtId="191" fontId="130" fillId="86" borderId="92" applyNumberFormat="0" applyProtection="0">
      <alignment horizontal="left" vertical="top" indent="1"/>
    </xf>
    <xf numFmtId="191" fontId="130" fillId="86" borderId="92" applyNumberFormat="0" applyProtection="0">
      <alignment horizontal="left" vertical="top" indent="1"/>
    </xf>
    <xf numFmtId="191" fontId="130" fillId="86" borderId="92" applyNumberFormat="0" applyProtection="0">
      <alignment horizontal="left" vertical="top" indent="1"/>
    </xf>
    <xf numFmtId="191" fontId="130" fillId="86" borderId="92" applyNumberFormat="0" applyProtection="0">
      <alignment horizontal="left" vertical="top" indent="1"/>
    </xf>
    <xf numFmtId="191" fontId="130" fillId="86" borderId="92" applyNumberFormat="0" applyProtection="0">
      <alignment horizontal="left" vertical="top" indent="1"/>
    </xf>
    <xf numFmtId="191" fontId="130" fillId="86" borderId="92" applyNumberFormat="0" applyProtection="0">
      <alignment horizontal="left" vertical="top" indent="1"/>
    </xf>
    <xf numFmtId="191" fontId="130" fillId="38" borderId="90" applyNumberFormat="0" applyProtection="0">
      <alignment horizontal="left" vertical="center" indent="1"/>
    </xf>
    <xf numFmtId="191" fontId="84" fillId="38" borderId="92" applyNumberFormat="0" applyProtection="0">
      <alignment horizontal="left" vertical="center" indent="1"/>
    </xf>
    <xf numFmtId="191" fontId="130" fillId="38" borderId="92" applyNumberFormat="0" applyProtection="0">
      <alignment horizontal="left" vertical="top" indent="1"/>
    </xf>
    <xf numFmtId="191" fontId="84" fillId="38" borderId="92" applyNumberFormat="0" applyProtection="0">
      <alignment horizontal="left" vertical="top" indent="1"/>
    </xf>
    <xf numFmtId="191" fontId="130" fillId="38" borderId="92" applyNumberFormat="0" applyProtection="0">
      <alignment horizontal="left" vertical="top" indent="1"/>
    </xf>
    <xf numFmtId="191" fontId="130" fillId="38" borderId="92" applyNumberFormat="0" applyProtection="0">
      <alignment horizontal="left" vertical="top" indent="1"/>
    </xf>
    <xf numFmtId="191" fontId="130" fillId="38" borderId="92" applyNumberFormat="0" applyProtection="0">
      <alignment horizontal="left" vertical="top" indent="1"/>
    </xf>
    <xf numFmtId="191" fontId="130" fillId="38" borderId="92" applyNumberFormat="0" applyProtection="0">
      <alignment horizontal="left" vertical="top" indent="1"/>
    </xf>
    <xf numFmtId="191" fontId="130" fillId="38" borderId="92" applyNumberFormat="0" applyProtection="0">
      <alignment horizontal="left" vertical="top" indent="1"/>
    </xf>
    <xf numFmtId="191" fontId="130" fillId="38" borderId="92" applyNumberFormat="0" applyProtection="0">
      <alignment horizontal="left" vertical="top" indent="1"/>
    </xf>
    <xf numFmtId="191" fontId="130" fillId="38" borderId="92" applyNumberFormat="0" applyProtection="0">
      <alignment horizontal="left" vertical="top" indent="1"/>
    </xf>
    <xf numFmtId="191" fontId="130" fillId="38" borderId="92" applyNumberFormat="0" applyProtection="0">
      <alignment horizontal="left" vertical="top" indent="1"/>
    </xf>
    <xf numFmtId="191" fontId="135" fillId="45" borderId="93" applyBorder="0"/>
    <xf numFmtId="4" fontId="136" fillId="72" borderId="92" applyNumberFormat="0" applyProtection="0">
      <alignment vertical="center"/>
    </xf>
    <xf numFmtId="4" fontId="136" fillId="34" borderId="92" applyNumberFormat="0" applyProtection="0">
      <alignment horizontal="left" vertical="center" indent="1"/>
    </xf>
    <xf numFmtId="191" fontId="136" fillId="72" borderId="92" applyNumberFormat="0" applyProtection="0">
      <alignment horizontal="left" vertical="top" indent="1"/>
    </xf>
    <xf numFmtId="4" fontId="130" fillId="0" borderId="90" applyNumberFormat="0" applyProtection="0">
      <alignment horizontal="right" vertical="center"/>
    </xf>
    <xf numFmtId="4" fontId="133" fillId="3" borderId="90" applyNumberFormat="0" applyProtection="0">
      <alignment horizontal="right" vertical="center"/>
    </xf>
    <xf numFmtId="4" fontId="130" fillId="77" borderId="90" applyNumberFormat="0" applyProtection="0">
      <alignment horizontal="left" vertical="center" indent="1"/>
    </xf>
    <xf numFmtId="191" fontId="136" fillId="39" borderId="92" applyNumberFormat="0" applyProtection="0">
      <alignment horizontal="left" vertical="top" indent="1"/>
    </xf>
    <xf numFmtId="4" fontId="138" fillId="87" borderId="90" applyNumberFormat="0" applyProtection="0">
      <alignment horizontal="right" vertical="center"/>
    </xf>
    <xf numFmtId="37" fontId="110" fillId="0" borderId="94" applyNumberFormat="0"/>
    <xf numFmtId="192" fontId="110" fillId="0" borderId="89" applyFill="0"/>
    <xf numFmtId="191" fontId="119" fillId="0" borderId="95" applyNumberFormat="0" applyFill="0" applyAlignment="0" applyProtection="0"/>
    <xf numFmtId="191" fontId="119" fillId="0" borderId="95" applyNumberFormat="0" applyFill="0" applyAlignment="0" applyProtection="0"/>
    <xf numFmtId="0" fontId="67" fillId="0" borderId="0"/>
    <xf numFmtId="191" fontId="130" fillId="45" borderId="100" applyNumberFormat="0" applyProtection="0">
      <alignment horizontal="left" vertical="top" indent="1"/>
    </xf>
    <xf numFmtId="191" fontId="130" fillId="45" borderId="100" applyNumberFormat="0" applyProtection="0">
      <alignment horizontal="left" vertical="top" indent="1"/>
    </xf>
    <xf numFmtId="191" fontId="119" fillId="0" borderId="103" applyNumberFormat="0" applyFill="0" applyAlignment="0" applyProtection="0"/>
    <xf numFmtId="191" fontId="119" fillId="0" borderId="103" applyNumberFormat="0" applyFill="0" applyAlignment="0" applyProtection="0"/>
    <xf numFmtId="192" fontId="110" fillId="0" borderId="97" applyFill="0"/>
    <xf numFmtId="37" fontId="110" fillId="0" borderId="96" applyNumberFormat="0"/>
    <xf numFmtId="4" fontId="138" fillId="87" borderId="98" applyNumberFormat="0" applyProtection="0">
      <alignment horizontal="right" vertical="center"/>
    </xf>
    <xf numFmtId="4" fontId="137" fillId="88" borderId="101" applyNumberFormat="0" applyProtection="0">
      <alignment horizontal="left" vertical="center" indent="1"/>
    </xf>
    <xf numFmtId="191" fontId="136" fillId="39" borderId="100" applyNumberFormat="0" applyProtection="0">
      <alignment horizontal="left" vertical="top" indent="1"/>
    </xf>
    <xf numFmtId="4" fontId="130" fillId="77" borderId="98" applyNumberFormat="0" applyProtection="0">
      <alignment horizontal="left" vertical="center" indent="1"/>
    </xf>
    <xf numFmtId="4" fontId="133" fillId="3" borderId="98" applyNumberFormat="0" applyProtection="0">
      <alignment horizontal="right" vertical="center"/>
    </xf>
    <xf numFmtId="4" fontId="130" fillId="0" borderId="98" applyNumberFormat="0" applyProtection="0">
      <alignment horizontal="right" vertical="center"/>
    </xf>
    <xf numFmtId="191" fontId="136" fillId="72" borderId="100" applyNumberFormat="0" applyProtection="0">
      <alignment horizontal="left" vertical="top" indent="1"/>
    </xf>
    <xf numFmtId="4" fontId="136" fillId="34" borderId="100" applyNumberFormat="0" applyProtection="0">
      <alignment horizontal="left" vertical="center" indent="1"/>
    </xf>
    <xf numFmtId="4" fontId="136" fillId="72" borderId="100" applyNumberFormat="0" applyProtection="0">
      <alignment vertical="center"/>
    </xf>
    <xf numFmtId="191" fontId="135" fillId="45" borderId="102" applyBorder="0"/>
    <xf numFmtId="191" fontId="130" fillId="38" borderId="100" applyNumberFormat="0" applyProtection="0">
      <alignment horizontal="left" vertical="top" indent="1"/>
    </xf>
    <xf numFmtId="191" fontId="130" fillId="38" borderId="100" applyNumberFormat="0" applyProtection="0">
      <alignment horizontal="left" vertical="top" indent="1"/>
    </xf>
    <xf numFmtId="191" fontId="130" fillId="38" borderId="100" applyNumberFormat="0" applyProtection="0">
      <alignment horizontal="left" vertical="top" indent="1"/>
    </xf>
    <xf numFmtId="191" fontId="130" fillId="38" borderId="100" applyNumberFormat="0" applyProtection="0">
      <alignment horizontal="left" vertical="top" indent="1"/>
    </xf>
    <xf numFmtId="191" fontId="130" fillId="38" borderId="100" applyNumberFormat="0" applyProtection="0">
      <alignment horizontal="left" vertical="top" indent="1"/>
    </xf>
    <xf numFmtId="191" fontId="130" fillId="38" borderId="100" applyNumberFormat="0" applyProtection="0">
      <alignment horizontal="left" vertical="top" indent="1"/>
    </xf>
    <xf numFmtId="191" fontId="130" fillId="38" borderId="100" applyNumberFormat="0" applyProtection="0">
      <alignment horizontal="left" vertical="top" indent="1"/>
    </xf>
    <xf numFmtId="191" fontId="130" fillId="38" borderId="100" applyNumberFormat="0" applyProtection="0">
      <alignment horizontal="left" vertical="top" indent="1"/>
    </xf>
    <xf numFmtId="191" fontId="84" fillId="38" borderId="100" applyNumberFormat="0" applyProtection="0">
      <alignment horizontal="left" vertical="top" indent="1"/>
    </xf>
    <xf numFmtId="191" fontId="130" fillId="38" borderId="100" applyNumberFormat="0" applyProtection="0">
      <alignment horizontal="left" vertical="top" indent="1"/>
    </xf>
    <xf numFmtId="191" fontId="84" fillId="38" borderId="100" applyNumberFormat="0" applyProtection="0">
      <alignment horizontal="left" vertical="center" indent="1"/>
    </xf>
    <xf numFmtId="191" fontId="130" fillId="38" borderId="98" applyNumberFormat="0" applyProtection="0">
      <alignment horizontal="left" vertical="center" indent="1"/>
    </xf>
    <xf numFmtId="191" fontId="130" fillId="86" borderId="100" applyNumberFormat="0" applyProtection="0">
      <alignment horizontal="left" vertical="top" indent="1"/>
    </xf>
    <xf numFmtId="191" fontId="130" fillId="86" borderId="100" applyNumberFormat="0" applyProtection="0">
      <alignment horizontal="left" vertical="top" indent="1"/>
    </xf>
    <xf numFmtId="191" fontId="130" fillId="86" borderId="100" applyNumberFormat="0" applyProtection="0">
      <alignment horizontal="left" vertical="top" indent="1"/>
    </xf>
    <xf numFmtId="191" fontId="130" fillId="86" borderId="100" applyNumberFormat="0" applyProtection="0">
      <alignment horizontal="left" vertical="top" indent="1"/>
    </xf>
    <xf numFmtId="191" fontId="130" fillId="86" borderId="100" applyNumberFormat="0" applyProtection="0">
      <alignment horizontal="left" vertical="top" indent="1"/>
    </xf>
    <xf numFmtId="191" fontId="130" fillId="86" borderId="100" applyNumberFormat="0" applyProtection="0">
      <alignment horizontal="left" vertical="top" indent="1"/>
    </xf>
    <xf numFmtId="191" fontId="130" fillId="86" borderId="100" applyNumberFormat="0" applyProtection="0">
      <alignment horizontal="left" vertical="top" indent="1"/>
    </xf>
    <xf numFmtId="191" fontId="130" fillId="86" borderId="100" applyNumberFormat="0" applyProtection="0">
      <alignment horizontal="left" vertical="top" indent="1"/>
    </xf>
    <xf numFmtId="191" fontId="84" fillId="86" borderId="100" applyNumberFormat="0" applyProtection="0">
      <alignment horizontal="left" vertical="top" indent="1"/>
    </xf>
    <xf numFmtId="191" fontId="130" fillId="86" borderId="100" applyNumberFormat="0" applyProtection="0">
      <alignment horizontal="left" vertical="top" indent="1"/>
    </xf>
    <xf numFmtId="191" fontId="84" fillId="86" borderId="100" applyNumberFormat="0" applyProtection="0">
      <alignment horizontal="left" vertical="center" indent="1"/>
    </xf>
    <xf numFmtId="191" fontId="130" fillId="86" borderId="98" applyNumberFormat="0" applyProtection="0">
      <alignment horizontal="left" vertical="center" indent="1"/>
    </xf>
    <xf numFmtId="191" fontId="130" fillId="39" borderId="100" applyNumberFormat="0" applyProtection="0">
      <alignment horizontal="left" vertical="top" indent="1"/>
    </xf>
    <xf numFmtId="191" fontId="130" fillId="39" borderId="100" applyNumberFormat="0" applyProtection="0">
      <alignment horizontal="left" vertical="top" indent="1"/>
    </xf>
    <xf numFmtId="191" fontId="130" fillId="39" borderId="100" applyNumberFormat="0" applyProtection="0">
      <alignment horizontal="left" vertical="top" indent="1"/>
    </xf>
    <xf numFmtId="191" fontId="130" fillId="39" borderId="100" applyNumberFormat="0" applyProtection="0">
      <alignment horizontal="left" vertical="top" indent="1"/>
    </xf>
    <xf numFmtId="191" fontId="130" fillId="39" borderId="100" applyNumberFormat="0" applyProtection="0">
      <alignment horizontal="left" vertical="top" indent="1"/>
    </xf>
    <xf numFmtId="191" fontId="130" fillId="39" borderId="100" applyNumberFormat="0" applyProtection="0">
      <alignment horizontal="left" vertical="top" indent="1"/>
    </xf>
    <xf numFmtId="191" fontId="130" fillId="39" borderId="100" applyNumberFormat="0" applyProtection="0">
      <alignment horizontal="left" vertical="top" indent="1"/>
    </xf>
    <xf numFmtId="191" fontId="130" fillId="39" borderId="100" applyNumberFormat="0" applyProtection="0">
      <alignment horizontal="left" vertical="top" indent="1"/>
    </xf>
    <xf numFmtId="191" fontId="84" fillId="39" borderId="100" applyNumberFormat="0" applyProtection="0">
      <alignment horizontal="left" vertical="top" indent="1"/>
    </xf>
    <xf numFmtId="191" fontId="130" fillId="39" borderId="100" applyNumberFormat="0" applyProtection="0">
      <alignment horizontal="left" vertical="top" indent="1"/>
    </xf>
    <xf numFmtId="191" fontId="84" fillId="39" borderId="100" applyNumberFormat="0" applyProtection="0">
      <alignment horizontal="left" vertical="center" indent="1"/>
    </xf>
    <xf numFmtId="191" fontId="130" fillId="85" borderId="98" applyNumberFormat="0" applyProtection="0">
      <alignment horizontal="left" vertical="center" indent="1"/>
    </xf>
    <xf numFmtId="191" fontId="130" fillId="45" borderId="100" applyNumberFormat="0" applyProtection="0">
      <alignment horizontal="left" vertical="top" indent="1"/>
    </xf>
    <xf numFmtId="191" fontId="130" fillId="45" borderId="100" applyNumberFormat="0" applyProtection="0">
      <alignment horizontal="left" vertical="top" indent="1"/>
    </xf>
    <xf numFmtId="191" fontId="130" fillId="45" borderId="100" applyNumberFormat="0" applyProtection="0">
      <alignment horizontal="left" vertical="top" indent="1"/>
    </xf>
    <xf numFmtId="191" fontId="130" fillId="45" borderId="100" applyNumberFormat="0" applyProtection="0">
      <alignment horizontal="left" vertical="top" indent="1"/>
    </xf>
    <xf numFmtId="191" fontId="130" fillId="45" borderId="100" applyNumberFormat="0" applyProtection="0">
      <alignment horizontal="left" vertical="top" indent="1"/>
    </xf>
    <xf numFmtId="191" fontId="130" fillId="45" borderId="100" applyNumberFormat="0" applyProtection="0">
      <alignment horizontal="left" vertical="top" indent="1"/>
    </xf>
    <xf numFmtId="191" fontId="84" fillId="45" borderId="100" applyNumberFormat="0" applyProtection="0">
      <alignment horizontal="left" vertical="top" indent="1"/>
    </xf>
    <xf numFmtId="191" fontId="130" fillId="45" borderId="100" applyNumberFormat="0" applyProtection="0">
      <alignment horizontal="left" vertical="top" indent="1"/>
    </xf>
    <xf numFmtId="191" fontId="84" fillId="45" borderId="100" applyNumberFormat="0" applyProtection="0">
      <alignment horizontal="left" vertical="center" indent="1"/>
    </xf>
    <xf numFmtId="191" fontId="130" fillId="34" borderId="98" applyNumberFormat="0" applyProtection="0">
      <alignment horizontal="left" vertical="center" indent="1"/>
    </xf>
    <xf numFmtId="4" fontId="130" fillId="39" borderId="101" applyNumberFormat="0" applyProtection="0">
      <alignment horizontal="left" vertical="center" indent="1"/>
    </xf>
    <xf numFmtId="4" fontId="130" fillId="38" borderId="101" applyNumberFormat="0" applyProtection="0">
      <alignment horizontal="left" vertical="center" indent="1"/>
    </xf>
    <xf numFmtId="4" fontId="130" fillId="39" borderId="98" applyNumberFormat="0" applyProtection="0">
      <alignment horizontal="right" vertical="center"/>
    </xf>
    <xf numFmtId="4" fontId="84" fillId="45" borderId="101" applyNumberFormat="0" applyProtection="0">
      <alignment horizontal="left" vertical="center" indent="1"/>
    </xf>
    <xf numFmtId="4" fontId="84" fillId="45" borderId="101" applyNumberFormat="0" applyProtection="0">
      <alignment horizontal="left" vertical="center" indent="1"/>
    </xf>
    <xf numFmtId="4" fontId="130" fillId="84" borderId="101" applyNumberFormat="0" applyProtection="0">
      <alignment horizontal="left" vertical="center" indent="1"/>
    </xf>
    <xf numFmtId="4" fontId="130" fillId="83" borderId="98" applyNumberFormat="0" applyProtection="0">
      <alignment horizontal="right" vertical="center"/>
    </xf>
    <xf numFmtId="4" fontId="130" fillId="40" borderId="98" applyNumberFormat="0" applyProtection="0">
      <alignment horizontal="right" vertical="center"/>
    </xf>
    <xf numFmtId="4" fontId="130" fillId="43" borderId="98" applyNumberFormat="0" applyProtection="0">
      <alignment horizontal="right" vertical="center"/>
    </xf>
    <xf numFmtId="4" fontId="130" fillId="82" borderId="98" applyNumberFormat="0" applyProtection="0">
      <alignment horizontal="right" vertical="center"/>
    </xf>
    <xf numFmtId="4" fontId="130" fillId="81" borderId="98" applyNumberFormat="0" applyProtection="0">
      <alignment horizontal="right" vertical="center"/>
    </xf>
    <xf numFmtId="4" fontId="130" fillId="47" borderId="98" applyNumberFormat="0" applyProtection="0">
      <alignment horizontal="right" vertical="center"/>
    </xf>
    <xf numFmtId="4" fontId="130" fillId="80" borderId="101" applyNumberFormat="0" applyProtection="0">
      <alignment horizontal="right" vertical="center"/>
    </xf>
    <xf numFmtId="4" fontId="130" fillId="79" borderId="98" applyNumberFormat="0" applyProtection="0">
      <alignment horizontal="right" vertical="center"/>
    </xf>
    <xf numFmtId="4" fontId="130" fillId="78" borderId="98" applyNumberFormat="0" applyProtection="0">
      <alignment horizontal="right" vertical="center"/>
    </xf>
    <xf numFmtId="4" fontId="130" fillId="77" borderId="98" applyNumberFormat="0" applyProtection="0">
      <alignment horizontal="left" vertical="center" indent="1"/>
    </xf>
    <xf numFmtId="191" fontId="134" fillId="76" borderId="100" applyNumberFormat="0" applyProtection="0">
      <alignment horizontal="left" vertical="top" indent="1"/>
    </xf>
    <xf numFmtId="4" fontId="130" fillId="6" borderId="98" applyNumberFormat="0" applyProtection="0">
      <alignment horizontal="left" vertical="center" indent="1"/>
    </xf>
    <xf numFmtId="4" fontId="133" fillId="6" borderId="98" applyNumberFormat="0" applyProtection="0">
      <alignment vertical="center"/>
    </xf>
    <xf numFmtId="4" fontId="130" fillId="76" borderId="98" applyNumberFormat="0" applyProtection="0">
      <alignment vertical="center"/>
    </xf>
    <xf numFmtId="191" fontId="131" fillId="68" borderId="99" applyNumberFormat="0" applyAlignment="0" applyProtection="0"/>
    <xf numFmtId="191" fontId="131" fillId="68" borderId="99" applyNumberFormat="0" applyAlignment="0" applyProtection="0"/>
    <xf numFmtId="191" fontId="130" fillId="64" borderId="98" applyNumberFormat="0" applyFont="0" applyAlignment="0" applyProtection="0"/>
    <xf numFmtId="191" fontId="130" fillId="64" borderId="98" applyNumberFormat="0" applyFont="0" applyAlignment="0" applyProtection="0"/>
    <xf numFmtId="191" fontId="130" fillId="64" borderId="98" applyNumberFormat="0" applyFont="0" applyAlignment="0" applyProtection="0"/>
    <xf numFmtId="191" fontId="130" fillId="64" borderId="98" applyNumberFormat="0" applyFont="0" applyAlignment="0" applyProtection="0"/>
    <xf numFmtId="191" fontId="130" fillId="64" borderId="98" applyNumberFormat="0" applyFont="0" applyAlignment="0" applyProtection="0"/>
    <xf numFmtId="191" fontId="130" fillId="64" borderId="98" applyNumberFormat="0" applyFont="0" applyAlignment="0" applyProtection="0"/>
    <xf numFmtId="191" fontId="130" fillId="64" borderId="98" applyNumberFormat="0" applyFont="0" applyAlignment="0" applyProtection="0"/>
    <xf numFmtId="191" fontId="130" fillId="64" borderId="98" applyNumberFormat="0" applyFont="0" applyAlignment="0" applyProtection="0"/>
    <xf numFmtId="191" fontId="130" fillId="64" borderId="98" applyNumberFormat="0" applyFont="0" applyAlignment="0" applyProtection="0"/>
    <xf numFmtId="191" fontId="117" fillId="68" borderId="104" applyNumberFormat="0" applyAlignment="0" applyProtection="0"/>
    <xf numFmtId="191" fontId="117" fillId="68" borderId="104" applyNumberFormat="0" applyAlignment="0" applyProtection="0"/>
    <xf numFmtId="191" fontId="125" fillId="65" borderId="104" applyNumberFormat="0" applyAlignment="0" applyProtection="0"/>
    <xf numFmtId="191" fontId="125" fillId="65" borderId="104" applyNumberFormat="0" applyAlignment="0" applyProtection="0"/>
    <xf numFmtId="191" fontId="125" fillId="65" borderId="98" applyNumberFormat="0" applyAlignment="0" applyProtection="0"/>
    <xf numFmtId="191" fontId="125" fillId="65" borderId="98" applyNumberFormat="0" applyAlignment="0" applyProtection="0"/>
    <xf numFmtId="191" fontId="117" fillId="68" borderId="98" applyNumberFormat="0" applyAlignment="0" applyProtection="0"/>
    <xf numFmtId="191" fontId="117" fillId="68" borderId="98" applyNumberFormat="0" applyAlignment="0" applyProtection="0"/>
    <xf numFmtId="191" fontId="130" fillId="64" borderId="104" applyNumberFormat="0" applyFont="0" applyAlignment="0" applyProtection="0"/>
    <xf numFmtId="191" fontId="130" fillId="64" borderId="104" applyNumberFormat="0" applyFont="0" applyAlignment="0" applyProtection="0"/>
    <xf numFmtId="191" fontId="130" fillId="64" borderId="104" applyNumberFormat="0" applyFont="0" applyAlignment="0" applyProtection="0"/>
    <xf numFmtId="191" fontId="130" fillId="64" borderId="104" applyNumberFormat="0" applyFont="0" applyAlignment="0" applyProtection="0"/>
    <xf numFmtId="191" fontId="130" fillId="64" borderId="104" applyNumberFormat="0" applyFont="0" applyAlignment="0" applyProtection="0"/>
    <xf numFmtId="191" fontId="130" fillId="64" borderId="104" applyNumberFormat="0" applyFont="0" applyAlignment="0" applyProtection="0"/>
    <xf numFmtId="191" fontId="130" fillId="64" borderId="104" applyNumberFormat="0" applyFont="0" applyAlignment="0" applyProtection="0"/>
    <xf numFmtId="191" fontId="130" fillId="64" borderId="104" applyNumberFormat="0" applyFont="0" applyAlignment="0" applyProtection="0"/>
    <xf numFmtId="191" fontId="130" fillId="64" borderId="104" applyNumberFormat="0" applyFont="0" applyAlignment="0" applyProtection="0"/>
    <xf numFmtId="4" fontId="130" fillId="76" borderId="104" applyNumberFormat="0" applyProtection="0">
      <alignment vertical="center"/>
    </xf>
    <xf numFmtId="4" fontId="133" fillId="6" borderId="104" applyNumberFormat="0" applyProtection="0">
      <alignment vertical="center"/>
    </xf>
    <xf numFmtId="4" fontId="130" fillId="6" borderId="104" applyNumberFormat="0" applyProtection="0">
      <alignment horizontal="left" vertical="center" indent="1"/>
    </xf>
    <xf numFmtId="4" fontId="130" fillId="77" borderId="104" applyNumberFormat="0" applyProtection="0">
      <alignment horizontal="left" vertical="center" indent="1"/>
    </xf>
    <xf numFmtId="4" fontId="130" fillId="78" borderId="104" applyNumberFormat="0" applyProtection="0">
      <alignment horizontal="right" vertical="center"/>
    </xf>
    <xf numFmtId="4" fontId="130" fillId="79" borderId="104" applyNumberFormat="0" applyProtection="0">
      <alignment horizontal="right" vertical="center"/>
    </xf>
    <xf numFmtId="4" fontId="130" fillId="47" borderId="104" applyNumberFormat="0" applyProtection="0">
      <alignment horizontal="right" vertical="center"/>
    </xf>
    <xf numFmtId="4" fontId="130" fillId="81" borderId="104" applyNumberFormat="0" applyProtection="0">
      <alignment horizontal="right" vertical="center"/>
    </xf>
    <xf numFmtId="4" fontId="130" fillId="82" borderId="104" applyNumberFormat="0" applyProtection="0">
      <alignment horizontal="right" vertical="center"/>
    </xf>
    <xf numFmtId="4" fontId="130" fillId="43" borderId="104" applyNumberFormat="0" applyProtection="0">
      <alignment horizontal="right" vertical="center"/>
    </xf>
    <xf numFmtId="4" fontId="130" fillId="40" borderId="104" applyNumberFormat="0" applyProtection="0">
      <alignment horizontal="right" vertical="center"/>
    </xf>
    <xf numFmtId="4" fontId="130" fillId="83" borderId="104" applyNumberFormat="0" applyProtection="0">
      <alignment horizontal="right" vertical="center"/>
    </xf>
    <xf numFmtId="4" fontId="130" fillId="39" borderId="104" applyNumberFormat="0" applyProtection="0">
      <alignment horizontal="right" vertical="center"/>
    </xf>
    <xf numFmtId="191" fontId="130" fillId="34" borderId="104" applyNumberFormat="0" applyProtection="0">
      <alignment horizontal="left" vertical="center" indent="1"/>
    </xf>
    <xf numFmtId="191" fontId="130" fillId="85" borderId="104" applyNumberFormat="0" applyProtection="0">
      <alignment horizontal="left" vertical="center" indent="1"/>
    </xf>
    <xf numFmtId="191" fontId="130" fillId="86" borderId="104" applyNumberFormat="0" applyProtection="0">
      <alignment horizontal="left" vertical="center" indent="1"/>
    </xf>
    <xf numFmtId="191" fontId="130" fillId="38" borderId="104" applyNumberFormat="0" applyProtection="0">
      <alignment horizontal="left" vertical="center" indent="1"/>
    </xf>
    <xf numFmtId="4" fontId="130" fillId="0" borderId="104" applyNumberFormat="0" applyProtection="0">
      <alignment horizontal="right" vertical="center"/>
    </xf>
    <xf numFmtId="4" fontId="133" fillId="3" borderId="104" applyNumberFormat="0" applyProtection="0">
      <alignment horizontal="right" vertical="center"/>
    </xf>
    <xf numFmtId="4" fontId="130" fillId="77" borderId="104" applyNumberFormat="0" applyProtection="0">
      <alignment horizontal="left" vertical="center" indent="1"/>
    </xf>
    <xf numFmtId="4" fontId="138" fillId="87" borderId="104" applyNumberFormat="0" applyProtection="0">
      <alignment horizontal="right" vertical="center"/>
    </xf>
  </cellStyleXfs>
  <cellXfs count="817">
    <xf numFmtId="0" fontId="0" fillId="0" borderId="0" xfId="0"/>
    <xf numFmtId="0" fontId="2" fillId="0" borderId="0" xfId="0" applyFont="1"/>
    <xf numFmtId="0" fontId="0" fillId="0" borderId="1" xfId="0" applyBorder="1"/>
    <xf numFmtId="170" fontId="0" fillId="0" borderId="0" xfId="0" applyNumberFormat="1"/>
    <xf numFmtId="1" fontId="0" fillId="0" borderId="1" xfId="0" applyNumberFormat="1" applyBorder="1"/>
    <xf numFmtId="0" fontId="3" fillId="0" borderId="1" xfId="0" applyFont="1" applyBorder="1"/>
    <xf numFmtId="0" fontId="7" fillId="2" borderId="0" xfId="1" applyNumberFormat="1" applyFont="1" applyFill="1" applyBorder="1" applyAlignment="1" applyProtection="1">
      <alignment horizontal="left"/>
    </xf>
    <xf numFmtId="0" fontId="0" fillId="2" borderId="0" xfId="0" applyFill="1"/>
    <xf numFmtId="0" fontId="8" fillId="2" borderId="2" xfId="1" applyNumberFormat="1" applyFont="1" applyFill="1" applyBorder="1" applyAlignment="1" applyProtection="1">
      <alignment horizontal="left"/>
    </xf>
    <xf numFmtId="0" fontId="9" fillId="3" borderId="0" xfId="2" applyNumberFormat="1" applyFont="1" applyFill="1"/>
    <xf numFmtId="0" fontId="11" fillId="4" borderId="0" xfId="3" applyNumberFormat="1" applyFont="1" applyFill="1"/>
    <xf numFmtId="0" fontId="6" fillId="0" borderId="1" xfId="4" applyFont="1" applyBorder="1"/>
    <xf numFmtId="0" fontId="6" fillId="5" borderId="1" xfId="4" applyFont="1" applyFill="1" applyBorder="1" applyAlignment="1" applyProtection="1">
      <alignment horizontal="center"/>
      <protection locked="0"/>
    </xf>
    <xf numFmtId="169" fontId="6" fillId="6" borderId="1" xfId="4" applyNumberFormat="1" applyFont="1" applyFill="1" applyBorder="1" applyAlignment="1" applyProtection="1">
      <alignment horizontal="center"/>
      <protection locked="0"/>
    </xf>
    <xf numFmtId="171" fontId="6" fillId="6" borderId="1" xfId="4" applyNumberFormat="1" applyFont="1" applyFill="1" applyBorder="1" applyAlignment="1" applyProtection="1">
      <alignment horizontal="center"/>
      <protection locked="0"/>
    </xf>
    <xf numFmtId="0" fontId="6" fillId="7" borderId="1" xfId="4" applyFont="1" applyFill="1" applyBorder="1" applyAlignment="1">
      <alignment horizontal="center"/>
    </xf>
    <xf numFmtId="0" fontId="6" fillId="0" borderId="1" xfId="4" applyFont="1" applyBorder="1" applyAlignment="1">
      <alignment horizontal="right"/>
    </xf>
    <xf numFmtId="2" fontId="6" fillId="5" borderId="1" xfId="4" applyNumberFormat="1" applyFont="1" applyFill="1" applyBorder="1"/>
    <xf numFmtId="0" fontId="12" fillId="0" borderId="1" xfId="4" applyFont="1" applyBorder="1"/>
    <xf numFmtId="0" fontId="6" fillId="8" borderId="1" xfId="4" applyFont="1" applyFill="1" applyBorder="1" applyAlignment="1">
      <alignment horizontal="center"/>
    </xf>
    <xf numFmtId="172" fontId="6" fillId="8" borderId="1" xfId="4" applyNumberFormat="1" applyFont="1" applyFill="1" applyBorder="1"/>
    <xf numFmtId="172" fontId="6" fillId="8" borderId="1" xfId="5" applyNumberFormat="1" applyFont="1" applyFill="1" applyBorder="1"/>
    <xf numFmtId="0" fontId="13" fillId="0" borderId="0" xfId="0" applyFont="1" applyAlignment="1">
      <alignment vertical="center"/>
    </xf>
    <xf numFmtId="0" fontId="14" fillId="0" borderId="0" xfId="4" applyFont="1"/>
    <xf numFmtId="173" fontId="6" fillId="0" borderId="1" xfId="5" applyFont="1" applyBorder="1"/>
    <xf numFmtId="172" fontId="6" fillId="7" borderId="1" xfId="5" applyNumberFormat="1" applyFont="1" applyFill="1" applyBorder="1" applyAlignment="1">
      <alignment horizontal="center"/>
    </xf>
    <xf numFmtId="173" fontId="14" fillId="0" borderId="0" xfId="5" applyFont="1"/>
    <xf numFmtId="172" fontId="14" fillId="0" borderId="0" xfId="4" applyNumberFormat="1" applyFont="1"/>
    <xf numFmtId="0" fontId="15" fillId="0" borderId="0" xfId="0" applyFont="1" applyAlignment="1">
      <alignment vertical="center" wrapText="1"/>
    </xf>
    <xf numFmtId="3" fontId="19" fillId="0" borderId="8"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26" fillId="0" borderId="0" xfId="9" applyAlignment="1">
      <alignment vertical="center"/>
    </xf>
    <xf numFmtId="0" fontId="17" fillId="0" borderId="9" xfId="0" applyFont="1" applyBorder="1" applyAlignment="1">
      <alignment horizontal="right" vertical="center"/>
    </xf>
    <xf numFmtId="0" fontId="0" fillId="0" borderId="0" xfId="0" applyAlignment="1"/>
    <xf numFmtId="0" fontId="24" fillId="0" borderId="3" xfId="0" applyFont="1" applyBorder="1" applyAlignment="1">
      <alignment vertical="center" wrapText="1"/>
    </xf>
    <xf numFmtId="0" fontId="25" fillId="0" borderId="9" xfId="0" applyFont="1" applyBorder="1" applyAlignment="1">
      <alignment vertical="center" wrapText="1"/>
    </xf>
    <xf numFmtId="0" fontId="27" fillId="0" borderId="6" xfId="0" applyFont="1" applyBorder="1" applyAlignment="1">
      <alignment vertical="center" wrapText="1"/>
    </xf>
    <xf numFmtId="0" fontId="29" fillId="0" borderId="9" xfId="0" applyFont="1" applyBorder="1" applyAlignment="1">
      <alignment vertical="center" wrapText="1"/>
    </xf>
    <xf numFmtId="0" fontId="24" fillId="11" borderId="9" xfId="0" applyFont="1" applyFill="1" applyBorder="1" applyAlignment="1">
      <alignment vertical="center" wrapText="1"/>
    </xf>
    <xf numFmtId="0" fontId="24" fillId="12" borderId="9"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5" fillId="0" borderId="6" xfId="0" applyFont="1" applyBorder="1" applyAlignment="1">
      <alignment vertical="center" wrapText="1"/>
    </xf>
    <xf numFmtId="0" fontId="34" fillId="0" borderId="7" xfId="0" applyFont="1" applyBorder="1" applyAlignment="1">
      <alignment horizontal="right" vertical="center" wrapText="1"/>
    </xf>
    <xf numFmtId="0" fontId="16" fillId="0" borderId="0" xfId="0" applyFont="1" applyAlignment="1">
      <alignment vertical="center" wrapText="1"/>
    </xf>
    <xf numFmtId="0" fontId="0" fillId="0" borderId="10" xfId="0" applyBorder="1"/>
    <xf numFmtId="174" fontId="0" fillId="0" borderId="1" xfId="0" applyNumberFormat="1" applyBorder="1"/>
    <xf numFmtId="169" fontId="0" fillId="0" borderId="1" xfId="0" applyNumberFormat="1" applyBorder="1"/>
    <xf numFmtId="0" fontId="37" fillId="0" borderId="6" xfId="0" applyFont="1" applyBorder="1" applyAlignment="1">
      <alignment vertical="center"/>
    </xf>
    <xf numFmtId="4" fontId="0" fillId="0" borderId="0" xfId="0" applyNumberFormat="1"/>
    <xf numFmtId="0" fontId="24" fillId="0" borderId="5" xfId="0" applyFont="1" applyBorder="1" applyAlignment="1">
      <alignment vertical="center" wrapText="1"/>
    </xf>
    <xf numFmtId="0" fontId="22" fillId="0" borderId="0"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horizontal="right" vertical="center"/>
    </xf>
    <xf numFmtId="3" fontId="17" fillId="0" borderId="0" xfId="0" applyNumberFormat="1" applyFont="1" applyBorder="1" applyAlignment="1">
      <alignment horizontal="right" vertical="center"/>
    </xf>
    <xf numFmtId="0" fontId="28" fillId="0" borderId="0" xfId="9" applyFont="1" applyBorder="1" applyAlignment="1">
      <alignment horizontal="right" vertical="center"/>
    </xf>
    <xf numFmtId="0" fontId="26" fillId="0" borderId="0" xfId="9"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0" fillId="0" borderId="0" xfId="0" applyBorder="1" applyAlignment="1"/>
    <xf numFmtId="0" fontId="16" fillId="0" borderId="0" xfId="0" applyFont="1" applyBorder="1" applyAlignment="1"/>
    <xf numFmtId="0" fontId="0" fillId="0" borderId="0" xfId="0"/>
    <xf numFmtId="0" fontId="0" fillId="0" borderId="0" xfId="0" applyAlignment="1">
      <alignment vertical="center"/>
    </xf>
    <xf numFmtId="0" fontId="43" fillId="0" borderId="9" xfId="0" applyFont="1" applyBorder="1" applyAlignment="1">
      <alignment vertical="center" wrapText="1"/>
    </xf>
    <xf numFmtId="0" fontId="19" fillId="0" borderId="6" xfId="0" applyFont="1" applyBorder="1" applyAlignment="1">
      <alignment vertical="center" wrapText="1"/>
    </xf>
    <xf numFmtId="0" fontId="30" fillId="0" borderId="9" xfId="0" applyFont="1" applyBorder="1" applyAlignment="1">
      <alignment horizontal="left" vertical="center" wrapText="1" indent="2"/>
    </xf>
    <xf numFmtId="0" fontId="27" fillId="0" borderId="9" xfId="0" applyFont="1" applyBorder="1" applyAlignment="1">
      <alignment horizontal="left" vertical="center" wrapText="1" indent="2"/>
    </xf>
    <xf numFmtId="0" fontId="30" fillId="0" borderId="6" xfId="0" applyFont="1" applyBorder="1" applyAlignment="1">
      <alignment horizontal="left" vertical="center" wrapText="1" indent="2"/>
    </xf>
    <xf numFmtId="0" fontId="19" fillId="0" borderId="9" xfId="0" applyFont="1" applyBorder="1" applyAlignment="1">
      <alignment horizontal="left" vertical="center" wrapText="1" indent="2"/>
    </xf>
    <xf numFmtId="0" fontId="27" fillId="0" borderId="3" xfId="0" applyFont="1" applyBorder="1" applyAlignment="1">
      <alignment vertical="center" wrapText="1"/>
    </xf>
    <xf numFmtId="0" fontId="24" fillId="13" borderId="4" xfId="0" applyFont="1" applyFill="1" applyBorder="1" applyAlignment="1">
      <alignment horizontal="center" vertical="center" wrapText="1"/>
    </xf>
    <xf numFmtId="0" fontId="27" fillId="0" borderId="6" xfId="0" applyFont="1" applyBorder="1" applyAlignment="1">
      <alignment horizontal="center" vertical="center" wrapText="1"/>
    </xf>
    <xf numFmtId="0" fontId="4" fillId="0" borderId="3" xfId="0" applyFont="1" applyBorder="1" applyAlignment="1">
      <alignment vertical="center" wrapText="1"/>
    </xf>
    <xf numFmtId="0" fontId="4" fillId="13" borderId="4" xfId="0"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horizontal="center" vertical="center" wrapText="1"/>
    </xf>
    <xf numFmtId="9" fontId="27" fillId="0" borderId="6" xfId="0" applyNumberFormat="1" applyFont="1" applyBorder="1" applyAlignment="1">
      <alignment vertical="center" wrapText="1"/>
    </xf>
    <xf numFmtId="9" fontId="27" fillId="0" borderId="6" xfId="0" applyNumberFormat="1" applyFont="1" applyBorder="1" applyAlignment="1">
      <alignment horizontal="center" vertical="center" wrapText="1"/>
    </xf>
    <xf numFmtId="10" fontId="27" fillId="0" borderId="6" xfId="0" applyNumberFormat="1" applyFont="1" applyBorder="1" applyAlignment="1">
      <alignment horizontal="center" vertical="center" wrapText="1"/>
    </xf>
    <xf numFmtId="0" fontId="17" fillId="0" borderId="4" xfId="0" applyFont="1" applyBorder="1" applyAlignment="1">
      <alignment horizontal="right" vertical="center"/>
    </xf>
    <xf numFmtId="0" fontId="17" fillId="0" borderId="17" xfId="0" applyFont="1" applyBorder="1" applyAlignment="1">
      <alignment horizontal="center" vertical="center"/>
    </xf>
    <xf numFmtId="0" fontId="24" fillId="12" borderId="6" xfId="0" applyFont="1" applyFill="1" applyBorder="1" applyAlignment="1">
      <alignment horizontal="center" vertical="center" wrapText="1"/>
    </xf>
    <xf numFmtId="0" fontId="27" fillId="10" borderId="6" xfId="0" applyFont="1" applyFill="1" applyBorder="1" applyAlignment="1">
      <alignment horizontal="center" vertical="center"/>
    </xf>
    <xf numFmtId="0" fontId="27" fillId="10" borderId="6" xfId="0" applyFont="1" applyFill="1" applyBorder="1" applyAlignment="1">
      <alignment horizontal="center" vertical="center" wrapText="1"/>
    </xf>
    <xf numFmtId="0" fontId="0" fillId="0" borderId="3" xfId="0" applyBorder="1"/>
    <xf numFmtId="9" fontId="27" fillId="0" borderId="0" xfId="0" applyNumberFormat="1" applyFont="1" applyBorder="1" applyAlignment="1">
      <alignment vertical="center" wrapText="1"/>
    </xf>
    <xf numFmtId="0" fontId="0" fillId="0" borderId="0" xfId="0" applyFill="1" applyBorder="1"/>
    <xf numFmtId="0" fontId="24"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7"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 fillId="0" borderId="0" xfId="0" applyFont="1" applyFill="1" applyBorder="1" applyAlignment="1">
      <alignment vertical="center"/>
    </xf>
    <xf numFmtId="0" fontId="4" fillId="0" borderId="0" xfId="0" applyFont="1" applyFill="1" applyBorder="1" applyAlignment="1">
      <alignment vertical="center" wrapText="1"/>
    </xf>
    <xf numFmtId="0" fontId="40" fillId="0" borderId="0" xfId="0" applyFont="1" applyAlignment="1">
      <alignment vertical="center"/>
    </xf>
    <xf numFmtId="0" fontId="38" fillId="0" borderId="6" xfId="0" applyFont="1" applyBorder="1" applyAlignment="1">
      <alignment horizontal="center" vertical="center" wrapText="1"/>
    </xf>
    <xf numFmtId="0" fontId="38" fillId="0" borderId="2" xfId="0" applyFont="1" applyBorder="1" applyAlignment="1">
      <alignment horizontal="center" vertical="center" wrapText="1"/>
    </xf>
    <xf numFmtId="0" fontId="48" fillId="0" borderId="0" xfId="0" applyFont="1" applyAlignment="1">
      <alignment vertical="center"/>
    </xf>
    <xf numFmtId="0" fontId="32" fillId="14" borderId="2" xfId="0" applyFont="1" applyFill="1" applyBorder="1" applyAlignment="1">
      <alignment horizontal="right" vertical="center" wrapText="1"/>
    </xf>
    <xf numFmtId="0" fontId="49" fillId="0" borderId="2" xfId="0" applyFont="1" applyBorder="1" applyAlignment="1">
      <alignment horizontal="right" vertical="center" wrapText="1"/>
    </xf>
    <xf numFmtId="0" fontId="32" fillId="14" borderId="6" xfId="0" applyFont="1" applyFill="1" applyBorder="1" applyAlignment="1">
      <alignment horizontal="right" vertical="center" wrapText="1"/>
    </xf>
    <xf numFmtId="0" fontId="0" fillId="0" borderId="0" xfId="0"/>
    <xf numFmtId="0" fontId="24" fillId="13" borderId="4" xfId="0" applyFont="1" applyFill="1" applyBorder="1" applyAlignment="1">
      <alignment horizontal="center" vertical="center" wrapText="1"/>
    </xf>
    <xf numFmtId="0" fontId="0" fillId="0" borderId="0" xfId="0"/>
    <xf numFmtId="0" fontId="37" fillId="0" borderId="6" xfId="0" applyFont="1" applyBorder="1" applyAlignment="1">
      <alignment vertical="center" wrapText="1"/>
    </xf>
    <xf numFmtId="0" fontId="38" fillId="0" borderId="9" xfId="0" applyFont="1" applyBorder="1" applyAlignment="1">
      <alignment vertical="center" wrapText="1"/>
    </xf>
    <xf numFmtId="0" fontId="0" fillId="0" borderId="0" xfId="0"/>
    <xf numFmtId="0" fontId="27" fillId="0" borderId="0" xfId="0" applyFont="1" applyBorder="1" applyAlignment="1">
      <alignment vertical="center" wrapText="1"/>
    </xf>
    <xf numFmtId="0" fontId="29" fillId="0" borderId="12" xfId="0" applyFont="1" applyBorder="1" applyAlignment="1">
      <alignment vertical="center" wrapText="1"/>
    </xf>
    <xf numFmtId="0" fontId="19" fillId="0" borderId="0" xfId="0" applyFont="1" applyBorder="1" applyAlignment="1">
      <alignment vertical="center" wrapText="1"/>
    </xf>
    <xf numFmtId="0" fontId="27" fillId="0" borderId="2" xfId="0" applyFont="1" applyBorder="1" applyAlignment="1">
      <alignment vertical="center" wrapText="1"/>
    </xf>
    <xf numFmtId="0" fontId="21" fillId="15" borderId="15" xfId="0" applyFont="1" applyFill="1" applyBorder="1" applyAlignment="1">
      <alignment vertical="center" wrapText="1"/>
    </xf>
    <xf numFmtId="0" fontId="0" fillId="15" borderId="5" xfId="0" applyFill="1" applyBorder="1" applyAlignment="1">
      <alignment vertical="top" wrapText="1"/>
    </xf>
    <xf numFmtId="0" fontId="0" fillId="15" borderId="18" xfId="0" applyFill="1" applyBorder="1"/>
    <xf numFmtId="2" fontId="0" fillId="0" borderId="3" xfId="0" applyNumberFormat="1" applyBorder="1" applyAlignment="1">
      <alignment wrapText="1"/>
    </xf>
    <xf numFmtId="0" fontId="30" fillId="0" borderId="0" xfId="0" applyFont="1" applyBorder="1" applyAlignment="1">
      <alignment horizontal="left" vertical="center" wrapText="1" indent="2"/>
    </xf>
    <xf numFmtId="0" fontId="27" fillId="0" borderId="0" xfId="0" applyFont="1" applyBorder="1" applyAlignment="1">
      <alignment horizontal="left" vertical="center" wrapText="1" indent="2"/>
    </xf>
    <xf numFmtId="0" fontId="30" fillId="0" borderId="2" xfId="0" applyFont="1" applyBorder="1" applyAlignment="1">
      <alignment horizontal="left" vertical="center" wrapText="1" indent="2"/>
    </xf>
    <xf numFmtId="0" fontId="50" fillId="0" borderId="5" xfId="0" applyFont="1" applyBorder="1" applyAlignment="1">
      <alignment wrapText="1"/>
    </xf>
    <xf numFmtId="169" fontId="5" fillId="0" borderId="6" xfId="0" applyNumberFormat="1" applyFont="1" applyBorder="1" applyAlignment="1">
      <alignment horizontal="center" vertical="center" wrapText="1"/>
    </xf>
    <xf numFmtId="0" fontId="2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0" fillId="0" borderId="0" xfId="0"/>
    <xf numFmtId="0" fontId="32" fillId="0" borderId="6" xfId="0" applyFont="1" applyBorder="1" applyAlignment="1">
      <alignment horizontal="right" vertical="center" wrapText="1"/>
    </xf>
    <xf numFmtId="0" fontId="32" fillId="0" borderId="2" xfId="0" applyFont="1" applyBorder="1" applyAlignment="1">
      <alignment horizontal="right" vertical="center" wrapText="1"/>
    </xf>
    <xf numFmtId="0" fontId="17" fillId="0" borderId="20" xfId="0" applyFont="1" applyBorder="1" applyAlignment="1">
      <alignment horizontal="right" vertical="center"/>
    </xf>
    <xf numFmtId="0" fontId="17" fillId="0" borderId="22" xfId="0" applyFont="1" applyBorder="1" applyAlignment="1">
      <alignment horizontal="right" vertical="center"/>
    </xf>
    <xf numFmtId="0" fontId="27" fillId="0" borderId="0" xfId="0" applyFont="1" applyBorder="1" applyAlignment="1">
      <alignment horizontal="right" vertical="center" wrapText="1"/>
    </xf>
    <xf numFmtId="0" fontId="24" fillId="0" borderId="23" xfId="0" applyFont="1" applyBorder="1" applyAlignment="1">
      <alignment horizontal="right"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16" fillId="0" borderId="29" xfId="0" applyFont="1" applyBorder="1" applyAlignment="1">
      <alignment vertical="center" wrapText="1"/>
    </xf>
    <xf numFmtId="0" fontId="16" fillId="0" borderId="0" xfId="0" applyFont="1" applyBorder="1" applyAlignment="1">
      <alignment vertical="center" wrapText="1"/>
    </xf>
    <xf numFmtId="0" fontId="27" fillId="0" borderId="0" xfId="0" applyFont="1" applyBorder="1" applyAlignment="1">
      <alignment horizontal="center" vertical="center" wrapText="1"/>
    </xf>
    <xf numFmtId="0" fontId="27" fillId="0" borderId="20" xfId="0" applyFont="1" applyBorder="1" applyAlignment="1">
      <alignment horizontal="center" vertical="center" wrapText="1"/>
    </xf>
    <xf numFmtId="3" fontId="19" fillId="0" borderId="29" xfId="0" applyNumberFormat="1" applyFont="1" applyBorder="1" applyAlignment="1">
      <alignment horizontal="center" vertical="center" wrapText="1"/>
    </xf>
    <xf numFmtId="3" fontId="19" fillId="0" borderId="0" xfId="0" applyNumberFormat="1" applyFont="1" applyBorder="1" applyAlignment="1">
      <alignment horizontal="center" vertical="center" wrapText="1"/>
    </xf>
    <xf numFmtId="9" fontId="19" fillId="0" borderId="20" xfId="0" applyNumberFormat="1" applyFont="1" applyBorder="1" applyAlignment="1">
      <alignment horizontal="center" vertical="center" wrapText="1"/>
    </xf>
    <xf numFmtId="3" fontId="21" fillId="0" borderId="30" xfId="0" applyNumberFormat="1" applyFont="1" applyBorder="1" applyAlignment="1">
      <alignment horizontal="center" vertical="center" wrapText="1"/>
    </xf>
    <xf numFmtId="3" fontId="21" fillId="0" borderId="31" xfId="0" applyNumberFormat="1" applyFont="1" applyBorder="1" applyAlignment="1">
      <alignment horizontal="center" vertical="center" wrapText="1"/>
    </xf>
    <xf numFmtId="9" fontId="21" fillId="0" borderId="22" xfId="10" applyFont="1" applyBorder="1" applyAlignment="1">
      <alignment horizontal="center" vertical="center" wrapText="1"/>
    </xf>
    <xf numFmtId="0" fontId="50" fillId="0" borderId="0" xfId="0" applyFont="1"/>
    <xf numFmtId="0" fontId="41" fillId="0" borderId="0" xfId="0" applyFont="1"/>
    <xf numFmtId="0" fontId="45" fillId="0" borderId="0" xfId="0" applyFont="1"/>
    <xf numFmtId="0" fontId="45" fillId="0" borderId="18" xfId="0" applyFont="1" applyBorder="1"/>
    <xf numFmtId="0" fontId="54" fillId="0" borderId="0" xfId="0" applyFont="1"/>
    <xf numFmtId="3" fontId="41" fillId="0" borderId="0" xfId="0" applyNumberFormat="1" applyFont="1" applyFill="1"/>
    <xf numFmtId="3" fontId="41" fillId="0" borderId="15" xfId="0" applyNumberFormat="1" applyFont="1" applyFill="1" applyBorder="1"/>
    <xf numFmtId="3" fontId="54" fillId="0" borderId="0" xfId="0" applyNumberFormat="1" applyFont="1" applyFill="1"/>
    <xf numFmtId="3" fontId="41" fillId="0" borderId="0" xfId="0" applyNumberFormat="1" applyFont="1"/>
    <xf numFmtId="3" fontId="41" fillId="0" borderId="5" xfId="0" applyNumberFormat="1" applyFont="1" applyBorder="1"/>
    <xf numFmtId="3" fontId="54" fillId="0" borderId="0" xfId="0" applyNumberFormat="1" applyFont="1"/>
    <xf numFmtId="177" fontId="0" fillId="0" borderId="1" xfId="0" applyNumberFormat="1" applyBorder="1"/>
    <xf numFmtId="4" fontId="37" fillId="0" borderId="6" xfId="0" applyNumberFormat="1" applyFont="1" applyBorder="1" applyAlignment="1">
      <alignment horizontal="center" vertical="center" wrapText="1"/>
    </xf>
    <xf numFmtId="2" fontId="0" fillId="0" borderId="0" xfId="0" applyNumberFormat="1"/>
    <xf numFmtId="169" fontId="0" fillId="0" borderId="0" xfId="0" applyNumberFormat="1"/>
    <xf numFmtId="4" fontId="38" fillId="0" borderId="6" xfId="0" applyNumberFormat="1" applyFont="1" applyBorder="1" applyAlignment="1">
      <alignment horizontal="center" vertical="center" wrapText="1"/>
    </xf>
    <xf numFmtId="175" fontId="37" fillId="0" borderId="6" xfId="0" applyNumberFormat="1" applyFont="1" applyBorder="1" applyAlignment="1">
      <alignment horizontal="center" vertical="center" wrapText="1"/>
    </xf>
    <xf numFmtId="175" fontId="38" fillId="0" borderId="6" xfId="0" applyNumberFormat="1" applyFont="1" applyBorder="1" applyAlignment="1">
      <alignment horizontal="center" vertical="center" wrapText="1"/>
    </xf>
    <xf numFmtId="175" fontId="0" fillId="0" borderId="0" xfId="0" applyNumberFormat="1"/>
    <xf numFmtId="2" fontId="38" fillId="0" borderId="6" xfId="0" applyNumberFormat="1" applyFont="1" applyBorder="1" applyAlignment="1">
      <alignment horizontal="center" vertical="center" wrapText="1"/>
    </xf>
    <xf numFmtId="2" fontId="38" fillId="0" borderId="2" xfId="0" applyNumberFormat="1" applyFont="1" applyBorder="1" applyAlignment="1">
      <alignment horizontal="center" vertical="center" wrapText="1"/>
    </xf>
    <xf numFmtId="2" fontId="37" fillId="0" borderId="6" xfId="0" applyNumberFormat="1" applyFont="1" applyBorder="1" applyAlignment="1">
      <alignment horizontal="center" vertical="center" wrapText="1"/>
    </xf>
    <xf numFmtId="169" fontId="37" fillId="0" borderId="6" xfId="0" applyNumberFormat="1" applyFont="1" applyBorder="1" applyAlignment="1">
      <alignment horizontal="center" vertical="center" wrapText="1"/>
    </xf>
    <xf numFmtId="169" fontId="38" fillId="0" borderId="6"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178" fontId="0" fillId="0" borderId="0" xfId="0" applyNumberFormat="1"/>
    <xf numFmtId="172" fontId="0" fillId="0" borderId="0" xfId="0" applyNumberFormat="1"/>
    <xf numFmtId="3" fontId="38" fillId="0" borderId="0" xfId="0" applyNumberFormat="1" applyFont="1" applyFill="1" applyBorder="1" applyAlignment="1">
      <alignment horizontal="right" vertical="center" wrapText="1"/>
    </xf>
    <xf numFmtId="0" fontId="0" fillId="0" borderId="34" xfId="0" applyBorder="1"/>
    <xf numFmtId="1" fontId="32" fillId="0" borderId="35" xfId="0" applyNumberFormat="1" applyFont="1" applyBorder="1" applyAlignment="1">
      <alignment horizontal="right" vertical="center" wrapText="1"/>
    </xf>
    <xf numFmtId="0" fontId="33" fillId="0" borderId="0" xfId="0" applyFont="1" applyBorder="1" applyAlignment="1">
      <alignment horizontal="right" vertical="center" wrapText="1"/>
    </xf>
    <xf numFmtId="2" fontId="32" fillId="0" borderId="0" xfId="0" applyNumberFormat="1" applyFont="1" applyBorder="1" applyAlignment="1">
      <alignment horizontal="right" vertical="center" wrapText="1"/>
    </xf>
    <xf numFmtId="1" fontId="32" fillId="0" borderId="0" xfId="0" applyNumberFormat="1" applyFont="1" applyBorder="1" applyAlignment="1">
      <alignment horizontal="right" vertical="center" wrapText="1"/>
    </xf>
    <xf numFmtId="1" fontId="32" fillId="14" borderId="0" xfId="0" applyNumberFormat="1" applyFont="1" applyFill="1" applyBorder="1" applyAlignment="1">
      <alignment horizontal="right" vertical="center" wrapText="1"/>
    </xf>
    <xf numFmtId="1" fontId="32" fillId="0" borderId="9" xfId="0" applyNumberFormat="1" applyFont="1" applyBorder="1" applyAlignment="1">
      <alignment horizontal="right" vertical="center" wrapText="1"/>
    </xf>
    <xf numFmtId="1" fontId="32" fillId="14" borderId="9" xfId="0" applyNumberFormat="1" applyFont="1" applyFill="1" applyBorder="1" applyAlignment="1">
      <alignment horizontal="right" vertical="center" wrapText="1"/>
    </xf>
    <xf numFmtId="0" fontId="32" fillId="0" borderId="34" xfId="0" applyFont="1" applyBorder="1" applyAlignment="1">
      <alignment horizontal="right" vertical="center" wrapText="1"/>
    </xf>
    <xf numFmtId="169" fontId="32" fillId="0" borderId="35" xfId="0" applyNumberFormat="1" applyFont="1" applyBorder="1" applyAlignment="1">
      <alignment horizontal="right" vertical="center" wrapText="1"/>
    </xf>
    <xf numFmtId="2" fontId="32" fillId="0" borderId="35" xfId="0" applyNumberFormat="1" applyFont="1" applyBorder="1" applyAlignment="1">
      <alignment horizontal="right" vertical="center" wrapText="1"/>
    </xf>
    <xf numFmtId="0" fontId="0" fillId="0" borderId="0" xfId="0" applyAlignment="1"/>
    <xf numFmtId="0" fontId="27" fillId="0" borderId="27" xfId="0" applyFont="1" applyBorder="1" applyAlignment="1">
      <alignment horizontal="center" vertical="center" wrapText="1"/>
    </xf>
    <xf numFmtId="0" fontId="38" fillId="0" borderId="0" xfId="0" applyFont="1" applyFill="1" applyBorder="1" applyAlignment="1">
      <alignment horizontal="right" vertical="center" wrapText="1"/>
    </xf>
    <xf numFmtId="0" fontId="0" fillId="0" borderId="0" xfId="0" applyAlignment="1">
      <alignment wrapText="1"/>
    </xf>
    <xf numFmtId="3" fontId="17" fillId="0" borderId="0" xfId="0" applyNumberFormat="1" applyFont="1" applyAlignment="1"/>
    <xf numFmtId="3" fontId="17" fillId="0" borderId="0" xfId="0" applyNumberFormat="1" applyFont="1" applyBorder="1" applyAlignment="1"/>
    <xf numFmtId="176" fontId="17" fillId="0" borderId="21" xfId="11" applyNumberFormat="1" applyFont="1" applyBorder="1" applyAlignment="1"/>
    <xf numFmtId="0" fontId="0" fillId="0" borderId="0" xfId="0" applyBorder="1"/>
    <xf numFmtId="0" fontId="52" fillId="0" borderId="0" xfId="0" applyFont="1" applyBorder="1" applyAlignment="1">
      <alignment vertical="center"/>
    </xf>
    <xf numFmtId="0" fontId="18" fillId="0" borderId="0" xfId="0" applyFont="1" applyBorder="1" applyAlignment="1">
      <alignment horizontal="right" vertical="center"/>
    </xf>
    <xf numFmtId="0" fontId="0" fillId="0" borderId="0" xfId="0" applyAlignment="1"/>
    <xf numFmtId="0" fontId="26" fillId="0" borderId="0" xfId="9"/>
    <xf numFmtId="0" fontId="56" fillId="0" borderId="0" xfId="0" applyFont="1"/>
    <xf numFmtId="0" fontId="53" fillId="0" borderId="0" xfId="0" applyFont="1"/>
    <xf numFmtId="0" fontId="2" fillId="0" borderId="3" xfId="0" applyFont="1" applyBorder="1"/>
    <xf numFmtId="0" fontId="4" fillId="10" borderId="6" xfId="0" applyFont="1" applyFill="1" applyBorder="1" applyAlignment="1">
      <alignment horizontal="center" vertical="center" wrapText="1"/>
    </xf>
    <xf numFmtId="0" fontId="4" fillId="11" borderId="9" xfId="0" applyFont="1" applyFill="1" applyBorder="1" applyAlignment="1">
      <alignment vertical="center" wrapText="1"/>
    </xf>
    <xf numFmtId="0" fontId="4" fillId="11" borderId="6" xfId="0" applyFont="1" applyFill="1" applyBorder="1" applyAlignment="1">
      <alignment vertical="center" wrapText="1"/>
    </xf>
    <xf numFmtId="0" fontId="53" fillId="11" borderId="9" xfId="0" applyFont="1" applyFill="1" applyBorder="1" applyAlignment="1">
      <alignment vertical="center" wrapText="1"/>
    </xf>
    <xf numFmtId="0" fontId="53" fillId="11" borderId="6" xfId="0" applyFont="1" applyFill="1" applyBorder="1" applyAlignment="1">
      <alignment vertical="center" wrapText="1"/>
    </xf>
    <xf numFmtId="0" fontId="58" fillId="0" borderId="3" xfId="0" applyFont="1" applyBorder="1" applyAlignment="1">
      <alignment vertical="center" wrapText="1"/>
    </xf>
    <xf numFmtId="0" fontId="58" fillId="0" borderId="4" xfId="0" applyFont="1" applyBorder="1" applyAlignment="1">
      <alignment vertical="center" wrapText="1"/>
    </xf>
    <xf numFmtId="0" fontId="59" fillId="0" borderId="0" xfId="0" applyFont="1"/>
    <xf numFmtId="0" fontId="2" fillId="0" borderId="1" xfId="0" applyFont="1" applyBorder="1"/>
    <xf numFmtId="0" fontId="2" fillId="0" borderId="10" xfId="0" applyFont="1" applyBorder="1"/>
    <xf numFmtId="1" fontId="0" fillId="0" borderId="10" xfId="0" applyNumberFormat="1" applyBorder="1"/>
    <xf numFmtId="174" fontId="0" fillId="0" borderId="10" xfId="0" applyNumberFormat="1" applyBorder="1"/>
    <xf numFmtId="169" fontId="0" fillId="0" borderId="10" xfId="0" applyNumberFormat="1" applyBorder="1"/>
    <xf numFmtId="0" fontId="2" fillId="0" borderId="35" xfId="0" applyFont="1" applyBorder="1"/>
    <xf numFmtId="177" fontId="0" fillId="0" borderId="35" xfId="0" applyNumberFormat="1" applyBorder="1"/>
    <xf numFmtId="1" fontId="0" fillId="0" borderId="35" xfId="0" applyNumberFormat="1" applyBorder="1"/>
    <xf numFmtId="174" fontId="0" fillId="0" borderId="35" xfId="0" applyNumberFormat="1" applyBorder="1"/>
    <xf numFmtId="169" fontId="0" fillId="0" borderId="35" xfId="0" applyNumberFormat="1" applyBorder="1"/>
    <xf numFmtId="0" fontId="41" fillId="0" borderId="18" xfId="0" applyFont="1" applyBorder="1"/>
    <xf numFmtId="0" fontId="2" fillId="0" borderId="36" xfId="0" applyFont="1" applyBorder="1"/>
    <xf numFmtId="1" fontId="0" fillId="0" borderId="36" xfId="0" applyNumberFormat="1" applyBorder="1"/>
    <xf numFmtId="174" fontId="0" fillId="0" borderId="36" xfId="0" applyNumberFormat="1" applyBorder="1"/>
    <xf numFmtId="0" fontId="0" fillId="0" borderId="15" xfId="0" applyBorder="1"/>
    <xf numFmtId="169" fontId="0" fillId="0" borderId="37" xfId="0" applyNumberFormat="1" applyBorder="1"/>
    <xf numFmtId="3" fontId="41" fillId="0" borderId="0" xfId="0" applyNumberFormat="1" applyFont="1" applyFill="1" applyBorder="1"/>
    <xf numFmtId="0" fontId="45" fillId="0" borderId="15" xfId="0" applyFont="1" applyBorder="1"/>
    <xf numFmtId="3" fontId="41" fillId="0" borderId="15" xfId="0" applyNumberFormat="1" applyFont="1" applyBorder="1"/>
    <xf numFmtId="3" fontId="45" fillId="0" borderId="15" xfId="0" applyNumberFormat="1" applyFont="1" applyBorder="1"/>
    <xf numFmtId="0" fontId="60" fillId="0" borderId="0" xfId="0" applyFont="1" applyAlignment="1">
      <alignment horizontal="left" vertical="center" indent="4"/>
    </xf>
    <xf numFmtId="0" fontId="0" fillId="0" borderId="0" xfId="0" applyAlignment="1">
      <alignment horizontal="left" vertical="center" indent="4"/>
    </xf>
    <xf numFmtId="0" fontId="41" fillId="0" borderId="0" xfId="0" applyFont="1" applyAlignment="1">
      <alignment vertical="center"/>
    </xf>
    <xf numFmtId="0" fontId="12" fillId="11" borderId="9" xfId="0" applyFont="1" applyFill="1" applyBorder="1" applyAlignment="1">
      <alignment vertical="center" wrapText="1"/>
    </xf>
    <xf numFmtId="1" fontId="0" fillId="0" borderId="37" xfId="0" applyNumberFormat="1" applyBorder="1"/>
    <xf numFmtId="0" fontId="2" fillId="0" borderId="15" xfId="0" applyFont="1" applyBorder="1"/>
    <xf numFmtId="1" fontId="0" fillId="0" borderId="15" xfId="0" applyNumberFormat="1" applyBorder="1"/>
    <xf numFmtId="174" fontId="0" fillId="0" borderId="15" xfId="0" applyNumberFormat="1" applyBorder="1"/>
    <xf numFmtId="1" fontId="0" fillId="0" borderId="5" xfId="0" applyNumberFormat="1" applyBorder="1"/>
    <xf numFmtId="0" fontId="12" fillId="15" borderId="15" xfId="0" applyFont="1" applyFill="1" applyBorder="1" applyAlignment="1">
      <alignment horizontal="left" wrapText="1"/>
    </xf>
    <xf numFmtId="1" fontId="0" fillId="0" borderId="0" xfId="0" applyNumberFormat="1"/>
    <xf numFmtId="9" fontId="0" fillId="0" borderId="0" xfId="10" applyFont="1" applyAlignment="1">
      <alignment horizontal="center"/>
    </xf>
    <xf numFmtId="0" fontId="37" fillId="0" borderId="3" xfId="0" applyFont="1" applyBorder="1" applyAlignment="1">
      <alignment vertical="center"/>
    </xf>
    <xf numFmtId="0" fontId="61" fillId="0" borderId="0" xfId="0" applyFont="1"/>
    <xf numFmtId="0" fontId="62" fillId="0" borderId="0" xfId="0" applyFont="1"/>
    <xf numFmtId="0" fontId="64" fillId="0" borderId="0" xfId="0" applyFont="1"/>
    <xf numFmtId="169" fontId="62" fillId="0" borderId="16" xfId="0" applyNumberFormat="1" applyFont="1" applyBorder="1"/>
    <xf numFmtId="169" fontId="62" fillId="0" borderId="4" xfId="0" applyNumberFormat="1" applyFont="1" applyBorder="1"/>
    <xf numFmtId="178" fontId="62" fillId="0" borderId="0" xfId="0" applyNumberFormat="1" applyFont="1"/>
    <xf numFmtId="179" fontId="62" fillId="0" borderId="0" xfId="0" applyNumberFormat="1" applyFont="1"/>
    <xf numFmtId="180" fontId="0" fillId="0" borderId="0" xfId="0" applyNumberFormat="1"/>
    <xf numFmtId="0" fontId="12" fillId="0" borderId="0" xfId="0" applyFont="1" applyAlignment="1">
      <alignment vertical="center"/>
    </xf>
    <xf numFmtId="0" fontId="65" fillId="0" borderId="0" xfId="0" applyFont="1"/>
    <xf numFmtId="0" fontId="37" fillId="0" borderId="0" xfId="0" applyFont="1" applyBorder="1" applyAlignment="1">
      <alignment vertical="center"/>
    </xf>
    <xf numFmtId="3" fontId="0" fillId="0" borderId="0" xfId="0" applyNumberFormat="1"/>
    <xf numFmtId="0" fontId="24" fillId="4" borderId="0" xfId="0" applyFont="1" applyFill="1"/>
    <xf numFmtId="0" fontId="24" fillId="4" borderId="0" xfId="0" applyFont="1" applyFill="1" applyAlignment="1">
      <alignment vertical="center"/>
    </xf>
    <xf numFmtId="0" fontId="22" fillId="4" borderId="0" xfId="0" applyFont="1" applyFill="1" applyAlignment="1">
      <alignment vertical="center"/>
    </xf>
    <xf numFmtId="0" fontId="22" fillId="4" borderId="0" xfId="0" applyFont="1" applyFill="1"/>
    <xf numFmtId="0" fontId="66" fillId="0" borderId="0" xfId="0" applyFont="1" applyAlignment="1">
      <alignment vertical="center"/>
    </xf>
    <xf numFmtId="0" fontId="67" fillId="0" borderId="0" xfId="12"/>
    <xf numFmtId="0" fontId="25" fillId="0" borderId="0" xfId="0" applyFont="1"/>
    <xf numFmtId="0" fontId="69" fillId="0" borderId="0" xfId="0" applyFont="1" applyAlignment="1">
      <alignment wrapText="1"/>
    </xf>
    <xf numFmtId="0" fontId="69" fillId="0" borderId="0" xfId="0" applyFont="1" applyAlignment="1">
      <alignment horizontal="center" wrapText="1"/>
    </xf>
    <xf numFmtId="0" fontId="0" fillId="0" borderId="0" xfId="0" applyAlignment="1">
      <alignment horizontal="center"/>
    </xf>
    <xf numFmtId="3" fontId="0" fillId="0" borderId="0" xfId="0" applyNumberFormat="1" applyAlignment="1">
      <alignment horizontal="center"/>
    </xf>
    <xf numFmtId="0" fontId="2" fillId="0" borderId="0" xfId="0" applyFont="1" applyAlignment="1"/>
    <xf numFmtId="0" fontId="69" fillId="18" borderId="0" xfId="0" applyFont="1" applyFill="1"/>
    <xf numFmtId="0" fontId="0" fillId="18" borderId="0" xfId="0" applyFill="1"/>
    <xf numFmtId="0" fontId="69" fillId="18" borderId="0" xfId="0" applyFont="1" applyFill="1" applyAlignment="1">
      <alignment horizontal="center"/>
    </xf>
    <xf numFmtId="181" fontId="0" fillId="18" borderId="0" xfId="0" applyNumberFormat="1" applyFill="1" applyAlignment="1">
      <alignment horizontal="center"/>
    </xf>
    <xf numFmtId="181" fontId="69" fillId="18" borderId="0" xfId="0" applyNumberFormat="1" applyFont="1" applyFill="1" applyAlignment="1">
      <alignment horizontal="center"/>
    </xf>
    <xf numFmtId="181" fontId="0" fillId="18" borderId="38" xfId="0" applyNumberFormat="1" applyFill="1" applyBorder="1" applyAlignment="1">
      <alignment horizontal="center"/>
    </xf>
    <xf numFmtId="182" fontId="69" fillId="19" borderId="38" xfId="0" applyNumberFormat="1" applyFont="1" applyFill="1" applyBorder="1" applyAlignment="1">
      <alignment horizontal="center"/>
    </xf>
    <xf numFmtId="0" fontId="0" fillId="20" borderId="0" xfId="0" applyFill="1"/>
    <xf numFmtId="0" fontId="70" fillId="20" borderId="0" xfId="0" applyFont="1" applyFill="1" applyAlignment="1">
      <alignment horizontal="center"/>
    </xf>
    <xf numFmtId="0" fontId="69" fillId="20" borderId="0" xfId="0" applyFont="1" applyFill="1" applyAlignment="1">
      <alignment horizontal="center"/>
    </xf>
    <xf numFmtId="0" fontId="69" fillId="20" borderId="0" xfId="0" applyFont="1" applyFill="1" applyAlignment="1"/>
    <xf numFmtId="0" fontId="67" fillId="20" borderId="0" xfId="0" applyFont="1" applyFill="1"/>
    <xf numFmtId="0" fontId="67" fillId="0" borderId="0" xfId="0" applyFont="1"/>
    <xf numFmtId="181" fontId="67" fillId="20" borderId="38" xfId="0" applyNumberFormat="1" applyFont="1" applyFill="1" applyBorder="1" applyAlignment="1">
      <alignment horizontal="center"/>
    </xf>
    <xf numFmtId="182" fontId="69" fillId="20" borderId="0" xfId="0" applyNumberFormat="1" applyFont="1" applyFill="1" applyAlignment="1">
      <alignment horizontal="center"/>
    </xf>
    <xf numFmtId="183" fontId="69" fillId="20" borderId="0" xfId="0" applyNumberFormat="1" applyFont="1" applyFill="1" applyAlignment="1">
      <alignment horizontal="center"/>
    </xf>
    <xf numFmtId="3" fontId="2" fillId="0" borderId="0" xfId="0" applyNumberFormat="1" applyFont="1" applyAlignment="1">
      <alignment horizontal="center"/>
    </xf>
    <xf numFmtId="183" fontId="69" fillId="19" borderId="38" xfId="0" applyNumberFormat="1" applyFont="1" applyFill="1" applyBorder="1" applyAlignment="1">
      <alignment horizontal="center"/>
    </xf>
    <xf numFmtId="0" fontId="0" fillId="0" borderId="0" xfId="0" applyFont="1"/>
    <xf numFmtId="0" fontId="0" fillId="0" borderId="0" xfId="0" applyFont="1" applyAlignment="1">
      <alignment horizontal="center"/>
    </xf>
    <xf numFmtId="169" fontId="61" fillId="0" borderId="0" xfId="0" applyNumberFormat="1" applyFont="1"/>
    <xf numFmtId="182" fontId="69" fillId="18" borderId="0" xfId="0" applyNumberFormat="1" applyFont="1" applyFill="1" applyAlignment="1">
      <alignment horizontal="center"/>
    </xf>
    <xf numFmtId="169" fontId="69" fillId="18" borderId="0" xfId="0" applyNumberFormat="1" applyFont="1" applyFill="1" applyAlignment="1">
      <alignment horizontal="center" vertical="center"/>
    </xf>
    <xf numFmtId="0" fontId="6" fillId="0" borderId="0" xfId="0" applyFont="1"/>
    <xf numFmtId="0" fontId="6" fillId="0" borderId="0" xfId="0" applyFont="1" applyAlignment="1">
      <alignment horizontal="center"/>
    </xf>
    <xf numFmtId="0" fontId="0" fillId="20" borderId="0" xfId="0" applyFont="1" applyFill="1"/>
    <xf numFmtId="181" fontId="0" fillId="20" borderId="38" xfId="0" applyNumberFormat="1" applyFont="1" applyFill="1" applyBorder="1" applyAlignment="1">
      <alignment horizontal="center"/>
    </xf>
    <xf numFmtId="169" fontId="0" fillId="20" borderId="0" xfId="0" applyNumberFormat="1" applyFont="1" applyFill="1"/>
    <xf numFmtId="1" fontId="0" fillId="20" borderId="0" xfId="0" applyNumberFormat="1" applyFont="1" applyFill="1"/>
    <xf numFmtId="1" fontId="0" fillId="20" borderId="38" xfId="0" applyNumberFormat="1" applyFont="1" applyFill="1" applyBorder="1" applyAlignment="1">
      <alignment horizontal="center"/>
    </xf>
    <xf numFmtId="182" fontId="0" fillId="0" borderId="0" xfId="0" applyNumberFormat="1"/>
    <xf numFmtId="182" fontId="0" fillId="20" borderId="0" xfId="0" applyNumberFormat="1" applyFill="1"/>
    <xf numFmtId="182" fontId="63" fillId="0" borderId="0" xfId="0" applyNumberFormat="1" applyFont="1" applyAlignment="1">
      <alignment horizontal="center"/>
    </xf>
    <xf numFmtId="1" fontId="62" fillId="0" borderId="0" xfId="0" applyNumberFormat="1" applyFont="1"/>
    <xf numFmtId="2" fontId="62" fillId="0" borderId="0" xfId="0" applyNumberFormat="1" applyFont="1"/>
    <xf numFmtId="0" fontId="73" fillId="0" borderId="0" xfId="0" applyFont="1"/>
    <xf numFmtId="184" fontId="0" fillId="0" borderId="0" xfId="0" applyNumberFormat="1"/>
    <xf numFmtId="0" fontId="2" fillId="0" borderId="0" xfId="0" applyFont="1" applyAlignment="1">
      <alignment horizontal="center"/>
    </xf>
    <xf numFmtId="169" fontId="22" fillId="0" borderId="0" xfId="0" applyNumberFormat="1" applyFont="1" applyFill="1" applyBorder="1"/>
    <xf numFmtId="176" fontId="0" fillId="0" borderId="0" xfId="11" applyNumberFormat="1" applyFont="1"/>
    <xf numFmtId="0" fontId="74" fillId="0" borderId="0" xfId="0" applyFont="1"/>
    <xf numFmtId="0" fontId="27" fillId="0" borderId="6" xfId="0" applyFont="1" applyFill="1" applyBorder="1" applyAlignment="1">
      <alignment horizontal="center" vertical="center" wrapText="1"/>
    </xf>
    <xf numFmtId="169" fontId="27" fillId="0" borderId="6" xfId="0" applyNumberFormat="1" applyFont="1" applyFill="1" applyBorder="1" applyAlignment="1">
      <alignment horizontal="center" vertical="center" wrapText="1"/>
    </xf>
    <xf numFmtId="1" fontId="0" fillId="0" borderId="0" xfId="0" applyNumberFormat="1" applyBorder="1"/>
    <xf numFmtId="169" fontId="0" fillId="0" borderId="0" xfId="0" applyNumberFormat="1" applyBorder="1"/>
    <xf numFmtId="3" fontId="41" fillId="20" borderId="15" xfId="0" applyNumberFormat="1" applyFont="1" applyFill="1" applyBorder="1"/>
    <xf numFmtId="3" fontId="41" fillId="21" borderId="15" xfId="0" applyNumberFormat="1" applyFont="1" applyFill="1" applyBorder="1"/>
    <xf numFmtId="3" fontId="41" fillId="16" borderId="5" xfId="0" applyNumberFormat="1" applyFont="1" applyFill="1" applyBorder="1"/>
    <xf numFmtId="0" fontId="0" fillId="0" borderId="13" xfId="0" applyBorder="1"/>
    <xf numFmtId="0" fontId="0" fillId="0" borderId="12" xfId="0" applyBorder="1"/>
    <xf numFmtId="0" fontId="0" fillId="0" borderId="19" xfId="0" applyBorder="1"/>
    <xf numFmtId="0" fontId="2" fillId="0" borderId="11" xfId="0" applyFont="1" applyBorder="1"/>
    <xf numFmtId="0" fontId="41" fillId="0" borderId="0" xfId="0" applyFont="1" applyBorder="1"/>
    <xf numFmtId="0" fontId="41" fillId="0" borderId="9" xfId="0" applyFont="1" applyBorder="1"/>
    <xf numFmtId="0" fontId="0" fillId="0" borderId="11" xfId="0" applyBorder="1"/>
    <xf numFmtId="0" fontId="45" fillId="0" borderId="0" xfId="0" applyFont="1" applyBorder="1"/>
    <xf numFmtId="0" fontId="54" fillId="0" borderId="9" xfId="0" applyFont="1" applyBorder="1"/>
    <xf numFmtId="0" fontId="50" fillId="0" borderId="11" xfId="0" applyFont="1" applyBorder="1"/>
    <xf numFmtId="3" fontId="54" fillId="0" borderId="9" xfId="0" applyNumberFormat="1" applyFont="1" applyFill="1" applyBorder="1"/>
    <xf numFmtId="0" fontId="50" fillId="21" borderId="11" xfId="0" applyFont="1" applyFill="1" applyBorder="1"/>
    <xf numFmtId="3" fontId="41" fillId="21" borderId="0" xfId="0" applyNumberFormat="1" applyFont="1" applyFill="1" applyBorder="1"/>
    <xf numFmtId="3" fontId="54" fillId="21" borderId="9" xfId="0" applyNumberFormat="1" applyFont="1" applyFill="1" applyBorder="1"/>
    <xf numFmtId="0" fontId="50" fillId="20" borderId="11" xfId="0" applyFont="1" applyFill="1" applyBorder="1"/>
    <xf numFmtId="3" fontId="41" fillId="20" borderId="0" xfId="0" applyNumberFormat="1" applyFont="1" applyFill="1" applyBorder="1"/>
    <xf numFmtId="3" fontId="54" fillId="20" borderId="9" xfId="0" applyNumberFormat="1" applyFont="1" applyFill="1" applyBorder="1"/>
    <xf numFmtId="0" fontId="41" fillId="0" borderId="11" xfId="0" applyFont="1" applyFill="1" applyBorder="1"/>
    <xf numFmtId="0" fontId="41" fillId="16" borderId="14" xfId="0" applyFont="1" applyFill="1" applyBorder="1"/>
    <xf numFmtId="3" fontId="41" fillId="16" borderId="2" xfId="0" applyNumberFormat="1" applyFont="1" applyFill="1" applyBorder="1"/>
    <xf numFmtId="3" fontId="54" fillId="16" borderId="6" xfId="0" applyNumberFormat="1" applyFont="1" applyFill="1" applyBorder="1"/>
    <xf numFmtId="0" fontId="2" fillId="0" borderId="13" xfId="0" applyFont="1" applyBorder="1"/>
    <xf numFmtId="3" fontId="41" fillId="0" borderId="12" xfId="0" applyNumberFormat="1" applyFont="1" applyBorder="1"/>
    <xf numFmtId="3" fontId="41" fillId="0" borderId="18" xfId="0" applyNumberFormat="1" applyFont="1" applyBorder="1"/>
    <xf numFmtId="3" fontId="41" fillId="0" borderId="19" xfId="0" applyNumberFormat="1" applyFont="1" applyBorder="1"/>
    <xf numFmtId="3" fontId="45" fillId="0" borderId="0" xfId="0" applyNumberFormat="1" applyFont="1" applyBorder="1"/>
    <xf numFmtId="3" fontId="54" fillId="0" borderId="9" xfId="0" applyNumberFormat="1" applyFont="1" applyBorder="1"/>
    <xf numFmtId="0" fontId="50" fillId="0" borderId="11" xfId="0" applyFont="1" applyFill="1" applyBorder="1"/>
    <xf numFmtId="0" fontId="5" fillId="0" borderId="6" xfId="0" applyFont="1" applyFill="1" applyBorder="1" applyAlignment="1">
      <alignment horizontal="center" vertical="center" wrapText="1"/>
    </xf>
    <xf numFmtId="169" fontId="5" fillId="0" borderId="6" xfId="0" applyNumberFormat="1"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2" fontId="5" fillId="0" borderId="6"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6" xfId="0" quotePrefix="1" applyFont="1" applyBorder="1" applyAlignment="1">
      <alignment horizontal="center" vertical="center" wrapText="1"/>
    </xf>
    <xf numFmtId="0" fontId="27" fillId="0" borderId="27" xfId="0" applyFont="1" applyBorder="1" applyAlignment="1">
      <alignment horizontal="center" vertical="center" wrapText="1"/>
    </xf>
    <xf numFmtId="0" fontId="2" fillId="0" borderId="0" xfId="0" applyFont="1" applyFill="1" applyBorder="1"/>
    <xf numFmtId="9" fontId="0" fillId="0" borderId="0" xfId="10" applyFont="1"/>
    <xf numFmtId="0" fontId="2" fillId="0" borderId="13" xfId="0" applyFont="1" applyFill="1" applyBorder="1"/>
    <xf numFmtId="0" fontId="2" fillId="0" borderId="12" xfId="0" applyFont="1" applyBorder="1"/>
    <xf numFmtId="0" fontId="2" fillId="0" borderId="19" xfId="0" applyFont="1" applyBorder="1"/>
    <xf numFmtId="0" fontId="0" fillId="0" borderId="11" xfId="0" applyFill="1" applyBorder="1"/>
    <xf numFmtId="176" fontId="0" fillId="0" borderId="0" xfId="11" applyNumberFormat="1" applyFont="1" applyBorder="1"/>
    <xf numFmtId="176" fontId="0" fillId="0" borderId="9" xfId="11" applyNumberFormat="1" applyFont="1" applyBorder="1"/>
    <xf numFmtId="0" fontId="2" fillId="0" borderId="11" xfId="0" applyFont="1" applyFill="1" applyBorder="1"/>
    <xf numFmtId="0" fontId="2" fillId="0" borderId="0" xfId="0" applyFont="1" applyBorder="1"/>
    <xf numFmtId="0" fontId="2" fillId="0" borderId="9" xfId="0" applyFont="1" applyBorder="1"/>
    <xf numFmtId="0" fontId="0" fillId="21" borderId="11" xfId="0" applyFill="1" applyBorder="1"/>
    <xf numFmtId="176" fontId="0" fillId="21" borderId="0" xfId="11" applyNumberFormat="1" applyFont="1" applyFill="1" applyBorder="1"/>
    <xf numFmtId="176" fontId="0" fillId="21" borderId="9" xfId="11" applyNumberFormat="1" applyFont="1" applyFill="1" applyBorder="1"/>
    <xf numFmtId="9" fontId="0" fillId="21" borderId="0" xfId="10" applyFont="1" applyFill="1" applyBorder="1"/>
    <xf numFmtId="9" fontId="0" fillId="21" borderId="9" xfId="10" applyFont="1" applyFill="1" applyBorder="1"/>
    <xf numFmtId="0" fontId="0" fillId="21" borderId="14" xfId="0" applyFill="1" applyBorder="1"/>
    <xf numFmtId="9" fontId="0" fillId="21" borderId="2" xfId="10" applyFont="1" applyFill="1" applyBorder="1"/>
    <xf numFmtId="176" fontId="0" fillId="0" borderId="0" xfId="0" applyNumberFormat="1"/>
    <xf numFmtId="168" fontId="0" fillId="0" borderId="0" xfId="0" applyNumberFormat="1"/>
    <xf numFmtId="0" fontId="75" fillId="0" borderId="0" xfId="0" applyFont="1" applyBorder="1" applyAlignment="1">
      <alignment horizontal="left" vertical="center" wrapText="1" indent="2"/>
    </xf>
    <xf numFmtId="0" fontId="75" fillId="0" borderId="9" xfId="0" applyFont="1" applyBorder="1" applyAlignment="1">
      <alignment horizontal="left" vertical="center" wrapText="1" indent="2"/>
    </xf>
    <xf numFmtId="0" fontId="24" fillId="0" borderId="0" xfId="0" applyFont="1" applyBorder="1" applyAlignment="1">
      <alignment horizontal="left" vertical="center" wrapText="1" indent="2"/>
    </xf>
    <xf numFmtId="9" fontId="78" fillId="0" borderId="0" xfId="10" applyFont="1"/>
    <xf numFmtId="170" fontId="78" fillId="0" borderId="0" xfId="10" applyNumberFormat="1" applyFont="1"/>
    <xf numFmtId="0" fontId="24"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34" fillId="20" borderId="7" xfId="0" applyFont="1" applyFill="1" applyBorder="1" applyAlignment="1">
      <alignment horizontal="right" vertical="center" wrapText="1"/>
    </xf>
    <xf numFmtId="0" fontId="27" fillId="20" borderId="0" xfId="0" applyFont="1" applyFill="1" applyBorder="1" applyAlignment="1">
      <alignment horizontal="right" vertical="center" wrapText="1"/>
    </xf>
    <xf numFmtId="0" fontId="27" fillId="20" borderId="26" xfId="0" applyFont="1" applyFill="1" applyBorder="1" applyAlignment="1">
      <alignment horizontal="center" vertical="center" wrapText="1"/>
    </xf>
    <xf numFmtId="0" fontId="27" fillId="20" borderId="27" xfId="0" applyFont="1" applyFill="1" applyBorder="1" applyAlignment="1">
      <alignment horizontal="center" vertical="center" wrapText="1"/>
    </xf>
    <xf numFmtId="0" fontId="16" fillId="20" borderId="29" xfId="0" applyFont="1" applyFill="1" applyBorder="1" applyAlignment="1">
      <alignment vertical="center" wrapText="1"/>
    </xf>
    <xf numFmtId="0" fontId="16" fillId="20" borderId="0" xfId="0" applyFont="1" applyFill="1" applyBorder="1" applyAlignment="1">
      <alignment vertical="center" wrapText="1"/>
    </xf>
    <xf numFmtId="0" fontId="27" fillId="20" borderId="0" xfId="0" applyFont="1" applyFill="1" applyBorder="1" applyAlignment="1">
      <alignment horizontal="center" vertical="center" wrapText="1"/>
    </xf>
    <xf numFmtId="0" fontId="27" fillId="20" borderId="20" xfId="0" applyFont="1" applyFill="1" applyBorder="1" applyAlignment="1">
      <alignment horizontal="center" vertical="center" wrapText="1"/>
    </xf>
    <xf numFmtId="175" fontId="19" fillId="20" borderId="29" xfId="0" applyNumberFormat="1" applyFont="1" applyFill="1" applyBorder="1" applyAlignment="1">
      <alignment horizontal="center" vertical="center" wrapText="1"/>
    </xf>
    <xf numFmtId="175" fontId="19" fillId="20" borderId="8" xfId="0" applyNumberFormat="1" applyFont="1" applyFill="1" applyBorder="1" applyAlignment="1">
      <alignment horizontal="center" vertical="center" wrapText="1"/>
    </xf>
    <xf numFmtId="175" fontId="19" fillId="20" borderId="0" xfId="0" applyNumberFormat="1" applyFont="1" applyFill="1" applyBorder="1" applyAlignment="1">
      <alignment horizontal="center" vertical="center" wrapText="1"/>
    </xf>
    <xf numFmtId="9" fontId="19" fillId="20" borderId="20" xfId="0" applyNumberFormat="1" applyFont="1" applyFill="1" applyBorder="1" applyAlignment="1">
      <alignment horizontal="center" vertical="center" wrapText="1"/>
    </xf>
    <xf numFmtId="0" fontId="24" fillId="20" borderId="23" xfId="0" applyFont="1" applyFill="1" applyBorder="1" applyAlignment="1">
      <alignment horizontal="right" vertical="center" wrapText="1"/>
    </xf>
    <xf numFmtId="175" fontId="21" fillId="20" borderId="30" xfId="0" applyNumberFormat="1" applyFont="1" applyFill="1" applyBorder="1" applyAlignment="1">
      <alignment horizontal="center" vertical="center" wrapText="1"/>
    </xf>
    <xf numFmtId="175" fontId="21" fillId="20" borderId="31" xfId="0" applyNumberFormat="1" applyFont="1" applyFill="1" applyBorder="1" applyAlignment="1">
      <alignment horizontal="center" vertical="center" wrapText="1"/>
    </xf>
    <xf numFmtId="9" fontId="21" fillId="20" borderId="22" xfId="10" applyFont="1" applyFill="1" applyBorder="1" applyAlignment="1">
      <alignment horizontal="center" vertical="center" wrapText="1"/>
    </xf>
    <xf numFmtId="4" fontId="19" fillId="20" borderId="29" xfId="0" applyNumberFormat="1" applyFont="1" applyFill="1" applyBorder="1" applyAlignment="1">
      <alignment horizontal="center" vertical="center" wrapText="1"/>
    </xf>
    <xf numFmtId="4" fontId="19" fillId="20" borderId="8" xfId="0" applyNumberFormat="1" applyFont="1" applyFill="1" applyBorder="1" applyAlignment="1">
      <alignment horizontal="center" vertical="center" wrapText="1"/>
    </xf>
    <xf numFmtId="0" fontId="34" fillId="21" borderId="7" xfId="0" applyFont="1" applyFill="1" applyBorder="1" applyAlignment="1">
      <alignment horizontal="right" vertical="center" wrapText="1"/>
    </xf>
    <xf numFmtId="0" fontId="27" fillId="21" borderId="0" xfId="0" applyFont="1" applyFill="1" applyBorder="1" applyAlignment="1">
      <alignment horizontal="right" vertical="center" wrapText="1"/>
    </xf>
    <xf numFmtId="0" fontId="27" fillId="21" borderId="26" xfId="0" applyFont="1" applyFill="1" applyBorder="1" applyAlignment="1">
      <alignment horizontal="center" vertical="center" wrapText="1"/>
    </xf>
    <xf numFmtId="0" fontId="27" fillId="21" borderId="27" xfId="0" applyFont="1" applyFill="1" applyBorder="1" applyAlignment="1">
      <alignment horizontal="center" vertical="center" wrapText="1"/>
    </xf>
    <xf numFmtId="0" fontId="16" fillId="21" borderId="29" xfId="0" applyFont="1" applyFill="1" applyBorder="1" applyAlignment="1">
      <alignment vertical="center" wrapText="1"/>
    </xf>
    <xf numFmtId="0" fontId="16" fillId="21" borderId="0" xfId="0" applyFont="1" applyFill="1" applyBorder="1" applyAlignment="1">
      <alignment vertical="center" wrapText="1"/>
    </xf>
    <xf numFmtId="0" fontId="27" fillId="21" borderId="0" xfId="0" applyFont="1" applyFill="1" applyBorder="1" applyAlignment="1">
      <alignment horizontal="center" vertical="center" wrapText="1"/>
    </xf>
    <xf numFmtId="0" fontId="27" fillId="21" borderId="20" xfId="0" applyFont="1" applyFill="1" applyBorder="1" applyAlignment="1">
      <alignment horizontal="center" vertical="center" wrapText="1"/>
    </xf>
    <xf numFmtId="175" fontId="19" fillId="21" borderId="29" xfId="0" applyNumberFormat="1" applyFont="1" applyFill="1" applyBorder="1" applyAlignment="1">
      <alignment horizontal="center" vertical="center" wrapText="1"/>
    </xf>
    <xf numFmtId="175" fontId="19" fillId="21" borderId="8" xfId="0" applyNumberFormat="1" applyFont="1" applyFill="1" applyBorder="1" applyAlignment="1">
      <alignment horizontal="center" vertical="center" wrapText="1"/>
    </xf>
    <xf numFmtId="175" fontId="19" fillId="21" borderId="0" xfId="0" applyNumberFormat="1" applyFont="1" applyFill="1" applyBorder="1" applyAlignment="1">
      <alignment horizontal="center" vertical="center" wrapText="1"/>
    </xf>
    <xf numFmtId="9" fontId="19" fillId="21" borderId="20" xfId="0" applyNumberFormat="1" applyFont="1" applyFill="1" applyBorder="1" applyAlignment="1">
      <alignment horizontal="center" vertical="center" wrapText="1"/>
    </xf>
    <xf numFmtId="0" fontId="24" fillId="21" borderId="23" xfId="0" applyFont="1" applyFill="1" applyBorder="1" applyAlignment="1">
      <alignment horizontal="right" vertical="center" wrapText="1"/>
    </xf>
    <xf numFmtId="175" fontId="21" fillId="21" borderId="30" xfId="0" applyNumberFormat="1" applyFont="1" applyFill="1" applyBorder="1" applyAlignment="1">
      <alignment horizontal="center" vertical="center" wrapText="1"/>
    </xf>
    <xf numFmtId="175" fontId="21" fillId="21" borderId="31" xfId="0" applyNumberFormat="1" applyFont="1" applyFill="1" applyBorder="1" applyAlignment="1">
      <alignment horizontal="center" vertical="center" wrapText="1"/>
    </xf>
    <xf numFmtId="9" fontId="21" fillId="21" borderId="22" xfId="10" applyFont="1" applyFill="1" applyBorder="1" applyAlignment="1">
      <alignment horizontal="center" vertical="center" wrapText="1"/>
    </xf>
    <xf numFmtId="4" fontId="19" fillId="21" borderId="29" xfId="0" applyNumberFormat="1" applyFont="1" applyFill="1" applyBorder="1" applyAlignment="1">
      <alignment horizontal="center" vertical="center" wrapText="1"/>
    </xf>
    <xf numFmtId="4" fontId="19" fillId="21" borderId="8" xfId="0" applyNumberFormat="1" applyFont="1" applyFill="1" applyBorder="1" applyAlignment="1">
      <alignment horizontal="center" vertical="center" wrapText="1"/>
    </xf>
    <xf numFmtId="0" fontId="79" fillId="0" borderId="0" xfId="0" applyFont="1"/>
    <xf numFmtId="0" fontId="38" fillId="0" borderId="0" xfId="0" applyFont="1" applyFill="1" applyBorder="1" applyAlignment="1">
      <alignment horizontal="left" vertical="center"/>
    </xf>
    <xf numFmtId="4" fontId="19" fillId="21" borderId="0" xfId="0" applyNumberFormat="1" applyFont="1" applyFill="1" applyBorder="1" applyAlignment="1">
      <alignment horizontal="center" vertical="center" wrapText="1"/>
    </xf>
    <xf numFmtId="0" fontId="0" fillId="22" borderId="0" xfId="0" applyFill="1"/>
    <xf numFmtId="3" fontId="0" fillId="22" borderId="0" xfId="0" applyNumberFormat="1" applyFill="1"/>
    <xf numFmtId="9" fontId="0" fillId="22" borderId="0" xfId="10" applyFont="1" applyFill="1"/>
    <xf numFmtId="1" fontId="0" fillId="22" borderId="0" xfId="10" applyNumberFormat="1" applyFont="1" applyFill="1"/>
    <xf numFmtId="169" fontId="62" fillId="0" borderId="39" xfId="0" applyNumberFormat="1" applyFont="1" applyBorder="1"/>
    <xf numFmtId="169" fontId="62" fillId="0" borderId="40" xfId="0" applyNumberFormat="1" applyFont="1" applyBorder="1"/>
    <xf numFmtId="10" fontId="25"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27" fillId="0" borderId="27" xfId="0" applyFont="1" applyBorder="1" applyAlignment="1">
      <alignment horizontal="center" vertical="center" wrapText="1"/>
    </xf>
    <xf numFmtId="0" fontId="80" fillId="0" borderId="0" xfId="0" applyFont="1" applyAlignment="1">
      <alignment vertical="center"/>
    </xf>
    <xf numFmtId="17" fontId="81" fillId="23" borderId="17" xfId="0" applyNumberFormat="1" applyFont="1" applyFill="1" applyBorder="1" applyAlignment="1">
      <alignment horizontal="right" vertical="center"/>
    </xf>
    <xf numFmtId="17" fontId="81" fillId="23" borderId="12" xfId="0" applyNumberFormat="1" applyFont="1" applyFill="1" applyBorder="1" applyAlignment="1">
      <alignment horizontal="right" vertical="center"/>
    </xf>
    <xf numFmtId="17" fontId="81" fillId="23" borderId="12" xfId="0" applyNumberFormat="1" applyFont="1" applyFill="1" applyBorder="1" applyAlignment="1">
      <alignment horizontal="right" vertical="center" wrapText="1"/>
    </xf>
    <xf numFmtId="1" fontId="81" fillId="23" borderId="44" xfId="0" applyNumberFormat="1" applyFont="1" applyFill="1" applyBorder="1" applyAlignment="1">
      <alignment horizontal="right" vertical="center"/>
    </xf>
    <xf numFmtId="1" fontId="81" fillId="23" borderId="45" xfId="0" applyNumberFormat="1" applyFont="1" applyFill="1" applyBorder="1" applyAlignment="1">
      <alignment horizontal="right" vertical="center"/>
    </xf>
    <xf numFmtId="0" fontId="24" fillId="10" borderId="0" xfId="0" applyFont="1" applyFill="1" applyAlignment="1">
      <alignment vertical="center" wrapText="1"/>
    </xf>
    <xf numFmtId="0" fontId="24" fillId="10" borderId="9" xfId="0" applyFont="1" applyFill="1" applyBorder="1" applyAlignment="1">
      <alignment vertical="center" wrapText="1"/>
    </xf>
    <xf numFmtId="0" fontId="27" fillId="10" borderId="0" xfId="0" applyFont="1" applyFill="1" applyAlignment="1">
      <alignment horizontal="right" vertical="center"/>
    </xf>
    <xf numFmtId="0" fontId="27" fillId="10" borderId="0" xfId="0" applyFont="1" applyFill="1" applyAlignment="1">
      <alignment horizontal="right" vertical="center" wrapText="1"/>
    </xf>
    <xf numFmtId="0" fontId="27" fillId="10" borderId="0" xfId="0" applyFont="1" applyFill="1" applyAlignment="1">
      <alignment vertical="center"/>
    </xf>
    <xf numFmtId="0" fontId="27" fillId="10" borderId="9" xfId="0" applyFont="1" applyFill="1" applyBorder="1" applyAlignment="1">
      <alignment vertical="center"/>
    </xf>
    <xf numFmtId="0" fontId="27" fillId="10" borderId="2" xfId="0" applyFont="1" applyFill="1" applyBorder="1" applyAlignment="1">
      <alignment vertical="center"/>
    </xf>
    <xf numFmtId="0" fontId="27" fillId="10" borderId="6" xfId="0" applyFont="1" applyFill="1" applyBorder="1" applyAlignment="1">
      <alignment vertical="center"/>
    </xf>
    <xf numFmtId="0" fontId="0" fillId="24" borderId="1" xfId="0" applyFill="1" applyBorder="1"/>
    <xf numFmtId="2" fontId="0" fillId="24" borderId="1" xfId="0" applyNumberFormat="1" applyFill="1" applyBorder="1" applyAlignment="1">
      <alignment horizontal="right"/>
    </xf>
    <xf numFmtId="0" fontId="25" fillId="0" borderId="26" xfId="0" applyFont="1" applyBorder="1" applyAlignment="1">
      <alignment vertical="center" wrapText="1"/>
    </xf>
    <xf numFmtId="0" fontId="27" fillId="0" borderId="26" xfId="0" applyFont="1" applyBorder="1" applyAlignment="1">
      <alignment vertical="center" wrapText="1"/>
    </xf>
    <xf numFmtId="0" fontId="22" fillId="0" borderId="10" xfId="0" applyFont="1" applyBorder="1" applyAlignment="1">
      <alignment vertical="center" wrapText="1"/>
    </xf>
    <xf numFmtId="0" fontId="0" fillId="0" borderId="0" xfId="0" applyBorder="1" applyAlignment="1">
      <alignment horizontal="center"/>
    </xf>
    <xf numFmtId="169" fontId="0" fillId="0" borderId="0" xfId="0" applyNumberFormat="1" applyBorder="1" applyAlignment="1">
      <alignment horizontal="center"/>
    </xf>
    <xf numFmtId="169" fontId="27" fillId="10" borderId="0" xfId="0" applyNumberFormat="1" applyFont="1" applyFill="1" applyAlignment="1">
      <alignment horizontal="right" vertical="center" wrapText="1"/>
    </xf>
    <xf numFmtId="169" fontId="27" fillId="10" borderId="2" xfId="0" applyNumberFormat="1" applyFont="1" applyFill="1" applyBorder="1" applyAlignment="1">
      <alignment horizontal="right" vertical="center" wrapText="1"/>
    </xf>
    <xf numFmtId="169" fontId="27" fillId="10" borderId="0" xfId="0" applyNumberFormat="1" applyFont="1" applyFill="1" applyAlignment="1">
      <alignment horizontal="right" vertical="center"/>
    </xf>
    <xf numFmtId="169" fontId="27" fillId="10" borderId="2" xfId="0" applyNumberFormat="1" applyFont="1" applyFill="1" applyBorder="1" applyAlignment="1">
      <alignment horizontal="right" vertical="center"/>
    </xf>
    <xf numFmtId="9" fontId="63" fillId="0" borderId="0" xfId="10" applyFont="1"/>
    <xf numFmtId="170" fontId="25" fillId="0" borderId="41" xfId="0" applyNumberFormat="1" applyFont="1" applyBorder="1" applyAlignment="1">
      <alignment horizontal="center" vertical="center" wrapText="1"/>
    </xf>
    <xf numFmtId="170" fontId="22" fillId="0" borderId="1" xfId="0" applyNumberFormat="1" applyFont="1" applyBorder="1" applyAlignment="1">
      <alignment horizontal="center" vertical="center" wrapText="1"/>
    </xf>
    <xf numFmtId="10" fontId="25" fillId="0" borderId="0" xfId="0" applyNumberFormat="1" applyFont="1" applyBorder="1" applyAlignment="1">
      <alignment horizontal="center" vertical="center" wrapText="1"/>
    </xf>
    <xf numFmtId="169" fontId="0" fillId="0" borderId="16" xfId="0" applyNumberFormat="1" applyBorder="1"/>
    <xf numFmtId="169" fontId="0" fillId="0" borderId="17" xfId="0" applyNumberFormat="1" applyBorder="1"/>
    <xf numFmtId="169" fontId="0" fillId="0" borderId="4" xfId="0" applyNumberFormat="1" applyBorder="1"/>
    <xf numFmtId="169" fontId="25" fillId="0" borderId="0" xfId="0" applyNumberFormat="1" applyFont="1"/>
    <xf numFmtId="3" fontId="82" fillId="0" borderId="0" xfId="0" applyNumberFormat="1" applyFont="1" applyFill="1"/>
    <xf numFmtId="3" fontId="82" fillId="0" borderId="0" xfId="0" applyNumberFormat="1" applyFont="1"/>
    <xf numFmtId="3" fontId="48" fillId="0" borderId="0" xfId="0" applyNumberFormat="1" applyFont="1"/>
    <xf numFmtId="0" fontId="0" fillId="0" borderId="17" xfId="0" applyBorder="1"/>
    <xf numFmtId="0" fontId="0" fillId="0" borderId="4" xfId="0" applyBorder="1"/>
    <xf numFmtId="0" fontId="0" fillId="0" borderId="16" xfId="0" applyBorder="1"/>
    <xf numFmtId="0" fontId="0" fillId="4" borderId="0" xfId="0" applyFill="1"/>
    <xf numFmtId="0" fontId="2" fillId="0" borderId="16" xfId="0" applyFont="1" applyBorder="1"/>
    <xf numFmtId="0" fontId="0" fillId="0" borderId="0" xfId="0" applyAlignment="1"/>
    <xf numFmtId="0" fontId="45" fillId="0" borderId="0" xfId="0" applyFont="1" applyBorder="1" applyAlignment="1">
      <alignment horizontal="center"/>
    </xf>
    <xf numFmtId="1" fontId="87" fillId="0" borderId="6" xfId="0" applyNumberFormat="1" applyFont="1" applyBorder="1" applyAlignment="1">
      <alignment horizontal="right" vertical="center"/>
    </xf>
    <xf numFmtId="0" fontId="78" fillId="0" borderId="0" xfId="0" applyFont="1"/>
    <xf numFmtId="176" fontId="87" fillId="0" borderId="6" xfId="11" applyNumberFormat="1" applyFont="1" applyBorder="1" applyAlignment="1">
      <alignment horizontal="right" vertical="center"/>
    </xf>
    <xf numFmtId="0" fontId="87" fillId="32" borderId="14" xfId="0" applyFont="1" applyFill="1" applyBorder="1" applyAlignment="1">
      <alignment vertical="center"/>
    </xf>
    <xf numFmtId="9" fontId="0" fillId="32" borderId="2" xfId="10" applyFont="1" applyFill="1" applyBorder="1"/>
    <xf numFmtId="9" fontId="0" fillId="32" borderId="6" xfId="10" applyFont="1" applyFill="1" applyBorder="1"/>
    <xf numFmtId="1" fontId="2" fillId="19" borderId="16" xfId="0" applyNumberFormat="1" applyFont="1" applyFill="1" applyBorder="1"/>
    <xf numFmtId="1" fontId="2" fillId="19" borderId="17" xfId="0" applyNumberFormat="1" applyFont="1" applyFill="1" applyBorder="1"/>
    <xf numFmtId="1" fontId="2" fillId="19" borderId="4" xfId="0" applyNumberFormat="1" applyFont="1" applyFill="1" applyBorder="1"/>
    <xf numFmtId="1" fontId="87" fillId="0" borderId="5" xfId="0" applyNumberFormat="1" applyFont="1" applyBorder="1" applyAlignment="1">
      <alignment horizontal="right" vertical="center"/>
    </xf>
    <xf numFmtId="1" fontId="2" fillId="19" borderId="3" xfId="0" applyNumberFormat="1" applyFont="1" applyFill="1" applyBorder="1"/>
    <xf numFmtId="176" fontId="87" fillId="0" borderId="5" xfId="11" applyNumberFormat="1" applyFont="1" applyBorder="1" applyAlignment="1">
      <alignment horizontal="right" vertical="center"/>
    </xf>
    <xf numFmtId="9" fontId="0" fillId="32" borderId="5" xfId="10" applyFont="1" applyFill="1" applyBorder="1"/>
    <xf numFmtId="0" fontId="87" fillId="30" borderId="16" xfId="0" applyFont="1" applyFill="1" applyBorder="1" applyAlignment="1">
      <alignment vertical="center" wrapText="1"/>
    </xf>
    <xf numFmtId="0" fontId="87" fillId="0" borderId="14" xfId="0" applyFont="1" applyBorder="1" applyAlignment="1">
      <alignment vertical="center"/>
    </xf>
    <xf numFmtId="9" fontId="0" fillId="32" borderId="14" xfId="10" applyFont="1" applyFill="1" applyBorder="1"/>
    <xf numFmtId="0" fontId="0" fillId="0" borderId="0" xfId="0" applyFont="1" applyAlignment="1">
      <alignment horizontal="left" vertical="top"/>
    </xf>
    <xf numFmtId="0" fontId="0" fillId="0" borderId="0" xfId="0" applyFont="1" applyAlignment="1">
      <alignment horizontal="left" vertical="top" wrapText="1"/>
    </xf>
    <xf numFmtId="0" fontId="2" fillId="0" borderId="0" xfId="0" applyFont="1" applyAlignment="1">
      <alignment vertical="top"/>
    </xf>
    <xf numFmtId="0" fontId="0" fillId="0" borderId="0" xfId="0" applyAlignment="1">
      <alignment vertical="center"/>
    </xf>
    <xf numFmtId="0" fontId="0" fillId="0" borderId="0" xfId="0" applyFont="1" applyAlignment="1"/>
    <xf numFmtId="0" fontId="5" fillId="0" borderId="0" xfId="0" applyFont="1" applyAlignment="1">
      <alignment horizontal="left" vertical="top"/>
    </xf>
    <xf numFmtId="9" fontId="0" fillId="0" borderId="0" xfId="10" applyNumberFormat="1" applyFont="1"/>
    <xf numFmtId="0" fontId="87" fillId="0" borderId="0" xfId="0" applyFont="1" applyFill="1" applyBorder="1" applyAlignment="1">
      <alignment vertical="center"/>
    </xf>
    <xf numFmtId="0" fontId="0" fillId="0" borderId="0" xfId="0" applyFill="1" applyBorder="1" applyAlignment="1">
      <alignment vertical="center"/>
    </xf>
    <xf numFmtId="1" fontId="87" fillId="0" borderId="0" xfId="0" applyNumberFormat="1" applyFont="1" applyFill="1" applyBorder="1" applyAlignment="1">
      <alignment horizontal="right" vertical="center"/>
    </xf>
    <xf numFmtId="1" fontId="2" fillId="0" borderId="0" xfId="0" applyNumberFormat="1" applyFont="1" applyFill="1" applyBorder="1"/>
    <xf numFmtId="9" fontId="0" fillId="0" borderId="0" xfId="10" applyFont="1" applyFill="1" applyBorder="1"/>
    <xf numFmtId="1" fontId="0" fillId="0" borderId="0" xfId="0" applyNumberFormat="1" applyFont="1" applyFill="1" applyBorder="1"/>
    <xf numFmtId="9" fontId="2" fillId="0" borderId="0" xfId="10" applyFont="1" applyFill="1" applyBorder="1"/>
    <xf numFmtId="0" fontId="0" fillId="0" borderId="0" xfId="0" applyFill="1" applyBorder="1" applyAlignment="1">
      <alignment vertical="center"/>
    </xf>
    <xf numFmtId="0" fontId="33" fillId="30" borderId="3" xfId="0" applyFont="1" applyFill="1" applyBorder="1" applyAlignment="1">
      <alignment horizontal="left" vertical="center" wrapText="1"/>
    </xf>
    <xf numFmtId="0" fontId="33" fillId="30" borderId="4" xfId="0" applyFont="1" applyFill="1" applyBorder="1" applyAlignment="1">
      <alignment horizontal="left" vertical="center" wrapText="1"/>
    </xf>
    <xf numFmtId="0" fontId="33" fillId="30" borderId="4" xfId="0" applyFont="1" applyFill="1" applyBorder="1" applyAlignment="1">
      <alignment horizontal="justify" vertical="center" wrapText="1"/>
    </xf>
    <xf numFmtId="0" fontId="25" fillId="0" borderId="0" xfId="0" applyFont="1" applyAlignment="1">
      <alignment horizontal="left"/>
    </xf>
    <xf numFmtId="0" fontId="33" fillId="31" borderId="3" xfId="0" applyFont="1" applyFill="1" applyBorder="1" applyAlignment="1">
      <alignment horizontal="left" vertical="center" wrapText="1"/>
    </xf>
    <xf numFmtId="1" fontId="90" fillId="0" borderId="0" xfId="0" applyNumberFormat="1" applyFont="1" applyFill="1" applyBorder="1" applyAlignment="1">
      <alignment horizontal="right" vertical="center"/>
    </xf>
    <xf numFmtId="0" fontId="78" fillId="0" borderId="0" xfId="0" applyFont="1" applyFill="1" applyBorder="1"/>
    <xf numFmtId="0" fontId="87" fillId="0" borderId="0" xfId="0" applyFont="1" applyFill="1" applyBorder="1" applyAlignment="1">
      <alignment vertical="center" wrapText="1"/>
    </xf>
    <xf numFmtId="0" fontId="87" fillId="0" borderId="0" xfId="0" applyFont="1" applyFill="1" applyBorder="1" applyAlignment="1">
      <alignment horizontal="justify" vertical="center" wrapText="1"/>
    </xf>
    <xf numFmtId="0" fontId="87" fillId="0" borderId="0" xfId="0" applyFont="1" applyFill="1" applyBorder="1" applyAlignment="1">
      <alignment horizontal="left" vertical="center" wrapText="1"/>
    </xf>
    <xf numFmtId="0" fontId="88" fillId="0" borderId="0" xfId="0" applyFont="1" applyFill="1" applyBorder="1"/>
    <xf numFmtId="176" fontId="87" fillId="0" borderId="0" xfId="11" applyNumberFormat="1" applyFont="1" applyFill="1" applyBorder="1" applyAlignment="1">
      <alignment horizontal="right" vertical="center"/>
    </xf>
    <xf numFmtId="1" fontId="0" fillId="0" borderId="0" xfId="0" applyNumberFormat="1" applyFill="1" applyBorder="1"/>
    <xf numFmtId="0" fontId="2" fillId="0" borderId="0" xfId="0" applyFont="1" applyFill="1" applyBorder="1" applyAlignment="1">
      <alignment vertical="top" wrapText="1"/>
    </xf>
    <xf numFmtId="0" fontId="0" fillId="0" borderId="0" xfId="0" applyFill="1" applyBorder="1" applyAlignment="1">
      <alignment wrapText="1"/>
    </xf>
    <xf numFmtId="0" fontId="0" fillId="0" borderId="0" xfId="0" applyFill="1" applyBorder="1" applyAlignment="1"/>
    <xf numFmtId="0" fontId="2" fillId="0" borderId="0" xfId="0" applyFont="1" applyFill="1" applyBorder="1" applyAlignment="1">
      <alignment wrapText="1"/>
    </xf>
    <xf numFmtId="0" fontId="2" fillId="0" borderId="0" xfId="0" applyFont="1" applyFill="1" applyBorder="1" applyAlignment="1"/>
    <xf numFmtId="0" fontId="0" fillId="0" borderId="0" xfId="0" applyFont="1" applyFill="1" applyBorder="1"/>
    <xf numFmtId="0" fontId="0" fillId="0" borderId="0" xfId="0" applyFont="1" applyFill="1" applyBorder="1" applyAlignment="1"/>
    <xf numFmtId="0" fontId="5"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169" fontId="62" fillId="0" borderId="0" xfId="0" applyNumberFormat="1" applyFont="1"/>
    <xf numFmtId="0" fontId="0" fillId="0" borderId="0" xfId="0" applyAlignment="1">
      <alignment horizontal="left" vertical="center" indent="2"/>
    </xf>
    <xf numFmtId="169" fontId="78" fillId="0" borderId="0" xfId="0" applyNumberFormat="1" applyFont="1"/>
    <xf numFmtId="169" fontId="0" fillId="19" borderId="0" xfId="0" applyNumberFormat="1" applyFill="1"/>
    <xf numFmtId="0" fontId="91" fillId="0" borderId="0" xfId="0" applyFont="1"/>
    <xf numFmtId="0" fontId="93" fillId="0" borderId="0" xfId="0" applyFont="1" applyAlignment="1">
      <alignment vertical="center"/>
    </xf>
    <xf numFmtId="0" fontId="85" fillId="0" borderId="0" xfId="0" applyFont="1" applyBorder="1" applyAlignment="1">
      <alignment horizontal="center" vertical="center" wrapText="1"/>
    </xf>
    <xf numFmtId="0" fontId="92" fillId="0" borderId="0" xfId="0" applyFont="1" applyBorder="1" applyAlignment="1">
      <alignment vertical="center" wrapText="1"/>
    </xf>
    <xf numFmtId="0" fontId="26" fillId="0" borderId="0" xfId="9" applyBorder="1" applyAlignment="1">
      <alignment vertical="center" wrapText="1"/>
    </xf>
    <xf numFmtId="2" fontId="78" fillId="0" borderId="0" xfId="0" applyNumberFormat="1" applyFont="1"/>
    <xf numFmtId="0" fontId="41" fillId="0" borderId="0" xfId="0" applyFont="1" applyFill="1" applyBorder="1"/>
    <xf numFmtId="185" fontId="0" fillId="0" borderId="0" xfId="0" applyNumberFormat="1"/>
    <xf numFmtId="4" fontId="62" fillId="0" borderId="0" xfId="0" applyNumberFormat="1" applyFont="1"/>
    <xf numFmtId="4" fontId="0" fillId="0" borderId="0" xfId="0" applyNumberFormat="1" applyAlignment="1">
      <alignment horizontal="left"/>
    </xf>
    <xf numFmtId="178" fontId="38" fillId="0" borderId="6" xfId="0" applyNumberFormat="1" applyFont="1" applyBorder="1" applyAlignment="1">
      <alignment horizontal="center" vertical="center" wrapText="1"/>
    </xf>
    <xf numFmtId="170" fontId="0" fillId="0" borderId="0" xfId="10" applyNumberFormat="1" applyFont="1" applyAlignment="1">
      <alignment horizontal="center"/>
    </xf>
    <xf numFmtId="0" fontId="82" fillId="0" borderId="0" xfId="0" applyFont="1"/>
    <xf numFmtId="0" fontId="27" fillId="0" borderId="27" xfId="0" applyFont="1" applyBorder="1" applyAlignment="1">
      <alignment horizontal="center" vertical="center" wrapText="1"/>
    </xf>
    <xf numFmtId="9" fontId="82" fillId="0" borderId="0" xfId="10" applyFont="1"/>
    <xf numFmtId="186" fontId="0" fillId="0" borderId="0" xfId="0" applyNumberFormat="1"/>
    <xf numFmtId="187" fontId="78" fillId="0" borderId="0" xfId="0" applyNumberFormat="1" applyFont="1"/>
    <xf numFmtId="186" fontId="0" fillId="0" borderId="0" xfId="10" applyNumberFormat="1" applyFont="1"/>
    <xf numFmtId="9" fontId="21" fillId="0" borderId="22" xfId="10" applyNumberFormat="1" applyFont="1" applyBorder="1" applyAlignment="1">
      <alignment horizontal="center" vertical="center" wrapText="1"/>
    </xf>
    <xf numFmtId="0" fontId="62" fillId="0" borderId="0" xfId="0" applyFont="1" applyAlignment="1">
      <alignment horizontal="right"/>
    </xf>
    <xf numFmtId="0" fontId="1" fillId="0" borderId="20" xfId="0" applyFont="1" applyBorder="1" applyAlignment="1">
      <alignment vertical="center" wrapText="1"/>
    </xf>
    <xf numFmtId="0" fontId="0" fillId="0" borderId="20" xfId="0" applyFont="1" applyBorder="1" applyAlignment="1">
      <alignment vertical="center" wrapText="1"/>
    </xf>
    <xf numFmtId="4" fontId="2" fillId="0" borderId="0" xfId="0" applyNumberFormat="1" applyFont="1" applyAlignment="1">
      <alignment horizontal="left"/>
    </xf>
    <xf numFmtId="3" fontId="95" fillId="0" borderId="0" xfId="0" applyNumberFormat="1" applyFont="1"/>
    <xf numFmtId="176" fontId="95" fillId="0" borderId="0" xfId="11" applyNumberFormat="1" applyFont="1"/>
    <xf numFmtId="176" fontId="95" fillId="0" borderId="0" xfId="0" applyNumberFormat="1" applyFont="1"/>
    <xf numFmtId="9" fontId="95" fillId="0" borderId="0" xfId="10" applyFont="1"/>
    <xf numFmtId="4" fontId="78" fillId="0" borderId="0" xfId="0" applyNumberFormat="1" applyFont="1"/>
    <xf numFmtId="176" fontId="78" fillId="0" borderId="0" xfId="0" applyNumberFormat="1" applyFont="1"/>
    <xf numFmtId="176" fontId="41" fillId="0" borderId="0" xfId="11" applyNumberFormat="1" applyFont="1" applyAlignment="1">
      <alignment horizontal="center" vertical="center"/>
    </xf>
    <xf numFmtId="3" fontId="19" fillId="0" borderId="46" xfId="0" applyNumberFormat="1" applyFont="1" applyBorder="1" applyAlignment="1">
      <alignment horizontal="center" vertical="center" wrapText="1"/>
    </xf>
    <xf numFmtId="0" fontId="19" fillId="0" borderId="46" xfId="0" applyFont="1" applyBorder="1" applyAlignment="1">
      <alignment horizontal="center" vertical="center" wrapText="1"/>
    </xf>
    <xf numFmtId="188" fontId="0" fillId="0" borderId="0" xfId="0" applyNumberFormat="1"/>
    <xf numFmtId="1" fontId="62" fillId="0" borderId="16" xfId="0" applyNumberFormat="1" applyFont="1" applyBorder="1"/>
    <xf numFmtId="1" fontId="62" fillId="0" borderId="4" xfId="0" applyNumberFormat="1" applyFont="1" applyBorder="1"/>
    <xf numFmtId="0" fontId="96" fillId="0" borderId="0" xfId="0" applyFont="1"/>
    <xf numFmtId="1" fontId="78" fillId="0" borderId="0" xfId="0" applyNumberFormat="1" applyFont="1"/>
    <xf numFmtId="172" fontId="38" fillId="0" borderId="6" xfId="0" applyNumberFormat="1" applyFont="1" applyBorder="1" applyAlignment="1">
      <alignment horizontal="center" vertical="center" wrapText="1"/>
    </xf>
    <xf numFmtId="0" fontId="98" fillId="0" borderId="0" xfId="0" applyFont="1" applyFill="1" applyBorder="1" applyAlignment="1">
      <alignment horizontal="center" vertical="center" wrapText="1"/>
    </xf>
    <xf numFmtId="169" fontId="78" fillId="0" borderId="0" xfId="0" applyNumberFormat="1" applyFont="1" applyFill="1" applyBorder="1"/>
    <xf numFmtId="0" fontId="97" fillId="0" borderId="0" xfId="0" applyFont="1" applyFill="1" applyBorder="1"/>
    <xf numFmtId="175" fontId="78" fillId="0" borderId="0" xfId="0" applyNumberFormat="1" applyFont="1" applyFill="1" applyBorder="1"/>
    <xf numFmtId="9" fontId="78" fillId="0" borderId="0" xfId="10" applyFont="1" applyFill="1" applyBorder="1"/>
    <xf numFmtId="0" fontId="100" fillId="0" borderId="0" xfId="0" applyFont="1" applyFill="1" applyBorder="1"/>
    <xf numFmtId="9" fontId="78" fillId="0" borderId="0" xfId="10" applyNumberFormat="1" applyFont="1" applyFill="1" applyBorder="1"/>
    <xf numFmtId="0" fontId="0" fillId="0" borderId="0" xfId="10" applyNumberFormat="1" applyFont="1"/>
    <xf numFmtId="170" fontId="2" fillId="0" borderId="0" xfId="10" applyNumberFormat="1" applyFont="1"/>
    <xf numFmtId="170" fontId="54" fillId="0" borderId="0" xfId="10" applyNumberFormat="1" applyFont="1" applyFill="1"/>
    <xf numFmtId="170" fontId="19" fillId="0" borderId="20" xfId="0" applyNumberFormat="1" applyFont="1" applyBorder="1" applyAlignment="1">
      <alignment horizontal="center" vertical="center" wrapText="1"/>
    </xf>
    <xf numFmtId="0" fontId="101" fillId="0" borderId="3" xfId="0" applyFont="1" applyBorder="1" applyAlignment="1">
      <alignment horizontal="center" vertical="center" wrapText="1"/>
    </xf>
    <xf numFmtId="0" fontId="48" fillId="0" borderId="0" xfId="0" applyFont="1" applyAlignment="1">
      <alignment horizontal="right"/>
    </xf>
    <xf numFmtId="3" fontId="48" fillId="0" borderId="0" xfId="0" applyNumberFormat="1" applyFont="1" applyFill="1"/>
    <xf numFmtId="3" fontId="54" fillId="33" borderId="0" xfId="0" applyNumberFormat="1" applyFont="1" applyFill="1"/>
    <xf numFmtId="3" fontId="54" fillId="16" borderId="0" xfId="0" applyNumberFormat="1" applyFont="1" applyFill="1"/>
    <xf numFmtId="0" fontId="50" fillId="33" borderId="0" xfId="0" applyFont="1" applyFill="1"/>
    <xf numFmtId="0" fontId="50" fillId="16" borderId="0" xfId="0" applyFont="1" applyFill="1"/>
    <xf numFmtId="3" fontId="0" fillId="33" borderId="0" xfId="0" applyNumberFormat="1" applyFill="1"/>
    <xf numFmtId="3" fontId="0" fillId="16" borderId="0" xfId="0" applyNumberFormat="1" applyFill="1"/>
    <xf numFmtId="9" fontId="102" fillId="0" borderId="0" xfId="10" applyNumberFormat="1" applyFont="1" applyFill="1"/>
    <xf numFmtId="0" fontId="103" fillId="0" borderId="0" xfId="0" applyFont="1" applyAlignment="1">
      <alignment vertical="center"/>
    </xf>
    <xf numFmtId="0" fontId="34" fillId="0" borderId="0" xfId="0" applyFont="1" applyFill="1" applyBorder="1" applyAlignment="1">
      <alignment horizontal="left" vertical="center"/>
    </xf>
    <xf numFmtId="0" fontId="105" fillId="0" borderId="0" xfId="0" applyFont="1" applyFill="1" applyBorder="1" applyAlignment="1">
      <alignment horizontal="left" vertical="center"/>
    </xf>
    <xf numFmtId="0" fontId="0" fillId="0" borderId="0" xfId="0" applyAlignment="1">
      <alignment vertical="center"/>
    </xf>
    <xf numFmtId="183" fontId="0" fillId="0" borderId="0" xfId="0" applyNumberFormat="1"/>
    <xf numFmtId="0" fontId="0" fillId="0" borderId="0" xfId="0"/>
    <xf numFmtId="0" fontId="0" fillId="0" borderId="0" xfId="0" applyAlignment="1"/>
    <xf numFmtId="169" fontId="0" fillId="0" borderId="0" xfId="0" applyNumberFormat="1" applyFill="1" applyBorder="1"/>
    <xf numFmtId="3" fontId="142" fillId="0" borderId="0" xfId="0" applyNumberFormat="1" applyFont="1" applyFill="1"/>
    <xf numFmtId="0" fontId="0" fillId="0" borderId="0" xfId="0" applyAlignment="1">
      <alignment horizontal="center"/>
    </xf>
    <xf numFmtId="183" fontId="69" fillId="18" borderId="0" xfId="0" applyNumberFormat="1" applyFont="1" applyFill="1" applyAlignment="1">
      <alignment horizontal="center"/>
    </xf>
    <xf numFmtId="182" fontId="0" fillId="25" borderId="0" xfId="0" applyNumberFormat="1" applyFill="1" applyAlignment="1"/>
    <xf numFmtId="182" fontId="0" fillId="25" borderId="0" xfId="0" applyNumberFormat="1" applyFill="1"/>
    <xf numFmtId="0" fontId="83" fillId="0" borderId="0" xfId="0" applyFont="1" applyFill="1" applyBorder="1"/>
    <xf numFmtId="0" fontId="142" fillId="0" borderId="0" xfId="0" applyFont="1"/>
    <xf numFmtId="0" fontId="0" fillId="0" borderId="0" xfId="0"/>
    <xf numFmtId="0" fontId="0" fillId="0" borderId="0" xfId="0" applyAlignment="1">
      <alignment horizontal="right"/>
    </xf>
    <xf numFmtId="3" fontId="0" fillId="0" borderId="0" xfId="0" applyNumberFormat="1" applyFill="1" applyBorder="1"/>
    <xf numFmtId="178" fontId="0" fillId="0" borderId="0" xfId="0" applyNumberFormat="1" applyFill="1" applyBorder="1"/>
    <xf numFmtId="178" fontId="0" fillId="0" borderId="0" xfId="0" applyNumberFormat="1" applyBorder="1"/>
    <xf numFmtId="178" fontId="2" fillId="0" borderId="0" xfId="0" applyNumberFormat="1" applyFont="1" applyBorder="1"/>
    <xf numFmtId="172" fontId="2" fillId="0" borderId="0" xfId="0" applyNumberFormat="1" applyFont="1" applyBorder="1"/>
    <xf numFmtId="190" fontId="0" fillId="0" borderId="0" xfId="11" applyNumberFormat="1" applyFont="1" applyBorder="1"/>
    <xf numFmtId="9" fontId="0" fillId="21" borderId="6" xfId="10" applyNumberFormat="1" applyFont="1" applyFill="1" applyBorder="1"/>
    <xf numFmtId="3" fontId="19" fillId="19" borderId="8" xfId="0" applyNumberFormat="1" applyFont="1" applyFill="1" applyBorder="1" applyAlignment="1">
      <alignment horizontal="center" vertical="center" wrapText="1"/>
    </xf>
    <xf numFmtId="3" fontId="21" fillId="19" borderId="30" xfId="0" applyNumberFormat="1" applyFont="1" applyFill="1" applyBorder="1" applyAlignment="1">
      <alignment horizontal="center" vertical="center" wrapText="1"/>
    </xf>
    <xf numFmtId="3" fontId="19" fillId="27" borderId="29" xfId="0" applyNumberFormat="1" applyFont="1" applyFill="1" applyBorder="1" applyAlignment="1">
      <alignment horizontal="center" vertical="center" wrapText="1"/>
    </xf>
    <xf numFmtId="3" fontId="21" fillId="27" borderId="30" xfId="0" applyNumberFormat="1" applyFont="1" applyFill="1" applyBorder="1" applyAlignment="1">
      <alignment horizontal="center" vertical="center" wrapText="1"/>
    </xf>
    <xf numFmtId="0" fontId="0" fillId="4" borderId="0" xfId="0" applyFill="1" applyAlignment="1">
      <alignment horizontal="center"/>
    </xf>
    <xf numFmtId="0" fontId="0" fillId="0" borderId="0" xfId="0" applyAlignment="1"/>
    <xf numFmtId="1" fontId="87" fillId="0" borderId="0" xfId="0" applyNumberFormat="1" applyFont="1" applyFill="1" applyBorder="1" applyAlignment="1">
      <alignment horizontal="right" vertical="center"/>
    </xf>
    <xf numFmtId="0" fontId="0" fillId="0" borderId="0" xfId="0" applyFill="1" applyBorder="1" applyAlignment="1"/>
    <xf numFmtId="178" fontId="37" fillId="0" borderId="6" xfId="0" applyNumberFormat="1" applyFont="1" applyBorder="1" applyAlignment="1">
      <alignment horizontal="center" vertical="center" wrapText="1"/>
    </xf>
    <xf numFmtId="0" fontId="16" fillId="0" borderId="0" xfId="0" applyFont="1" applyFill="1" applyBorder="1" applyAlignment="1">
      <alignment vertical="center" wrapText="1"/>
    </xf>
    <xf numFmtId="3" fontId="19" fillId="0" borderId="0" xfId="0" applyNumberFormat="1" applyFont="1" applyFill="1" applyBorder="1" applyAlignment="1">
      <alignment horizontal="center" vertical="center" wrapText="1"/>
    </xf>
    <xf numFmtId="0" fontId="22" fillId="0" borderId="0" xfId="0" applyFont="1" applyFill="1" applyBorder="1" applyAlignment="1">
      <alignment vertical="center"/>
    </xf>
    <xf numFmtId="3" fontId="21" fillId="0" borderId="0" xfId="0" applyNumberFormat="1" applyFont="1" applyFill="1" applyBorder="1" applyAlignment="1">
      <alignment horizontal="center" vertical="center" wrapText="1"/>
    </xf>
    <xf numFmtId="0" fontId="48" fillId="0" borderId="0" xfId="0" applyFont="1" applyFill="1" applyBorder="1"/>
    <xf numFmtId="0" fontId="143" fillId="0" borderId="0" xfId="0" applyFont="1" applyFill="1" applyBorder="1"/>
    <xf numFmtId="9" fontId="0" fillId="0" borderId="0" xfId="10" applyFont="1" applyBorder="1"/>
    <xf numFmtId="178" fontId="2" fillId="0" borderId="0" xfId="0" applyNumberFormat="1" applyFont="1" applyFill="1" applyBorder="1"/>
    <xf numFmtId="169" fontId="0" fillId="0" borderId="0" xfId="0" applyNumberFormat="1" applyFill="1" applyBorder="1" applyAlignment="1"/>
    <xf numFmtId="172" fontId="2" fillId="0" borderId="0" xfId="0" applyNumberFormat="1" applyFont="1" applyFill="1" applyBorder="1"/>
    <xf numFmtId="3" fontId="78" fillId="0" borderId="0" xfId="0" applyNumberFormat="1" applyFont="1" applyFill="1" applyBorder="1"/>
    <xf numFmtId="187" fontId="78" fillId="0" borderId="0" xfId="0" applyNumberFormat="1" applyFont="1" applyFill="1" applyBorder="1"/>
    <xf numFmtId="0" fontId="99" fillId="0" borderId="0" xfId="0" applyFont="1" applyFill="1" applyBorder="1"/>
    <xf numFmtId="0" fontId="38" fillId="0" borderId="0" xfId="0" applyFont="1" applyFill="1" applyBorder="1" applyAlignment="1">
      <alignment horizontal="center" vertical="center" wrapText="1"/>
    </xf>
    <xf numFmtId="175" fontId="0" fillId="0" borderId="0" xfId="0" applyNumberFormat="1" applyFill="1" applyBorder="1"/>
    <xf numFmtId="4" fontId="0" fillId="0" borderId="0" xfId="0" applyNumberFormat="1" applyFill="1" applyBorder="1"/>
    <xf numFmtId="179" fontId="0" fillId="0" borderId="0" xfId="0" applyNumberFormat="1" applyFill="1" applyBorder="1"/>
    <xf numFmtId="172" fontId="0" fillId="0" borderId="0" xfId="0" applyNumberFormat="1" applyFill="1" applyBorder="1"/>
    <xf numFmtId="9" fontId="0" fillId="0" borderId="0" xfId="10" applyNumberFormat="1" applyFont="1" applyFill="1" applyBorder="1"/>
    <xf numFmtId="0" fontId="83" fillId="0" borderId="0" xfId="0" applyFont="1" applyFill="1"/>
    <xf numFmtId="0" fontId="83" fillId="0" borderId="0" xfId="0" applyFont="1" applyFill="1" applyAlignment="1">
      <alignment horizontal="left"/>
    </xf>
    <xf numFmtId="4" fontId="83" fillId="0" borderId="0" xfId="0" applyNumberFormat="1" applyFont="1" applyFill="1" applyAlignment="1">
      <alignment horizontal="left"/>
    </xf>
    <xf numFmtId="0" fontId="83" fillId="0" borderId="0" xfId="0" applyFont="1" applyFill="1" applyBorder="1" applyAlignment="1">
      <alignment horizontal="left"/>
    </xf>
    <xf numFmtId="4" fontId="83" fillId="0" borderId="0" xfId="0" applyNumberFormat="1" applyFont="1" applyFill="1" applyBorder="1" applyAlignment="1">
      <alignment horizontal="left"/>
    </xf>
    <xf numFmtId="0" fontId="6" fillId="0" borderId="20" xfId="0" applyFont="1" applyBorder="1" applyAlignment="1">
      <alignment vertical="center" wrapText="1"/>
    </xf>
    <xf numFmtId="1" fontId="87" fillId="0" borderId="5" xfId="0" applyNumberFormat="1" applyFont="1" applyFill="1" applyBorder="1" applyAlignment="1">
      <alignment horizontal="right" vertical="center"/>
    </xf>
    <xf numFmtId="1" fontId="87" fillId="0" borderId="6" xfId="0" applyNumberFormat="1" applyFont="1" applyFill="1" applyBorder="1" applyAlignment="1">
      <alignment horizontal="right" vertical="center"/>
    </xf>
    <xf numFmtId="198" fontId="78" fillId="0" borderId="0" xfId="0" applyNumberFormat="1" applyFont="1"/>
    <xf numFmtId="0" fontId="0" fillId="0" borderId="0" xfId="0" applyFont="1" applyAlignment="1">
      <alignment horizontal="right"/>
    </xf>
    <xf numFmtId="0" fontId="6" fillId="0" borderId="0" xfId="0" applyFont="1" applyAlignment="1">
      <alignment horizontal="right"/>
    </xf>
    <xf numFmtId="0" fontId="0" fillId="0" borderId="0" xfId="0" applyFont="1" applyAlignment="1">
      <alignment horizontal="right" vertical="center"/>
    </xf>
    <xf numFmtId="0" fontId="67" fillId="0" borderId="0" xfId="0" applyFont="1" applyAlignment="1">
      <alignment wrapText="1"/>
    </xf>
    <xf numFmtId="169" fontId="67" fillId="20" borderId="0" xfId="0" applyNumberFormat="1" applyFont="1" applyFill="1"/>
    <xf numFmtId="169" fontId="67" fillId="0" borderId="0" xfId="0" applyNumberFormat="1" applyFont="1"/>
    <xf numFmtId="169" fontId="69" fillId="20" borderId="0" xfId="0" applyNumberFormat="1" applyFont="1" applyFill="1" applyAlignment="1">
      <alignment horizontal="center"/>
    </xf>
    <xf numFmtId="169" fontId="0" fillId="18" borderId="0" xfId="0" applyNumberFormat="1" applyFill="1"/>
    <xf numFmtId="182" fontId="70" fillId="20" borderId="0" xfId="0" applyNumberFormat="1" applyFont="1" applyFill="1" applyAlignment="1">
      <alignment horizontal="center"/>
    </xf>
    <xf numFmtId="0" fontId="12" fillId="0" borderId="0" xfId="0" applyFont="1"/>
    <xf numFmtId="0" fontId="2" fillId="0" borderId="0" xfId="0" applyNumberFormat="1" applyFont="1"/>
    <xf numFmtId="169" fontId="6" fillId="0" borderId="0" xfId="0" applyNumberFormat="1" applyFont="1"/>
    <xf numFmtId="169" fontId="56" fillId="17" borderId="17" xfId="0" applyNumberFormat="1" applyFont="1" applyFill="1" applyBorder="1"/>
    <xf numFmtId="169" fontId="0" fillId="25" borderId="17" xfId="0" applyNumberFormat="1" applyFill="1" applyBorder="1"/>
    <xf numFmtId="169" fontId="0" fillId="25" borderId="4" xfId="0" applyNumberFormat="1" applyFill="1" applyBorder="1"/>
    <xf numFmtId="0" fontId="0" fillId="4" borderId="0" xfId="0" applyFill="1" applyAlignment="1">
      <alignment horizontal="center"/>
    </xf>
    <xf numFmtId="0" fontId="53" fillId="17" borderId="18" xfId="0" applyFont="1" applyFill="1" applyBorder="1" applyAlignment="1">
      <alignment horizontal="center" vertical="center" wrapText="1"/>
    </xf>
    <xf numFmtId="0" fontId="0" fillId="17" borderId="15" xfId="0" applyFill="1" applyBorder="1" applyAlignment="1">
      <alignment horizontal="center" vertical="center" wrapText="1"/>
    </xf>
    <xf numFmtId="0" fontId="0" fillId="17" borderId="5" xfId="0" applyFill="1" applyBorder="1" applyAlignment="1">
      <alignment horizontal="center" vertical="center" wrapText="1"/>
    </xf>
    <xf numFmtId="0" fontId="2" fillId="0" borderId="15" xfId="0" applyFont="1" applyBorder="1" applyAlignment="1">
      <alignment vertical="center" wrapText="1"/>
    </xf>
    <xf numFmtId="0" fontId="0" fillId="0" borderId="15" xfId="0" applyFont="1" applyBorder="1" applyAlignment="1">
      <alignment vertical="center" wrapText="1"/>
    </xf>
    <xf numFmtId="0" fontId="0" fillId="0" borderId="5" xfId="0" applyFont="1" applyBorder="1" applyAlignment="1">
      <alignment vertical="center" wrapText="1"/>
    </xf>
    <xf numFmtId="0" fontId="4" fillId="0" borderId="18" xfId="0" applyFont="1" applyBorder="1" applyAlignment="1">
      <alignment vertical="center" wrapText="1"/>
    </xf>
    <xf numFmtId="0" fontId="0" fillId="0" borderId="15" xfId="0" applyFont="1" applyBorder="1" applyAlignment="1">
      <alignment wrapText="1"/>
    </xf>
    <xf numFmtId="0" fontId="0" fillId="0" borderId="5" xfId="0" applyFont="1" applyBorder="1" applyAlignment="1">
      <alignment wrapText="1"/>
    </xf>
    <xf numFmtId="0" fontId="4" fillId="0" borderId="5" xfId="0" applyFont="1" applyBorder="1" applyAlignment="1">
      <alignment vertical="center" wrapText="1"/>
    </xf>
    <xf numFmtId="0" fontId="57" fillId="9" borderId="16" xfId="0" applyFont="1" applyFill="1" applyBorder="1" applyAlignment="1">
      <alignment vertical="center" wrapText="1"/>
    </xf>
    <xf numFmtId="0" fontId="57" fillId="9" borderId="17" xfId="0" applyFont="1" applyFill="1" applyBorder="1" applyAlignment="1">
      <alignment vertical="center" wrapText="1"/>
    </xf>
    <xf numFmtId="0" fontId="57" fillId="9" borderId="4" xfId="0" applyFont="1" applyFill="1" applyBorder="1" applyAlignment="1">
      <alignment vertical="center" wrapText="1"/>
    </xf>
    <xf numFmtId="0" fontId="27" fillId="0" borderId="18" xfId="0" applyFont="1" applyBorder="1" applyAlignment="1">
      <alignment vertical="center" wrapText="1"/>
    </xf>
    <xf numFmtId="0" fontId="27" fillId="0" borderId="5" xfId="0" applyFont="1" applyBorder="1" applyAlignment="1">
      <alignment vertical="center" wrapText="1"/>
    </xf>
    <xf numFmtId="0" fontId="4" fillId="0" borderId="15" xfId="0" applyFont="1" applyBorder="1" applyAlignment="1">
      <alignment vertical="center" wrapText="1"/>
    </xf>
    <xf numFmtId="0" fontId="4" fillId="10" borderId="18" xfId="0" applyFont="1" applyFill="1" applyBorder="1" applyAlignment="1">
      <alignment horizontal="center" vertical="center" wrapText="1"/>
    </xf>
    <xf numFmtId="0" fontId="0" fillId="0" borderId="5" xfId="0" applyFont="1" applyBorder="1" applyAlignment="1">
      <alignment horizontal="center" vertical="center" wrapText="1"/>
    </xf>
    <xf numFmtId="0" fontId="4" fillId="11" borderId="18" xfId="0" applyFont="1" applyFill="1" applyBorder="1" applyAlignment="1">
      <alignment horizontal="center" vertical="center" wrapText="1"/>
    </xf>
    <xf numFmtId="0" fontId="2" fillId="0" borderId="18" xfId="0" applyFont="1" applyBorder="1" applyAlignment="1">
      <alignment vertical="center" wrapText="1"/>
    </xf>
    <xf numFmtId="0" fontId="2" fillId="0" borderId="5" xfId="0" applyFont="1" applyBorder="1" applyAlignment="1">
      <alignment vertical="center" wrapText="1"/>
    </xf>
    <xf numFmtId="0" fontId="2" fillId="15" borderId="18" xfId="0" applyFont="1" applyFill="1" applyBorder="1" applyAlignment="1">
      <alignment horizontal="center" vertical="center"/>
    </xf>
    <xf numFmtId="0" fontId="0" fillId="0" borderId="15" xfId="0" applyBorder="1" applyAlignment="1">
      <alignment vertical="center"/>
    </xf>
    <xf numFmtId="0" fontId="0" fillId="0" borderId="5" xfId="0" applyBorder="1" applyAlignment="1">
      <alignment vertical="center"/>
    </xf>
    <xf numFmtId="0" fontId="0" fillId="0" borderId="15" xfId="0" applyBorder="1" applyAlignment="1">
      <alignment wrapText="1"/>
    </xf>
    <xf numFmtId="0" fontId="0" fillId="0" borderId="5" xfId="0" applyBorder="1" applyAlignment="1">
      <alignment wrapText="1"/>
    </xf>
    <xf numFmtId="0" fontId="0" fillId="0" borderId="15" xfId="0" applyFont="1" applyBorder="1" applyAlignment="1"/>
    <xf numFmtId="0" fontId="0" fillId="0" borderId="5" xfId="0" applyFont="1" applyBorder="1" applyAlignment="1"/>
    <xf numFmtId="0" fontId="0" fillId="0" borderId="15" xfId="0" applyBorder="1" applyAlignment="1">
      <alignment vertical="center" wrapText="1"/>
    </xf>
    <xf numFmtId="0" fontId="0" fillId="0" borderId="5" xfId="0" applyBorder="1" applyAlignment="1">
      <alignment vertical="center" wrapText="1"/>
    </xf>
    <xf numFmtId="0" fontId="36" fillId="0" borderId="18" xfId="0" applyFont="1" applyBorder="1" applyAlignment="1">
      <alignment vertical="center" wrapText="1"/>
    </xf>
    <xf numFmtId="0" fontId="27" fillId="0" borderId="15" xfId="0" applyFont="1" applyBorder="1" applyAlignment="1">
      <alignment vertical="center" wrapText="1"/>
    </xf>
    <xf numFmtId="0" fontId="50" fillId="0" borderId="18" xfId="0" applyFont="1" applyBorder="1" applyAlignment="1">
      <alignment wrapText="1"/>
    </xf>
    <xf numFmtId="0" fontId="36" fillId="0" borderId="15" xfId="0" applyFont="1" applyBorder="1" applyAlignment="1">
      <alignment vertical="center" wrapText="1"/>
    </xf>
    <xf numFmtId="0" fontId="24" fillId="0" borderId="18" xfId="0" applyFont="1" applyBorder="1" applyAlignment="1">
      <alignment horizontal="center"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4" xfId="0" applyFont="1" applyBorder="1" applyAlignment="1">
      <alignment vertical="center" wrapText="1"/>
    </xf>
    <xf numFmtId="0" fontId="21"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4" fillId="13" borderId="16"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5" fillId="0" borderId="18" xfId="0" quotePrefix="1" applyFont="1"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21" fillId="0" borderId="0" xfId="0" applyFont="1" applyFill="1" applyBorder="1" applyAlignment="1">
      <alignment vertical="center" wrapText="1"/>
    </xf>
    <xf numFmtId="0" fontId="5" fillId="0" borderId="18" xfId="0" quotePrefix="1" applyNumberFormat="1" applyFont="1" applyBorder="1" applyAlignment="1">
      <alignment horizontal="center" vertical="center" wrapText="1"/>
    </xf>
    <xf numFmtId="0" fontId="0" fillId="0" borderId="15" xfId="0" applyNumberFormat="1" applyBorder="1" applyAlignment="1">
      <alignment horizontal="center" vertical="center" wrapText="1"/>
    </xf>
    <xf numFmtId="0" fontId="0" fillId="0" borderId="5" xfId="0" applyNumberFormat="1" applyBorder="1" applyAlignment="1">
      <alignment horizontal="center" vertical="center" wrapText="1"/>
    </xf>
    <xf numFmtId="0" fontId="24" fillId="0" borderId="0" xfId="0" applyFont="1" applyFill="1" applyBorder="1" applyAlignment="1">
      <alignment horizontal="center" vertical="center" wrapText="1"/>
    </xf>
    <xf numFmtId="0" fontId="24" fillId="12" borderId="18" xfId="0" applyFont="1" applyFill="1" applyBorder="1" applyAlignment="1">
      <alignment vertical="center"/>
    </xf>
    <xf numFmtId="0" fontId="24" fillId="12" borderId="5" xfId="0" applyFont="1" applyFill="1" applyBorder="1" applyAlignment="1">
      <alignment vertical="center"/>
    </xf>
    <xf numFmtId="0" fontId="24" fillId="12" borderId="14" xfId="0" applyFont="1" applyFill="1" applyBorder="1" applyAlignment="1">
      <alignment horizontal="center" vertical="center"/>
    </xf>
    <xf numFmtId="0" fontId="24" fillId="12" borderId="2" xfId="0" applyFont="1" applyFill="1" applyBorder="1" applyAlignment="1">
      <alignment horizontal="center" vertical="center"/>
    </xf>
    <xf numFmtId="0" fontId="0" fillId="0" borderId="6" xfId="0" applyBorder="1" applyAlignment="1"/>
    <xf numFmtId="0" fontId="24" fillId="12" borderId="13" xfId="0" applyFont="1" applyFill="1" applyBorder="1" applyAlignment="1">
      <alignment horizontal="center" vertical="center"/>
    </xf>
    <xf numFmtId="0" fontId="24" fillId="12" borderId="12" xfId="0" applyFont="1" applyFill="1" applyBorder="1" applyAlignment="1">
      <alignment horizontal="center" vertical="center"/>
    </xf>
    <xf numFmtId="0" fontId="0" fillId="0" borderId="19" xfId="0" applyBorder="1" applyAlignment="1"/>
    <xf numFmtId="0" fontId="26" fillId="0" borderId="0" xfId="9" applyFill="1" applyBorder="1" applyAlignment="1">
      <alignment vertical="center" wrapText="1"/>
    </xf>
    <xf numFmtId="0" fontId="0" fillId="0" borderId="0" xfId="0" applyAlignment="1"/>
    <xf numFmtId="0" fontId="24" fillId="12" borderId="15" xfId="0" applyFont="1" applyFill="1" applyBorder="1" applyAlignment="1">
      <alignment horizontal="center" vertical="center"/>
    </xf>
    <xf numFmtId="0" fontId="24" fillId="12" borderId="5" xfId="0" applyFont="1" applyFill="1" applyBorder="1" applyAlignment="1">
      <alignment horizontal="center" vertical="center"/>
    </xf>
    <xf numFmtId="0" fontId="81" fillId="23" borderId="17" xfId="0" applyFont="1" applyFill="1" applyBorder="1" applyAlignment="1">
      <alignment horizontal="left" vertical="center"/>
    </xf>
    <xf numFmtId="0" fontId="81" fillId="23" borderId="42" xfId="0" applyFont="1" applyFill="1" applyBorder="1" applyAlignment="1">
      <alignment horizontal="left" vertical="center"/>
    </xf>
    <xf numFmtId="0" fontId="81" fillId="23" borderId="12" xfId="0" applyFont="1" applyFill="1" applyBorder="1" applyAlignment="1">
      <alignment horizontal="left" vertical="center"/>
    </xf>
    <xf numFmtId="0" fontId="81" fillId="23" borderId="43" xfId="0" applyFont="1" applyFill="1" applyBorder="1" applyAlignment="1">
      <alignment horizontal="left" vertical="center"/>
    </xf>
    <xf numFmtId="0" fontId="2" fillId="0" borderId="9" xfId="0" applyFont="1" applyBorder="1" applyAlignment="1">
      <alignment wrapText="1"/>
    </xf>
    <xf numFmtId="0" fontId="38" fillId="0" borderId="19" xfId="0" applyFont="1" applyBorder="1" applyAlignment="1">
      <alignment vertical="center" wrapText="1"/>
    </xf>
    <xf numFmtId="0" fontId="0" fillId="0" borderId="9" xfId="0" applyBorder="1" applyAlignment="1">
      <alignment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0" fillId="0" borderId="0" xfId="0" applyFill="1" applyBorder="1" applyAlignment="1">
      <alignment wrapText="1"/>
    </xf>
    <xf numFmtId="0" fontId="0" fillId="0" borderId="0" xfId="0" applyAlignment="1">
      <alignment wrapText="1"/>
    </xf>
    <xf numFmtId="0" fontId="2" fillId="0" borderId="0" xfId="0" applyFont="1" applyAlignment="1">
      <alignment vertical="center" wrapText="1"/>
    </xf>
    <xf numFmtId="0" fontId="0" fillId="0" borderId="0" xfId="0" applyFont="1" applyAlignment="1">
      <alignment wrapText="1"/>
    </xf>
    <xf numFmtId="164" fontId="92" fillId="0" borderId="0" xfId="0" applyNumberFormat="1" applyFont="1" applyBorder="1" applyAlignment="1">
      <alignment horizontal="right" vertical="center" wrapText="1"/>
    </xf>
    <xf numFmtId="0" fontId="92" fillId="0" borderId="0" xfId="0" applyFont="1" applyBorder="1" applyAlignment="1">
      <alignment horizontal="right" vertical="center" wrapText="1"/>
    </xf>
    <xf numFmtId="178" fontId="41" fillId="0" borderId="0" xfId="0" applyNumberFormat="1" applyFont="1" applyFill="1" applyBorder="1" applyAlignment="1">
      <alignment wrapText="1"/>
    </xf>
    <xf numFmtId="0" fontId="41" fillId="0" borderId="0" xfId="0" applyFont="1" applyFill="1" applyBorder="1" applyAlignment="1">
      <alignment wrapText="1"/>
    </xf>
    <xf numFmtId="178" fontId="41" fillId="0" borderId="0" xfId="0" applyNumberFormat="1" applyFont="1" applyBorder="1" applyAlignment="1">
      <alignment wrapText="1"/>
    </xf>
    <xf numFmtId="0" fontId="41" fillId="0" borderId="0" xfId="0" applyFont="1" applyBorder="1" applyAlignment="1">
      <alignment wrapText="1"/>
    </xf>
    <xf numFmtId="0" fontId="85" fillId="0" borderId="0" xfId="0" applyFont="1" applyBorder="1" applyAlignment="1">
      <alignment horizontal="center" vertical="center" wrapText="1"/>
    </xf>
    <xf numFmtId="0" fontId="2" fillId="0" borderId="0" xfId="0" applyFont="1" applyAlignment="1">
      <alignment wrapText="1"/>
    </xf>
    <xf numFmtId="0" fontId="0" fillId="0" borderId="0" xfId="0" applyAlignment="1">
      <alignment vertical="center"/>
    </xf>
    <xf numFmtId="0" fontId="2" fillId="0" borderId="0" xfId="0" applyFont="1" applyAlignment="1">
      <alignment vertical="top" wrapText="1"/>
    </xf>
    <xf numFmtId="0" fontId="5" fillId="0" borderId="0" xfId="0" applyFont="1" applyAlignment="1">
      <alignment horizontal="left" vertical="top" wrapText="1"/>
    </xf>
    <xf numFmtId="0" fontId="0" fillId="0" borderId="0" xfId="0" applyFont="1" applyAlignment="1">
      <alignment horizontal="left" vertical="top" wrapText="1"/>
    </xf>
    <xf numFmtId="0" fontId="37" fillId="0" borderId="18" xfId="0" applyFont="1" applyBorder="1" applyAlignment="1">
      <alignment horizontal="center" vertical="center" wrapText="1"/>
    </xf>
    <xf numFmtId="0" fontId="37" fillId="0" borderId="5" xfId="0" applyFont="1" applyBorder="1" applyAlignment="1">
      <alignment horizontal="center" vertical="center" wrapText="1"/>
    </xf>
    <xf numFmtId="2" fontId="37" fillId="0" borderId="18" xfId="0" applyNumberFormat="1" applyFont="1" applyBorder="1" applyAlignment="1">
      <alignment horizontal="center" vertical="center" wrapText="1"/>
    </xf>
    <xf numFmtId="2" fontId="37" fillId="0" borderId="5" xfId="0" applyNumberFormat="1" applyFont="1" applyBorder="1" applyAlignment="1">
      <alignment horizontal="center" vertical="center" wrapText="1"/>
    </xf>
    <xf numFmtId="0" fontId="27" fillId="21" borderId="27" xfId="0" applyFont="1" applyFill="1" applyBorder="1" applyAlignment="1">
      <alignment horizontal="center" vertical="center" wrapText="1"/>
    </xf>
    <xf numFmtId="0" fontId="27" fillId="21" borderId="28" xfId="0" applyFont="1" applyFill="1" applyBorder="1" applyAlignment="1">
      <alignment horizontal="center" vertical="center" wrapText="1"/>
    </xf>
    <xf numFmtId="0" fontId="34" fillId="21" borderId="24" xfId="0" applyFont="1" applyFill="1" applyBorder="1" applyAlignment="1">
      <alignment horizontal="center" vertical="center" wrapText="1"/>
    </xf>
    <xf numFmtId="0" fontId="34" fillId="21" borderId="25" xfId="0" applyFont="1" applyFill="1" applyBorder="1" applyAlignment="1">
      <alignment horizontal="center" vertical="center" wrapText="1"/>
    </xf>
    <xf numFmtId="0" fontId="27" fillId="20" borderId="27" xfId="0" applyFont="1" applyFill="1" applyBorder="1" applyAlignment="1">
      <alignment horizontal="center" vertical="center" wrapText="1"/>
    </xf>
    <xf numFmtId="0" fontId="27" fillId="20" borderId="28" xfId="0" applyFont="1" applyFill="1" applyBorder="1" applyAlignment="1">
      <alignment horizontal="center" vertical="center" wrapText="1"/>
    </xf>
    <xf numFmtId="0" fontId="34" fillId="20" borderId="24" xfId="0" applyFont="1" applyFill="1" applyBorder="1" applyAlignment="1">
      <alignment horizontal="center" vertical="center" wrapText="1"/>
    </xf>
    <xf numFmtId="0" fontId="34" fillId="20" borderId="25" xfId="0" applyFont="1" applyFill="1" applyBorder="1" applyAlignment="1">
      <alignment horizontal="center" vertical="center" wrapText="1"/>
    </xf>
    <xf numFmtId="4" fontId="37" fillId="0" borderId="18" xfId="0" applyNumberFormat="1" applyFont="1" applyBorder="1" applyAlignment="1">
      <alignment horizontal="center" vertical="center" wrapText="1"/>
    </xf>
    <xf numFmtId="4" fontId="37" fillId="0" borderId="5" xfId="0" applyNumberFormat="1" applyFont="1" applyBorder="1" applyAlignment="1">
      <alignment horizontal="center" vertical="center" wrapText="1"/>
    </xf>
    <xf numFmtId="0" fontId="0" fillId="0" borderId="0" xfId="0" applyFill="1" applyBorder="1" applyAlignment="1">
      <alignment vertical="center"/>
    </xf>
    <xf numFmtId="1" fontId="87" fillId="0" borderId="0" xfId="0" applyNumberFormat="1" applyFont="1" applyFill="1" applyBorder="1" applyAlignment="1">
      <alignment horizontal="right" vertical="center"/>
    </xf>
    <xf numFmtId="0" fontId="0" fillId="0" borderId="0" xfId="0" applyFill="1" applyBorder="1" applyAlignment="1">
      <alignment horizontal="right" vertical="center"/>
    </xf>
    <xf numFmtId="0" fontId="87" fillId="0" borderId="0" xfId="0" applyFont="1" applyFill="1" applyBorder="1" applyAlignment="1">
      <alignment vertical="center"/>
    </xf>
    <xf numFmtId="0" fontId="2" fillId="0" borderId="0" xfId="0" applyFont="1" applyFill="1" applyBorder="1" applyAlignment="1">
      <alignment vertical="center" wrapText="1"/>
    </xf>
    <xf numFmtId="0" fontId="4"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vertical="top" wrapText="1"/>
    </xf>
    <xf numFmtId="0" fontId="0" fillId="0" borderId="0" xfId="0" applyFill="1" applyBorder="1" applyAlignment="1"/>
    <xf numFmtId="0" fontId="2" fillId="0" borderId="0" xfId="0" applyFont="1" applyFill="1" applyBorder="1" applyAlignment="1">
      <alignment wrapText="1"/>
    </xf>
    <xf numFmtId="0" fontId="5"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Alignment="1">
      <alignment horizontal="center"/>
    </xf>
    <xf numFmtId="0" fontId="21" fillId="12" borderId="18" xfId="0" applyFont="1" applyFill="1" applyBorder="1" applyAlignment="1">
      <alignment horizontal="center" vertical="center" wrapText="1"/>
    </xf>
    <xf numFmtId="0" fontId="21" fillId="12" borderId="15" xfId="0" applyFont="1" applyFill="1" applyBorder="1" applyAlignment="1">
      <alignment horizontal="center" vertical="center" wrapText="1"/>
    </xf>
    <xf numFmtId="0" fontId="4" fillId="12" borderId="18" xfId="0" applyFont="1" applyFill="1" applyBorder="1" applyAlignment="1">
      <alignment vertical="center" wrapText="1"/>
    </xf>
    <xf numFmtId="0" fontId="4" fillId="12" borderId="15" xfId="0" applyFont="1" applyFill="1" applyBorder="1" applyAlignment="1">
      <alignment vertical="center" wrapText="1"/>
    </xf>
    <xf numFmtId="0" fontId="38" fillId="0" borderId="0" xfId="0" applyFont="1" applyFill="1" applyBorder="1" applyAlignment="1">
      <alignment horizontal="right" vertical="center" wrapText="1"/>
    </xf>
    <xf numFmtId="0" fontId="38" fillId="0" borderId="0" xfId="0" applyFont="1" applyFill="1" applyBorder="1" applyAlignment="1">
      <alignment horizontal="right" vertical="center"/>
    </xf>
    <xf numFmtId="3" fontId="38" fillId="0" borderId="0" xfId="0" applyNumberFormat="1" applyFont="1" applyFill="1" applyBorder="1" applyAlignment="1">
      <alignment horizontal="right" vertical="center" wrapText="1"/>
    </xf>
    <xf numFmtId="3" fontId="38" fillId="0" borderId="0" xfId="0" applyNumberFormat="1" applyFont="1" applyFill="1" applyBorder="1" applyAlignment="1">
      <alignment horizontal="right" vertical="center"/>
    </xf>
    <xf numFmtId="0" fontId="0" fillId="0" borderId="13" xfId="0" applyFont="1" applyBorder="1" applyAlignment="1">
      <alignment wrapText="1"/>
    </xf>
    <xf numFmtId="0" fontId="0" fillId="0" borderId="12" xfId="0" applyFont="1" applyBorder="1" applyAlignment="1">
      <alignment wrapText="1"/>
    </xf>
    <xf numFmtId="0" fontId="0" fillId="0" borderId="19" xfId="0" applyFont="1" applyBorder="1" applyAlignment="1">
      <alignment wrapText="1"/>
    </xf>
    <xf numFmtId="0" fontId="0" fillId="0" borderId="14" xfId="0" applyFont="1" applyBorder="1" applyAlignment="1">
      <alignment wrapText="1"/>
    </xf>
    <xf numFmtId="0" fontId="0" fillId="0" borderId="2" xfId="0" applyFont="1" applyBorder="1" applyAlignment="1">
      <alignment wrapText="1"/>
    </xf>
    <xf numFmtId="0" fontId="0" fillId="0" borderId="6" xfId="0" applyFont="1" applyBorder="1" applyAlignment="1">
      <alignment wrapText="1"/>
    </xf>
    <xf numFmtId="0" fontId="32" fillId="0" borderId="10" xfId="0" applyFont="1" applyBorder="1" applyAlignment="1">
      <alignment horizontal="right" vertical="center" wrapText="1"/>
    </xf>
    <xf numFmtId="0" fontId="32" fillId="0" borderId="34" xfId="0" applyFont="1" applyBorder="1" applyAlignment="1">
      <alignment horizontal="right" vertical="center" wrapText="1"/>
    </xf>
    <xf numFmtId="2" fontId="32" fillId="0" borderId="32" xfId="0" applyNumberFormat="1" applyFont="1" applyBorder="1" applyAlignment="1">
      <alignment horizontal="right" vertical="center" wrapText="1"/>
    </xf>
    <xf numFmtId="2" fontId="32" fillId="0" borderId="33" xfId="0" applyNumberFormat="1" applyFont="1" applyBorder="1" applyAlignment="1">
      <alignment horizontal="right" vertical="center" wrapText="1"/>
    </xf>
    <xf numFmtId="0" fontId="32" fillId="0" borderId="2" xfId="0" applyFont="1" applyBorder="1" applyAlignment="1">
      <alignment horizontal="right" vertical="center" wrapText="1"/>
    </xf>
    <xf numFmtId="0" fontId="32" fillId="0" borderId="16" xfId="0" applyFont="1" applyBorder="1" applyAlignment="1">
      <alignment horizontal="right" vertical="center" wrapText="1"/>
    </xf>
    <xf numFmtId="0" fontId="32" fillId="0" borderId="4" xfId="0" applyFont="1" applyBorder="1" applyAlignment="1">
      <alignment horizontal="right" vertical="center" wrapText="1"/>
    </xf>
    <xf numFmtId="2" fontId="32" fillId="0" borderId="11" xfId="0" applyNumberFormat="1" applyFont="1" applyBorder="1" applyAlignment="1">
      <alignment horizontal="right" vertical="center" wrapText="1"/>
    </xf>
    <xf numFmtId="0" fontId="32" fillId="0" borderId="9" xfId="0" applyFont="1" applyBorder="1" applyAlignment="1">
      <alignment horizontal="right" vertical="center" wrapText="1"/>
    </xf>
    <xf numFmtId="2" fontId="104" fillId="0" borderId="0" xfId="0" applyNumberFormat="1" applyFont="1" applyAlignment="1">
      <alignment wrapText="1"/>
    </xf>
    <xf numFmtId="0" fontId="0" fillId="0" borderId="13" xfId="0" applyBorder="1" applyAlignment="1">
      <alignment wrapText="1"/>
    </xf>
    <xf numFmtId="0" fontId="0" fillId="0" borderId="12" xfId="0" applyBorder="1" applyAlignment="1">
      <alignment wrapText="1"/>
    </xf>
    <xf numFmtId="0" fontId="0" fillId="0" borderId="19" xfId="0" applyBorder="1" applyAlignment="1">
      <alignment wrapText="1"/>
    </xf>
    <xf numFmtId="0" fontId="0" fillId="0" borderId="11" xfId="0" applyBorder="1" applyAlignment="1">
      <alignment wrapText="1"/>
    </xf>
    <xf numFmtId="0" fontId="0" fillId="0" borderId="0" xfId="0" applyBorder="1" applyAlignment="1">
      <alignment wrapText="1"/>
    </xf>
    <xf numFmtId="0" fontId="0" fillId="0" borderId="9" xfId="0" applyBorder="1" applyAlignment="1">
      <alignment wrapText="1"/>
    </xf>
    <xf numFmtId="0" fontId="0" fillId="0" borderId="14" xfId="0" applyBorder="1" applyAlignment="1">
      <alignment wrapText="1"/>
    </xf>
    <xf numFmtId="0" fontId="0" fillId="0" borderId="2" xfId="0" applyBorder="1" applyAlignment="1">
      <alignment wrapText="1"/>
    </xf>
    <xf numFmtId="0" fontId="0" fillId="0" borderId="6" xfId="0" applyBorder="1" applyAlignment="1">
      <alignment wrapText="1"/>
    </xf>
    <xf numFmtId="0" fontId="6" fillId="0" borderId="13" xfId="0" applyFont="1" applyBorder="1" applyAlignment="1">
      <alignment vertical="center" wrapText="1"/>
    </xf>
    <xf numFmtId="0" fontId="6" fillId="0" borderId="12" xfId="0" applyFont="1" applyBorder="1" applyAlignment="1">
      <alignment wrapText="1"/>
    </xf>
    <xf numFmtId="0" fontId="6" fillId="0" borderId="19" xfId="0" applyFont="1" applyBorder="1" applyAlignment="1">
      <alignment wrapText="1"/>
    </xf>
    <xf numFmtId="0" fontId="6" fillId="0" borderId="11" xfId="0" applyFont="1" applyBorder="1" applyAlignment="1">
      <alignment wrapText="1"/>
    </xf>
    <xf numFmtId="0" fontId="6" fillId="0" borderId="0" xfId="0" applyFont="1" applyBorder="1" applyAlignment="1">
      <alignment wrapText="1"/>
    </xf>
    <xf numFmtId="0" fontId="6" fillId="0" borderId="9" xfId="0" applyFont="1" applyBorder="1" applyAlignment="1">
      <alignment wrapText="1"/>
    </xf>
    <xf numFmtId="0" fontId="6" fillId="0" borderId="14" xfId="0" applyFont="1" applyBorder="1" applyAlignment="1">
      <alignment wrapText="1"/>
    </xf>
    <xf numFmtId="0" fontId="6" fillId="0" borderId="2" xfId="0" applyFont="1" applyBorder="1" applyAlignment="1">
      <alignment wrapText="1"/>
    </xf>
    <xf numFmtId="0" fontId="6" fillId="0" borderId="6" xfId="0" applyFont="1" applyBorder="1" applyAlignment="1">
      <alignment wrapText="1"/>
    </xf>
  </cellXfs>
  <cellStyles count="1968">
    <cellStyle name="%" xfId="4"/>
    <cellStyle name="% 10" xfId="42"/>
    <cellStyle name="% 10 2 3" xfId="5"/>
    <cellStyle name="% 2" xfId="43"/>
    <cellStyle name="% 2 2" xfId="44"/>
    <cellStyle name="% 2 2 2" xfId="45"/>
    <cellStyle name="% 3" xfId="46"/>
    <cellStyle name="% 4" xfId="47"/>
    <cellStyle name="% 4 2" xfId="48"/>
    <cellStyle name="% 4 3" xfId="49"/>
    <cellStyle name="% 4 4" xfId="50"/>
    <cellStyle name="% 4 5" xfId="51"/>
    <cellStyle name="% 4 6" xfId="52"/>
    <cellStyle name="% 4 7" xfId="53"/>
    <cellStyle name="% 4 8" xfId="54"/>
    <cellStyle name="% 5" xfId="41"/>
    <cellStyle name="%_3.3 Tax" xfId="55"/>
    <cellStyle name="%_3.3 Tax 2" xfId="56"/>
    <cellStyle name="%_BP10+ GTO Capex Split CN" xfId="57"/>
    <cellStyle name="%_GTO Non Operational Capex Roll-over submission (FINAL with property)" xfId="58"/>
    <cellStyle name="%_NGG TPCR4 MG Workings" xfId="59"/>
    <cellStyle name="%_Opex Input" xfId="60"/>
    <cellStyle name="%_Transmission PCRRP tables_SPTL_200809 V1" xfId="61"/>
    <cellStyle name="%_VR NGET Opex tables" xfId="62"/>
    <cellStyle name="%_VR Pensions Opex tables" xfId="63"/>
    <cellStyle name="_070323 - 5yr opex BPQ (Final)" xfId="64"/>
    <cellStyle name="_0708 GSO Capex RRP (detail)" xfId="65"/>
    <cellStyle name="_0708 GSO Capex RRP (detail) 2" xfId="66"/>
    <cellStyle name="_0708 GSO Capex RRP (detail) 2 2" xfId="67"/>
    <cellStyle name="_0708 GSO Capex RRP (detail) 2 3" xfId="68"/>
    <cellStyle name="_0708 GSO Capex RRP (detail) 2 4" xfId="69"/>
    <cellStyle name="_0708 GSO Capex RRP (detail) 2 5" xfId="70"/>
    <cellStyle name="_0708 GSO Capex RRP (detail) 2 6" xfId="71"/>
    <cellStyle name="_0708 GSO Capex RRP (detail) 2 7" xfId="72"/>
    <cellStyle name="_0708 GSO Capex RRP (detail) 2 8" xfId="73"/>
    <cellStyle name="_0708 GSO Capex RRP (detail)_Opex Input" xfId="74"/>
    <cellStyle name="_0708 TO Non-Op Capex (detail)" xfId="75"/>
    <cellStyle name="_Book4" xfId="76"/>
    <cellStyle name="_Book4 2" xfId="77"/>
    <cellStyle name="_Book4 2 2" xfId="78"/>
    <cellStyle name="_Book4 2 3" xfId="79"/>
    <cellStyle name="_Book4 2 4" xfId="80"/>
    <cellStyle name="_Book4 2 5" xfId="81"/>
    <cellStyle name="_Book4 2 6" xfId="82"/>
    <cellStyle name="_Book4 2 7" xfId="83"/>
    <cellStyle name="_Book4 2 8" xfId="84"/>
    <cellStyle name="_BP10+ GTO Capex Split CN" xfId="85"/>
    <cellStyle name="_BP10+post TIC 1 Jun" xfId="86"/>
    <cellStyle name="_BP10+post TIC 1 Jun 2" xfId="87"/>
    <cellStyle name="_BP10+post TIC 1 Jun 2 2" xfId="88"/>
    <cellStyle name="_BP10+post TIC 1 Jun 2 3" xfId="89"/>
    <cellStyle name="_BP10+post TIC 1 Jun 2 4" xfId="90"/>
    <cellStyle name="_BP10+post TIC 1 Jun 2 5" xfId="91"/>
    <cellStyle name="_BP10+post TIC 1 Jun 2 6" xfId="92"/>
    <cellStyle name="_BP10+post TIC 1 Jun 2 7" xfId="93"/>
    <cellStyle name="_BP10+post TIC 1 Jun 2 8" xfId="94"/>
    <cellStyle name="_Capital Plan - IS UK" xfId="95"/>
    <cellStyle name="_Capital Plan - IS UK_0910 GSO Capex RRP - Final (Detail) v2 220710" xfId="96"/>
    <cellStyle name="_Capital Plan - IS UK_0910 GSO Capex RRP - Final (Detail) v2 220710 2" xfId="97"/>
    <cellStyle name="_Capital Plan - IS UK_0910 GSO Capex RRP - Final (Detail) v2 220710 2 2" xfId="98"/>
    <cellStyle name="_Capital Plan - IS UK_0910 GSO Capex RRP - Final (Detail) v2 220710 2 3" xfId="99"/>
    <cellStyle name="_Capital Plan - IS UK_0910 GSO Capex RRP - Final (Detail) v2 220710 2 4" xfId="100"/>
    <cellStyle name="_Capital Plan - IS UK_0910 GSO Capex RRP - Final (Detail) v2 220710 2 5" xfId="101"/>
    <cellStyle name="_Capital Plan - IS UK_0910 GSO Capex RRP - Final (Detail) v2 220710 2 6" xfId="102"/>
    <cellStyle name="_Capital Plan - IS UK_0910 GSO Capex RRP - Final (Detail) v2 220710 2 7" xfId="103"/>
    <cellStyle name="_Capital Plan - IS UK_0910 GSO Capex RRP - Final (Detail) v2 220710 2 8" xfId="104"/>
    <cellStyle name="_Capital Plan - IS UK_0910 GSO Capex RRP - Final (Detail) v2 220710_Opex Input" xfId="105"/>
    <cellStyle name="_Gas TO major Projects Forecast Jun-10" xfId="106"/>
    <cellStyle name="_Gas TO major Projects Forecast Jun-10 2" xfId="107"/>
    <cellStyle name="_Gas TO major Projects Forecast Jun-10 2 2" xfId="108"/>
    <cellStyle name="_Gas TO major Projects Forecast Jun-10 2 3" xfId="109"/>
    <cellStyle name="_Gas TO major Projects Forecast Jun-10 2 4" xfId="110"/>
    <cellStyle name="_Gas TO major Projects Forecast Jun-10 2 5" xfId="111"/>
    <cellStyle name="_Gas TO major Projects Forecast Jun-10 2 6" xfId="112"/>
    <cellStyle name="_Gas TO major Projects Forecast Jun-10 2 7" xfId="113"/>
    <cellStyle name="_Gas TO major Projects Forecast Jun-10 2 8" xfId="114"/>
    <cellStyle name="_Gas TO major Projects Forecast May-10 BP10+ v5" xfId="115"/>
    <cellStyle name="_Gas TO major Projects Forecast May-10 BP10+ v5 2" xfId="116"/>
    <cellStyle name="_Gas TO major Projects Forecast May-10 BP10+ v5 2 2" xfId="117"/>
    <cellStyle name="_Gas TO major Projects Forecast May-10 BP10+ v5 2 3" xfId="118"/>
    <cellStyle name="_Gas TO major Projects Forecast May-10 BP10+ v5 2 4" xfId="119"/>
    <cellStyle name="_Gas TO major Projects Forecast May-10 BP10+ v5 2 5" xfId="120"/>
    <cellStyle name="_Gas TO major Projects Forecast May-10 BP10+ v5 2 6" xfId="121"/>
    <cellStyle name="_Gas TO major Projects Forecast May-10 BP10+ v5 2 7" xfId="122"/>
    <cellStyle name="_Gas TO major Projects Forecast May-10 BP10+ v5 2 8" xfId="123"/>
    <cellStyle name="_GTO Non Operational Capex Roll-over submission (FINAL with property)" xfId="124"/>
    <cellStyle name="_Test scoring_UKGDx_20070924_Pilot (DV)" xfId="125"/>
    <cellStyle name="=C:\WINNT\SYSTEM32\COMMAND.COM" xfId="35"/>
    <cellStyle name="=C:\WINNT\SYSTEM32\COMMAND.COM 10" xfId="33"/>
    <cellStyle name="=C:\WINNT\SYSTEM32\COMMAND.COM 11" xfId="126"/>
    <cellStyle name="=C:\WINNT\SYSTEM32\COMMAND.COM 12" xfId="127"/>
    <cellStyle name="=C:\WINNT\SYSTEM32\COMMAND.COM 13" xfId="128"/>
    <cellStyle name="=C:\WINNT\SYSTEM32\COMMAND.COM 14" xfId="129"/>
    <cellStyle name="=C:\WINNT\SYSTEM32\COMMAND.COM 15" xfId="130"/>
    <cellStyle name="=C:\WINNT\SYSTEM32\COMMAND.COM 16" xfId="131"/>
    <cellStyle name="=C:\WINNT\SYSTEM32\COMMAND.COM 17" xfId="132"/>
    <cellStyle name="=C:\WINNT\SYSTEM32\COMMAND.COM 18" xfId="133"/>
    <cellStyle name="=C:\WINNT\SYSTEM32\COMMAND.COM 19" xfId="134"/>
    <cellStyle name="=C:\WINNT\SYSTEM32\COMMAND.COM 2" xfId="31"/>
    <cellStyle name="=C:\WINNT\SYSTEM32\COMMAND.COM 2 2" xfId="7"/>
    <cellStyle name="=C:\WINNT\SYSTEM32\COMMAND.COM 2 2 10" xfId="1606"/>
    <cellStyle name="=C:\WINNT\SYSTEM32\COMMAND.COM 2 2 2" xfId="136"/>
    <cellStyle name="=C:\WINNT\SYSTEM32\COMMAND.COM 2 2 2 2" xfId="137"/>
    <cellStyle name="=C:\WINNT\SYSTEM32\COMMAND.COM 2 2 2 3" xfId="138"/>
    <cellStyle name="=C:\WINNT\SYSTEM32\COMMAND.COM 2 2 2_Opex Input" xfId="139"/>
    <cellStyle name="=C:\WINNT\SYSTEM32\COMMAND.COM 2 2 3" xfId="140"/>
    <cellStyle name="=C:\WINNT\SYSTEM32\COMMAND.COM 2 2 4" xfId="135"/>
    <cellStyle name="=C:\WINNT\SYSTEM32\COMMAND.COM 2 2 5" xfId="1352"/>
    <cellStyle name="=C:\WINNT\SYSTEM32\COMMAND.COM 2 2 6" xfId="1537"/>
    <cellStyle name="=C:\WINNT\SYSTEM32\COMMAND.COM 2 2 7" xfId="1351"/>
    <cellStyle name="=C:\WINNT\SYSTEM32\COMMAND.COM 2 2 8" xfId="1438"/>
    <cellStyle name="=C:\WINNT\SYSTEM32\COMMAND.COM 2 2 9" xfId="1327"/>
    <cellStyle name="=C:\WINNT\SYSTEM32\COMMAND.COM 2 2_Opex Input" xfId="141"/>
    <cellStyle name="=C:\WINNT\SYSTEM32\COMMAND.COM 2 3" xfId="142"/>
    <cellStyle name="=C:\WINNT\SYSTEM32\COMMAND.COM 2_Opex Input" xfId="143"/>
    <cellStyle name="=C:\WINNT\SYSTEM32\COMMAND.COM 20" xfId="144"/>
    <cellStyle name="=C:\WINNT\SYSTEM32\COMMAND.COM 21" xfId="145"/>
    <cellStyle name="=C:\WINNT\SYSTEM32\COMMAND.COM 22" xfId="146"/>
    <cellStyle name="=C:\WINNT\SYSTEM32\COMMAND.COM 23" xfId="147"/>
    <cellStyle name="=C:\WINNT\SYSTEM32\COMMAND.COM 23 2" xfId="148"/>
    <cellStyle name="=C:\WINNT\SYSTEM32\COMMAND.COM 24" xfId="149"/>
    <cellStyle name="=C:\WINNT\SYSTEM32\COMMAND.COM 25" xfId="150"/>
    <cellStyle name="=C:\WINNT\SYSTEM32\COMMAND.COM 25 2" xfId="151"/>
    <cellStyle name="=C:\WINNT\SYSTEM32\COMMAND.COM 25 3" xfId="152"/>
    <cellStyle name="=C:\WINNT\SYSTEM32\COMMAND.COM 26" xfId="153"/>
    <cellStyle name="=C:\WINNT\SYSTEM32\COMMAND.COM 27" xfId="154"/>
    <cellStyle name="=C:\WINNT\SYSTEM32\COMMAND.COM 28" xfId="155"/>
    <cellStyle name="=C:\WINNT\SYSTEM32\COMMAND.COM 29" xfId="156"/>
    <cellStyle name="=C:\WINNT\SYSTEM32\COMMAND.COM 3" xfId="32"/>
    <cellStyle name="=C:\WINNT\SYSTEM32\COMMAND.COM 30" xfId="157"/>
    <cellStyle name="=C:\WINNT\SYSTEM32\COMMAND.COM 31" xfId="158"/>
    <cellStyle name="=C:\WINNT\SYSTEM32\COMMAND.COM 32" xfId="159"/>
    <cellStyle name="=C:\WINNT\SYSTEM32\COMMAND.COM 33" xfId="160"/>
    <cellStyle name="=C:\WINNT\SYSTEM32\COMMAND.COM 4" xfId="161"/>
    <cellStyle name="=C:\WINNT\SYSTEM32\COMMAND.COM 4 2" xfId="162"/>
    <cellStyle name="=C:\WINNT\SYSTEM32\COMMAND.COM 4 3" xfId="163"/>
    <cellStyle name="=C:\WINNT\SYSTEM32\COMMAND.COM 4_Opex Input" xfId="164"/>
    <cellStyle name="=C:\WINNT\SYSTEM32\COMMAND.COM 5" xfId="165"/>
    <cellStyle name="=C:\WINNT\SYSTEM32\COMMAND.COM 6" xfId="166"/>
    <cellStyle name="=C:\WINNT\SYSTEM32\COMMAND.COM 7" xfId="167"/>
    <cellStyle name="=C:\WINNT\SYSTEM32\COMMAND.COM 8" xfId="168"/>
    <cellStyle name="=C:\WINNT\SYSTEM32\COMMAND.COM 9" xfId="169"/>
    <cellStyle name="=C:\WINNT\SYSTEM32\COMMAND.COM_Model_run_060901" xfId="170"/>
    <cellStyle name="=C:\WINNT35\SYSTEM32\COMMAND.COM" xfId="171"/>
    <cellStyle name="20% - Accent1 2" xfId="172"/>
    <cellStyle name="20% - Accent1 3" xfId="173"/>
    <cellStyle name="20% - Accent2 2" xfId="174"/>
    <cellStyle name="20% - Accent2 3" xfId="175"/>
    <cellStyle name="20% - Accent3 2" xfId="176"/>
    <cellStyle name="20% - Accent3 3" xfId="177"/>
    <cellStyle name="20% - Accent4 2" xfId="178"/>
    <cellStyle name="20% - Accent4 3" xfId="179"/>
    <cellStyle name="20% - Accent5 2" xfId="180"/>
    <cellStyle name="20% - Accent5 3" xfId="181"/>
    <cellStyle name="20% - Accent6 2" xfId="182"/>
    <cellStyle name="20% - Accent6 3" xfId="183"/>
    <cellStyle name="40% - Accent1 2" xfId="184"/>
    <cellStyle name="40% - Accent1 3" xfId="185"/>
    <cellStyle name="40% - Accent2 2" xfId="186"/>
    <cellStyle name="40% - Accent2 3" xfId="187"/>
    <cellStyle name="40% - Accent3 2" xfId="188"/>
    <cellStyle name="40% - Accent3 3" xfId="189"/>
    <cellStyle name="40% - Accent4 2" xfId="190"/>
    <cellStyle name="40% - Accent4 3" xfId="191"/>
    <cellStyle name="40% - Accent5 2" xfId="192"/>
    <cellStyle name="40% - Accent5 3" xfId="193"/>
    <cellStyle name="40% - Accent6 2" xfId="194"/>
    <cellStyle name="40% - Accent6 3" xfId="195"/>
    <cellStyle name="60% - Accent1 2" xfId="196"/>
    <cellStyle name="60% - Accent1 3" xfId="197"/>
    <cellStyle name="60% - Accent2 2" xfId="198"/>
    <cellStyle name="60% - Accent2 3" xfId="199"/>
    <cellStyle name="60% - Accent3 2" xfId="200"/>
    <cellStyle name="60% - Accent3 3" xfId="201"/>
    <cellStyle name="60% - Accent4 2" xfId="202"/>
    <cellStyle name="60% - Accent4 3" xfId="203"/>
    <cellStyle name="60% - Accent5 2" xfId="204"/>
    <cellStyle name="60% - Accent5 3" xfId="205"/>
    <cellStyle name="60% - Accent6 2" xfId="206"/>
    <cellStyle name="60% - Accent6 3" xfId="207"/>
    <cellStyle name="Accent1 - 20%" xfId="208"/>
    <cellStyle name="Accent1 - 40%" xfId="209"/>
    <cellStyle name="Accent1 - 60%" xfId="210"/>
    <cellStyle name="Accent1 2" xfId="211"/>
    <cellStyle name="Accent1 3" xfId="212"/>
    <cellStyle name="Accent2 - 20%" xfId="213"/>
    <cellStyle name="Accent2 - 40%" xfId="214"/>
    <cellStyle name="Accent2 - 60%" xfId="215"/>
    <cellStyle name="Accent2 2" xfId="216"/>
    <cellStyle name="Accent2 3" xfId="217"/>
    <cellStyle name="Accent3 - 20%" xfId="218"/>
    <cellStyle name="Accent3 - 40%" xfId="219"/>
    <cellStyle name="Accent3 - 60%" xfId="220"/>
    <cellStyle name="Accent3 2" xfId="221"/>
    <cellStyle name="Accent3 3" xfId="222"/>
    <cellStyle name="Accent4 - 20%" xfId="223"/>
    <cellStyle name="Accent4 - 40%" xfId="224"/>
    <cellStyle name="Accent4 - 60%" xfId="225"/>
    <cellStyle name="Accent4 2" xfId="226"/>
    <cellStyle name="Accent4 3" xfId="227"/>
    <cellStyle name="Accent5 - 20%" xfId="228"/>
    <cellStyle name="Accent5 - 40%" xfId="229"/>
    <cellStyle name="Accent5 - 60%" xfId="230"/>
    <cellStyle name="Accent5 2" xfId="231"/>
    <cellStyle name="Accent5 3" xfId="232"/>
    <cellStyle name="Accent6 - 20%" xfId="233"/>
    <cellStyle name="Accent6 - 40%" xfId="234"/>
    <cellStyle name="Accent6 - 60%" xfId="235"/>
    <cellStyle name="Accent6 2" xfId="236"/>
    <cellStyle name="Accent6 3" xfId="237"/>
    <cellStyle name="Bad 2" xfId="238"/>
    <cellStyle name="Bad 3" xfId="239"/>
    <cellStyle name="Calculation 2" xfId="240"/>
    <cellStyle name="Calculation 2 2" xfId="1358"/>
    <cellStyle name="Calculation 2 3" xfId="1356"/>
    <cellStyle name="Calculation 2 4" xfId="1353"/>
    <cellStyle name="Calculation 2 5" xfId="1374"/>
    <cellStyle name="Calculation 2 6" xfId="1648"/>
    <cellStyle name="Calculation 2 7" xfId="1582"/>
    <cellStyle name="Calculation 2 8" xfId="1937"/>
    <cellStyle name="Calculation 2 9" xfId="1930"/>
    <cellStyle name="Calculation 3" xfId="241"/>
    <cellStyle name="Calculation 3 2" xfId="1359"/>
    <cellStyle name="Calculation 3 3" xfId="1357"/>
    <cellStyle name="Calculation 3 4" xfId="1354"/>
    <cellStyle name="Calculation 3 5" xfId="1373"/>
    <cellStyle name="Calculation 3 6" xfId="1355"/>
    <cellStyle name="Calculation 3 7" xfId="1372"/>
    <cellStyle name="Calculation 3 8" xfId="1936"/>
    <cellStyle name="Calculation 3 9" xfId="1931"/>
    <cellStyle name="Check Cell 2" xfId="242"/>
    <cellStyle name="Check Cell 3" xfId="243"/>
    <cellStyle name="column Head Underlined" xfId="244"/>
    <cellStyle name="Column Heading" xfId="245"/>
    <cellStyle name="Comma" xfId="11" builtinId="3"/>
    <cellStyle name="Comma [1]" xfId="246"/>
    <cellStyle name="Comma [1] 2" xfId="247"/>
    <cellStyle name="Comma [1] 2 2" xfId="248"/>
    <cellStyle name="Comma [1] 2 3" xfId="249"/>
    <cellStyle name="Comma [1] 2 4" xfId="250"/>
    <cellStyle name="Comma [1] 2 5" xfId="251"/>
    <cellStyle name="Comma [1] 2 6" xfId="252"/>
    <cellStyle name="Comma [1] 2 7" xfId="253"/>
    <cellStyle name="Comma [1] 2 8" xfId="254"/>
    <cellStyle name="Comma 10" xfId="255"/>
    <cellStyle name="Comma 11" xfId="26"/>
    <cellStyle name="Comma 12" xfId="256"/>
    <cellStyle name="Comma 13" xfId="257"/>
    <cellStyle name="Comma 2" xfId="258"/>
    <cellStyle name="Comma 2 10" xfId="259"/>
    <cellStyle name="Comma 2 11" xfId="260"/>
    <cellStyle name="Comma 2 12" xfId="261"/>
    <cellStyle name="Comma 2 13" xfId="262"/>
    <cellStyle name="Comma 2 14" xfId="263"/>
    <cellStyle name="Comma 2 15" xfId="264"/>
    <cellStyle name="Comma 2 16" xfId="265"/>
    <cellStyle name="Comma 2 17" xfId="266"/>
    <cellStyle name="Comma 2 18" xfId="267"/>
    <cellStyle name="Comma 2 19" xfId="268"/>
    <cellStyle name="Comma 2 2" xfId="269"/>
    <cellStyle name="Comma 2 2 10" xfId="270"/>
    <cellStyle name="Comma 2 2 11" xfId="271"/>
    <cellStyle name="Comma 2 2 12" xfId="272"/>
    <cellStyle name="Comma 2 2 13" xfId="273"/>
    <cellStyle name="Comma 2 2 14" xfId="274"/>
    <cellStyle name="Comma 2 2 15" xfId="275"/>
    <cellStyle name="Comma 2 2 16" xfId="276"/>
    <cellStyle name="Comma 2 2 17" xfId="277"/>
    <cellStyle name="Comma 2 2 18" xfId="278"/>
    <cellStyle name="Comma 2 2 19" xfId="279"/>
    <cellStyle name="Comma 2 2 2" xfId="280"/>
    <cellStyle name="Comma 2 2 2 10" xfId="281"/>
    <cellStyle name="Comma 2 2 2 11" xfId="282"/>
    <cellStyle name="Comma 2 2 2 12" xfId="283"/>
    <cellStyle name="Comma 2 2 2 13" xfId="284"/>
    <cellStyle name="Comma 2 2 2 14" xfId="285"/>
    <cellStyle name="Comma 2 2 2 15" xfId="286"/>
    <cellStyle name="Comma 2 2 2 16" xfId="287"/>
    <cellStyle name="Comma 2 2 2 17" xfId="288"/>
    <cellStyle name="Comma 2 2 2 18" xfId="289"/>
    <cellStyle name="Comma 2 2 2 2" xfId="290"/>
    <cellStyle name="Comma 2 2 2 2 2" xfId="291"/>
    <cellStyle name="Comma 2 2 2 2 2 2" xfId="292"/>
    <cellStyle name="Comma 2 2 2 2 2 3" xfId="293"/>
    <cellStyle name="Comma 2 2 2 2 2 4" xfId="294"/>
    <cellStyle name="Comma 2 2 2 2 2 5" xfId="295"/>
    <cellStyle name="Comma 2 2 2 2 2 6" xfId="296"/>
    <cellStyle name="Comma 2 2 2 2 2 7" xfId="297"/>
    <cellStyle name="Comma 2 2 2 2 3" xfId="298"/>
    <cellStyle name="Comma 2 2 2 2 4" xfId="299"/>
    <cellStyle name="Comma 2 2 2 2 5" xfId="300"/>
    <cellStyle name="Comma 2 2 2 2 6" xfId="301"/>
    <cellStyle name="Comma 2 2 2 2 7" xfId="302"/>
    <cellStyle name="Comma 2 2 2 2 8" xfId="303"/>
    <cellStyle name="Comma 2 2 2 3" xfId="304"/>
    <cellStyle name="Comma 2 2 2 4" xfId="305"/>
    <cellStyle name="Comma 2 2 2 5" xfId="306"/>
    <cellStyle name="Comma 2 2 2 5 2" xfId="307"/>
    <cellStyle name="Comma 2 2 2 5 3" xfId="308"/>
    <cellStyle name="Comma 2 2 2 5 4" xfId="309"/>
    <cellStyle name="Comma 2 2 2 5 5" xfId="310"/>
    <cellStyle name="Comma 2 2 2 5 6" xfId="311"/>
    <cellStyle name="Comma 2 2 2 5 7" xfId="312"/>
    <cellStyle name="Comma 2 2 2 6" xfId="313"/>
    <cellStyle name="Comma 2 2 2 7" xfId="314"/>
    <cellStyle name="Comma 2 2 2 8" xfId="315"/>
    <cellStyle name="Comma 2 2 2 9" xfId="316"/>
    <cellStyle name="Comma 2 2 3" xfId="317"/>
    <cellStyle name="Comma 2 2 4" xfId="318"/>
    <cellStyle name="Comma 2 2 4 2" xfId="319"/>
    <cellStyle name="Comma 2 2 4 2 2" xfId="320"/>
    <cellStyle name="Comma 2 2 4 2 3" xfId="321"/>
    <cellStyle name="Comma 2 2 4 2 4" xfId="322"/>
    <cellStyle name="Comma 2 2 4 2 5" xfId="323"/>
    <cellStyle name="Comma 2 2 4 2 6" xfId="324"/>
    <cellStyle name="Comma 2 2 4 2 7" xfId="325"/>
    <cellStyle name="Comma 2 2 4 3" xfId="326"/>
    <cellStyle name="Comma 2 2 4 4" xfId="327"/>
    <cellStyle name="Comma 2 2 4 5" xfId="328"/>
    <cellStyle name="Comma 2 2 4 6" xfId="329"/>
    <cellStyle name="Comma 2 2 4 7" xfId="330"/>
    <cellStyle name="Comma 2 2 4 8" xfId="331"/>
    <cellStyle name="Comma 2 2 5" xfId="332"/>
    <cellStyle name="Comma 2 2 6" xfId="333"/>
    <cellStyle name="Comma 2 2 6 2" xfId="334"/>
    <cellStyle name="Comma 2 2 6 3" xfId="335"/>
    <cellStyle name="Comma 2 2 6 4" xfId="336"/>
    <cellStyle name="Comma 2 2 6 5" xfId="337"/>
    <cellStyle name="Comma 2 2 6 6" xfId="338"/>
    <cellStyle name="Comma 2 2 6 7" xfId="339"/>
    <cellStyle name="Comma 2 2 7" xfId="340"/>
    <cellStyle name="Comma 2 2 8" xfId="341"/>
    <cellStyle name="Comma 2 2 9" xfId="342"/>
    <cellStyle name="Comma 2 2_Opex Input" xfId="343"/>
    <cellStyle name="Comma 2 20" xfId="344"/>
    <cellStyle name="Comma 2 3" xfId="345"/>
    <cellStyle name="Comma 2 3 2" xfId="346"/>
    <cellStyle name="Comma 2 3 2 2" xfId="347"/>
    <cellStyle name="Comma 2 3 3" xfId="348"/>
    <cellStyle name="Comma 2 4" xfId="349"/>
    <cellStyle name="Comma 2 5" xfId="350"/>
    <cellStyle name="Comma 2 6" xfId="351"/>
    <cellStyle name="Comma 2 7" xfId="352"/>
    <cellStyle name="Comma 2 8" xfId="353"/>
    <cellStyle name="Comma 2 9" xfId="354"/>
    <cellStyle name="Comma 3" xfId="355"/>
    <cellStyle name="Comma 3 2" xfId="356"/>
    <cellStyle name="Comma 3 2 2" xfId="357"/>
    <cellStyle name="Comma 3 2 3" xfId="358"/>
    <cellStyle name="Comma 3 3" xfId="359"/>
    <cellStyle name="Comma 3_Asset Health Themes (2)" xfId="360"/>
    <cellStyle name="Comma 4" xfId="361"/>
    <cellStyle name="Comma 5" xfId="362"/>
    <cellStyle name="Comma 6" xfId="29"/>
    <cellStyle name="Comma 7" xfId="363"/>
    <cellStyle name="Comma 8" xfId="364"/>
    <cellStyle name="Comma 8 2" xfId="365"/>
    <cellStyle name="Comma 8 3" xfId="366"/>
    <cellStyle name="Comma 9" xfId="367"/>
    <cellStyle name="Comment" xfId="22"/>
    <cellStyle name="Date" xfId="368"/>
    <cellStyle name="Date 2" xfId="369"/>
    <cellStyle name="Date_0910 GSO Capex RRP - Final (Detail) v2 220710" xfId="370"/>
    <cellStyle name="Dezimal [0]_Compiling Utility Macros" xfId="371"/>
    <cellStyle name="Dezimal_Compiling Utility Macros" xfId="372"/>
    <cellStyle name="Emphasis 1" xfId="373"/>
    <cellStyle name="Emphasis 2" xfId="374"/>
    <cellStyle name="Emphasis 3" xfId="375"/>
    <cellStyle name="Euro" xfId="376"/>
    <cellStyle name="Explanatory Text 2" xfId="377"/>
    <cellStyle name="Explanatory Text 3" xfId="378"/>
    <cellStyle name="Good 2" xfId="379"/>
    <cellStyle name="Good 3" xfId="380"/>
    <cellStyle name="GreyOrWhite" xfId="381"/>
    <cellStyle name="GreyOrWhite 2" xfId="382"/>
    <cellStyle name="GreyOrWhite 2 2" xfId="383"/>
    <cellStyle name="GreyOrWhite 2 3" xfId="384"/>
    <cellStyle name="GreyOrWhite 2 4" xfId="385"/>
    <cellStyle name="GreyOrWhite 2 5" xfId="386"/>
    <cellStyle name="GreyOrWhite 2 6" xfId="387"/>
    <cellStyle name="GreyOrWhite 2 7" xfId="388"/>
    <cellStyle name="GreyOrWhite 2 8" xfId="389"/>
    <cellStyle name="Heading 1 2" xfId="390"/>
    <cellStyle name="Heading 1 3" xfId="391"/>
    <cellStyle name="Heading 2 2" xfId="392"/>
    <cellStyle name="Heading 2 3" xfId="393"/>
    <cellStyle name="Heading 3 2" xfId="394"/>
    <cellStyle name="Heading 3 3" xfId="395"/>
    <cellStyle name="Heading 4 2" xfId="396"/>
    <cellStyle name="Heading 4 3" xfId="397"/>
    <cellStyle name="Hyperlink" xfId="9" builtinId="8"/>
    <cellStyle name="Hyperlink 2" xfId="36"/>
    <cellStyle name="Hyperlink 6" xfId="14"/>
    <cellStyle name="Hyperlink 6 3" xfId="1350"/>
    <cellStyle name="Input 2" xfId="398"/>
    <cellStyle name="Input 2 2" xfId="1366"/>
    <cellStyle name="Input 2 3" xfId="1364"/>
    <cellStyle name="Input 2 4" xfId="1360"/>
    <cellStyle name="Input 2 5" xfId="1371"/>
    <cellStyle name="Input 2 6" xfId="1362"/>
    <cellStyle name="Input 2 7" xfId="1369"/>
    <cellStyle name="Input 2 8" xfId="1935"/>
    <cellStyle name="Input 2 9" xfId="1932"/>
    <cellStyle name="Input 3" xfId="399"/>
    <cellStyle name="Input 3 2" xfId="1367"/>
    <cellStyle name="Input 3 3" xfId="1365"/>
    <cellStyle name="Input 3 4" xfId="1361"/>
    <cellStyle name="Input 3 5" xfId="1370"/>
    <cellStyle name="Input 3 6" xfId="1363"/>
    <cellStyle name="Input 3 7" xfId="1368"/>
    <cellStyle name="Input 3 8" xfId="1934"/>
    <cellStyle name="Input 3 9" xfId="1933"/>
    <cellStyle name="InputData" xfId="400"/>
    <cellStyle name="Level 1" xfId="19"/>
    <cellStyle name="Level 2" xfId="20"/>
    <cellStyle name="Level 3" xfId="21"/>
    <cellStyle name="Level 4" xfId="18"/>
    <cellStyle name="Linked Cell 2" xfId="401"/>
    <cellStyle name="Linked Cell 3" xfId="402"/>
    <cellStyle name="Main Heading" xfId="403"/>
    <cellStyle name="Neutral 2" xfId="404"/>
    <cellStyle name="Neutral 3" xfId="405"/>
    <cellStyle name="Normal" xfId="0" builtinId="0"/>
    <cellStyle name="Normal 10" xfId="406"/>
    <cellStyle name="Normal 11" xfId="407"/>
    <cellStyle name="Normal 11 2" xfId="16"/>
    <cellStyle name="Normal 11 2 2" xfId="408"/>
    <cellStyle name="Normal 11 2 25" xfId="1349"/>
    <cellStyle name="Normal 12" xfId="409"/>
    <cellStyle name="Normal 12 2" xfId="410"/>
    <cellStyle name="Normal 13" xfId="411"/>
    <cellStyle name="Normal 13 2" xfId="30"/>
    <cellStyle name="Normal 13 2 10" xfId="1321"/>
    <cellStyle name="Normal 13 2 2 2" xfId="8"/>
    <cellStyle name="Normal 14" xfId="27"/>
    <cellStyle name="Normal 14 2 10" xfId="1322"/>
    <cellStyle name="Normal 14 2_List of table gaps" xfId="3"/>
    <cellStyle name="Normal 15" xfId="25"/>
    <cellStyle name="Normal 16" xfId="412"/>
    <cellStyle name="Normal 17" xfId="413"/>
    <cellStyle name="Normal 18" xfId="414"/>
    <cellStyle name="Normal 19" xfId="415"/>
    <cellStyle name="Normal 2" xfId="416"/>
    <cellStyle name="Normal 2 10" xfId="417"/>
    <cellStyle name="Normal 2 11" xfId="418"/>
    <cellStyle name="Normal 2 12" xfId="419"/>
    <cellStyle name="Normal 2 13" xfId="420"/>
    <cellStyle name="Normal 2 14" xfId="421"/>
    <cellStyle name="Normal 2 15" xfId="422"/>
    <cellStyle name="Normal 2 16" xfId="423"/>
    <cellStyle name="Normal 2 17" xfId="424"/>
    <cellStyle name="Normal 2 18" xfId="425"/>
    <cellStyle name="Normal 2 19" xfId="426"/>
    <cellStyle name="Normal 2 2" xfId="427"/>
    <cellStyle name="Normal 2 2 10" xfId="428"/>
    <cellStyle name="Normal 2 2 11" xfId="429"/>
    <cellStyle name="Normal 2 2 11 2" xfId="430"/>
    <cellStyle name="Normal 2 2 11 2 2" xfId="431"/>
    <cellStyle name="Normal 2 2 11 2 3" xfId="432"/>
    <cellStyle name="Normal 2 2 11 2 4" xfId="433"/>
    <cellStyle name="Normal 2 2 11 2 5" xfId="434"/>
    <cellStyle name="Normal 2 2 11 2 6" xfId="435"/>
    <cellStyle name="Normal 2 2 11 2 7" xfId="436"/>
    <cellStyle name="Normal 2 2 11 3" xfId="437"/>
    <cellStyle name="Normal 2 2 11 4" xfId="438"/>
    <cellStyle name="Normal 2 2 11 5" xfId="439"/>
    <cellStyle name="Normal 2 2 11 6" xfId="440"/>
    <cellStyle name="Normal 2 2 11 7" xfId="441"/>
    <cellStyle name="Normal 2 2 11 8" xfId="442"/>
    <cellStyle name="Normal 2 2 12" xfId="443"/>
    <cellStyle name="Normal 2 2 13" xfId="444"/>
    <cellStyle name="Normal 2 2 13 2" xfId="445"/>
    <cellStyle name="Normal 2 2 13 3" xfId="446"/>
    <cellStyle name="Normal 2 2 13 4" xfId="447"/>
    <cellStyle name="Normal 2 2 13 5" xfId="448"/>
    <cellStyle name="Normal 2 2 13 6" xfId="449"/>
    <cellStyle name="Normal 2 2 13 7" xfId="450"/>
    <cellStyle name="Normal 2 2 14" xfId="451"/>
    <cellStyle name="Normal 2 2 15" xfId="452"/>
    <cellStyle name="Normal 2 2 16" xfId="453"/>
    <cellStyle name="Normal 2 2 17" xfId="454"/>
    <cellStyle name="Normal 2 2 18" xfId="455"/>
    <cellStyle name="Normal 2 2 19" xfId="456"/>
    <cellStyle name="Normal 2 2 2" xfId="457"/>
    <cellStyle name="Normal 2 2 2 10" xfId="458"/>
    <cellStyle name="Normal 2 2 2 11" xfId="459"/>
    <cellStyle name="Normal 2 2 2 11 2" xfId="460"/>
    <cellStyle name="Normal 2 2 2 11 2 2" xfId="461"/>
    <cellStyle name="Normal 2 2 2 11 2 3" xfId="462"/>
    <cellStyle name="Normal 2 2 2 11 2 4" xfId="463"/>
    <cellStyle name="Normal 2 2 2 11 2 5" xfId="464"/>
    <cellStyle name="Normal 2 2 2 11 2 6" xfId="465"/>
    <cellStyle name="Normal 2 2 2 11 2 7" xfId="466"/>
    <cellStyle name="Normal 2 2 2 11 3" xfId="467"/>
    <cellStyle name="Normal 2 2 2 11 4" xfId="468"/>
    <cellStyle name="Normal 2 2 2 11 5" xfId="469"/>
    <cellStyle name="Normal 2 2 2 11 6" xfId="470"/>
    <cellStyle name="Normal 2 2 2 11 7" xfId="471"/>
    <cellStyle name="Normal 2 2 2 11 8" xfId="472"/>
    <cellStyle name="Normal 2 2 2 12" xfId="473"/>
    <cellStyle name="Normal 2 2 2 13" xfId="474"/>
    <cellStyle name="Normal 2 2 2 13 2" xfId="475"/>
    <cellStyle name="Normal 2 2 2 13 3" xfId="476"/>
    <cellStyle name="Normal 2 2 2 13 4" xfId="477"/>
    <cellStyle name="Normal 2 2 2 13 5" xfId="478"/>
    <cellStyle name="Normal 2 2 2 13 6" xfId="479"/>
    <cellStyle name="Normal 2 2 2 13 7" xfId="480"/>
    <cellStyle name="Normal 2 2 2 14" xfId="481"/>
    <cellStyle name="Normal 2 2 2 15" xfId="482"/>
    <cellStyle name="Normal 2 2 2 16" xfId="483"/>
    <cellStyle name="Normal 2 2 2 17" xfId="484"/>
    <cellStyle name="Normal 2 2 2 18" xfId="485"/>
    <cellStyle name="Normal 2 2 2 19" xfId="486"/>
    <cellStyle name="Normal 2 2 2 2" xfId="487"/>
    <cellStyle name="Normal 2 2 2 2 10" xfId="488"/>
    <cellStyle name="Normal 2 2 2 2 11" xfId="489"/>
    <cellStyle name="Normal 2 2 2 2 11 2" xfId="490"/>
    <cellStyle name="Normal 2 2 2 2 11 3" xfId="491"/>
    <cellStyle name="Normal 2 2 2 2 11 4" xfId="492"/>
    <cellStyle name="Normal 2 2 2 2 11 5" xfId="493"/>
    <cellStyle name="Normal 2 2 2 2 11 6" xfId="494"/>
    <cellStyle name="Normal 2 2 2 2 11 7" xfId="495"/>
    <cellStyle name="Normal 2 2 2 2 12" xfId="496"/>
    <cellStyle name="Normal 2 2 2 2 13" xfId="497"/>
    <cellStyle name="Normal 2 2 2 2 14" xfId="498"/>
    <cellStyle name="Normal 2 2 2 2 15" xfId="499"/>
    <cellStyle name="Normal 2 2 2 2 16" xfId="500"/>
    <cellStyle name="Normal 2 2 2 2 17" xfId="501"/>
    <cellStyle name="Normal 2 2 2 2 18" xfId="502"/>
    <cellStyle name="Normal 2 2 2 2 19" xfId="503"/>
    <cellStyle name="Normal 2 2 2 2 2" xfId="504"/>
    <cellStyle name="Normal 2 2 2 2 2 10" xfId="505"/>
    <cellStyle name="Normal 2 2 2 2 2 11" xfId="506"/>
    <cellStyle name="Normal 2 2 2 2 2 11 2" xfId="507"/>
    <cellStyle name="Normal 2 2 2 2 2 11 3" xfId="508"/>
    <cellStyle name="Normal 2 2 2 2 2 11 4" xfId="509"/>
    <cellStyle name="Normal 2 2 2 2 2 11 5" xfId="510"/>
    <cellStyle name="Normal 2 2 2 2 2 11 6" xfId="511"/>
    <cellStyle name="Normal 2 2 2 2 2 11 7" xfId="512"/>
    <cellStyle name="Normal 2 2 2 2 2 12" xfId="513"/>
    <cellStyle name="Normal 2 2 2 2 2 13" xfId="514"/>
    <cellStyle name="Normal 2 2 2 2 2 14" xfId="515"/>
    <cellStyle name="Normal 2 2 2 2 2 15" xfId="516"/>
    <cellStyle name="Normal 2 2 2 2 2 16" xfId="517"/>
    <cellStyle name="Normal 2 2 2 2 2 17" xfId="518"/>
    <cellStyle name="Normal 2 2 2 2 2 18" xfId="519"/>
    <cellStyle name="Normal 2 2 2 2 2 19" xfId="520"/>
    <cellStyle name="Normal 2 2 2 2 2 2" xfId="521"/>
    <cellStyle name="Normal 2 2 2 2 2 2 10" xfId="522"/>
    <cellStyle name="Normal 2 2 2 2 2 2 10 2" xfId="523"/>
    <cellStyle name="Normal 2 2 2 2 2 2 10 3" xfId="524"/>
    <cellStyle name="Normal 2 2 2 2 2 2 10 4" xfId="525"/>
    <cellStyle name="Normal 2 2 2 2 2 2 10 5" xfId="526"/>
    <cellStyle name="Normal 2 2 2 2 2 2 10 6" xfId="527"/>
    <cellStyle name="Normal 2 2 2 2 2 2 10 7" xfId="528"/>
    <cellStyle name="Normal 2 2 2 2 2 2 11" xfId="529"/>
    <cellStyle name="Normal 2 2 2 2 2 2 12" xfId="530"/>
    <cellStyle name="Normal 2 2 2 2 2 2 13" xfId="531"/>
    <cellStyle name="Normal 2 2 2 2 2 2 14" xfId="532"/>
    <cellStyle name="Normal 2 2 2 2 2 2 15" xfId="533"/>
    <cellStyle name="Normal 2 2 2 2 2 2 16" xfId="534"/>
    <cellStyle name="Normal 2 2 2 2 2 2 17" xfId="535"/>
    <cellStyle name="Normal 2 2 2 2 2 2 18" xfId="536"/>
    <cellStyle name="Normal 2 2 2 2 2 2 19" xfId="537"/>
    <cellStyle name="Normal 2 2 2 2 2 2 2" xfId="538"/>
    <cellStyle name="Normal 2 2 2 2 2 2 2 10" xfId="539"/>
    <cellStyle name="Normal 2 2 2 2 2 2 2 10 2" xfId="540"/>
    <cellStyle name="Normal 2 2 2 2 2 2 2 10 3" xfId="541"/>
    <cellStyle name="Normal 2 2 2 2 2 2 2 10 4" xfId="542"/>
    <cellStyle name="Normal 2 2 2 2 2 2 2 10 5" xfId="543"/>
    <cellStyle name="Normal 2 2 2 2 2 2 2 10 6" xfId="544"/>
    <cellStyle name="Normal 2 2 2 2 2 2 2 10 7" xfId="545"/>
    <cellStyle name="Normal 2 2 2 2 2 2 2 11" xfId="546"/>
    <cellStyle name="Normal 2 2 2 2 2 2 2 12" xfId="547"/>
    <cellStyle name="Normal 2 2 2 2 2 2 2 13" xfId="548"/>
    <cellStyle name="Normal 2 2 2 2 2 2 2 14" xfId="549"/>
    <cellStyle name="Normal 2 2 2 2 2 2 2 15" xfId="550"/>
    <cellStyle name="Normal 2 2 2 2 2 2 2 16" xfId="551"/>
    <cellStyle name="Normal 2 2 2 2 2 2 2 17" xfId="552"/>
    <cellStyle name="Normal 2 2 2 2 2 2 2 18" xfId="553"/>
    <cellStyle name="Normal 2 2 2 2 2 2 2 19" xfId="554"/>
    <cellStyle name="Normal 2 2 2 2 2 2 2 2" xfId="555"/>
    <cellStyle name="Normal 2 2 2 2 2 2 2 2 10" xfId="556"/>
    <cellStyle name="Normal 2 2 2 2 2 2 2 2 11" xfId="557"/>
    <cellStyle name="Normal 2 2 2 2 2 2 2 2 12" xfId="558"/>
    <cellStyle name="Normal 2 2 2 2 2 2 2 2 13" xfId="559"/>
    <cellStyle name="Normal 2 2 2 2 2 2 2 2 14" xfId="560"/>
    <cellStyle name="Normal 2 2 2 2 2 2 2 2 15" xfId="561"/>
    <cellStyle name="Normal 2 2 2 2 2 2 2 2 16" xfId="562"/>
    <cellStyle name="Normal 2 2 2 2 2 2 2 2 17" xfId="563"/>
    <cellStyle name="Normal 2 2 2 2 2 2 2 2 18" xfId="564"/>
    <cellStyle name="Normal 2 2 2 2 2 2 2 2 19" xfId="565"/>
    <cellStyle name="Normal 2 2 2 2 2 2 2 2 2" xfId="566"/>
    <cellStyle name="Normal 2 2 2 2 2 2 2 2 2 10" xfId="567"/>
    <cellStyle name="Normal 2 2 2 2 2 2 2 2 2 11" xfId="568"/>
    <cellStyle name="Normal 2 2 2 2 2 2 2 2 2 12" xfId="569"/>
    <cellStyle name="Normal 2 2 2 2 2 2 2 2 2 13" xfId="570"/>
    <cellStyle name="Normal 2 2 2 2 2 2 2 2 2 14" xfId="571"/>
    <cellStyle name="Normal 2 2 2 2 2 2 2 2 2 15" xfId="572"/>
    <cellStyle name="Normal 2 2 2 2 2 2 2 2 2 16" xfId="573"/>
    <cellStyle name="Normal 2 2 2 2 2 2 2 2 2 17" xfId="574"/>
    <cellStyle name="Normal 2 2 2 2 2 2 2 2 2 18" xfId="575"/>
    <cellStyle name="Normal 2 2 2 2 2 2 2 2 2 19" xfId="576"/>
    <cellStyle name="Normal 2 2 2 2 2 2 2 2 2 2" xfId="577"/>
    <cellStyle name="Normal 2 2 2 2 2 2 2 2 2 2 10" xfId="578"/>
    <cellStyle name="Normal 2 2 2 2 2 2 2 2 2 2 11" xfId="579"/>
    <cellStyle name="Normal 2 2 2 2 2 2 2 2 2 2 12" xfId="580"/>
    <cellStyle name="Normal 2 2 2 2 2 2 2 2 2 2 13" xfId="581"/>
    <cellStyle name="Normal 2 2 2 2 2 2 2 2 2 2 14" xfId="582"/>
    <cellStyle name="Normal 2 2 2 2 2 2 2 2 2 2 15" xfId="583"/>
    <cellStyle name="Normal 2 2 2 2 2 2 2 2 2 2 16" xfId="584"/>
    <cellStyle name="Normal 2 2 2 2 2 2 2 2 2 2 17" xfId="585"/>
    <cellStyle name="Normal 2 2 2 2 2 2 2 2 2 2 18" xfId="586"/>
    <cellStyle name="Normal 2 2 2 2 2 2 2 2 2 2 2" xfId="587"/>
    <cellStyle name="Normal 2 2 2 2 2 2 2 2 2 2 2 2" xfId="588"/>
    <cellStyle name="Normal 2 2 2 2 2 2 2 2 2 2 2 2 2" xfId="589"/>
    <cellStyle name="Normal 2 2 2 2 2 2 2 2 2 2 2 2 3" xfId="590"/>
    <cellStyle name="Normal 2 2 2 2 2 2 2 2 2 2 2 2 4" xfId="591"/>
    <cellStyle name="Normal 2 2 2 2 2 2 2 2 2 2 2 2 5" xfId="592"/>
    <cellStyle name="Normal 2 2 2 2 2 2 2 2 2 2 2 2 6" xfId="593"/>
    <cellStyle name="Normal 2 2 2 2 2 2 2 2 2 2 2 2 7" xfId="594"/>
    <cellStyle name="Normal 2 2 2 2 2 2 2 2 2 2 2 3" xfId="595"/>
    <cellStyle name="Normal 2 2 2 2 2 2 2 2 2 2 2 4" xfId="596"/>
    <cellStyle name="Normal 2 2 2 2 2 2 2 2 2 2 2 5" xfId="597"/>
    <cellStyle name="Normal 2 2 2 2 2 2 2 2 2 2 2 6" xfId="598"/>
    <cellStyle name="Normal 2 2 2 2 2 2 2 2 2 2 2 7" xfId="599"/>
    <cellStyle name="Normal 2 2 2 2 2 2 2 2 2 2 2 8" xfId="600"/>
    <cellStyle name="Normal 2 2 2 2 2 2 2 2 2 2 3" xfId="601"/>
    <cellStyle name="Normal 2 2 2 2 2 2 2 2 2 2 4" xfId="602"/>
    <cellStyle name="Normal 2 2 2 2 2 2 2 2 2 2 5" xfId="603"/>
    <cellStyle name="Normal 2 2 2 2 2 2 2 2 2 2 5 2" xfId="604"/>
    <cellStyle name="Normal 2 2 2 2 2 2 2 2 2 2 5 3" xfId="605"/>
    <cellStyle name="Normal 2 2 2 2 2 2 2 2 2 2 5 4" xfId="606"/>
    <cellStyle name="Normal 2 2 2 2 2 2 2 2 2 2 5 5" xfId="607"/>
    <cellStyle name="Normal 2 2 2 2 2 2 2 2 2 2 5 6" xfId="608"/>
    <cellStyle name="Normal 2 2 2 2 2 2 2 2 2 2 5 7" xfId="609"/>
    <cellStyle name="Normal 2 2 2 2 2 2 2 2 2 2 6" xfId="610"/>
    <cellStyle name="Normal 2 2 2 2 2 2 2 2 2 2 7" xfId="611"/>
    <cellStyle name="Normal 2 2 2 2 2 2 2 2 2 2 8" xfId="612"/>
    <cellStyle name="Normal 2 2 2 2 2 2 2 2 2 2 9" xfId="613"/>
    <cellStyle name="Normal 2 2 2 2 2 2 2 2 2 3" xfId="614"/>
    <cellStyle name="Normal 2 2 2 2 2 2 2 2 2 4" xfId="615"/>
    <cellStyle name="Normal 2 2 2 2 2 2 2 2 2 4 2" xfId="616"/>
    <cellStyle name="Normal 2 2 2 2 2 2 2 2 2 4 2 2" xfId="617"/>
    <cellStyle name="Normal 2 2 2 2 2 2 2 2 2 4 2 3" xfId="618"/>
    <cellStyle name="Normal 2 2 2 2 2 2 2 2 2 4 2 4" xfId="619"/>
    <cellStyle name="Normal 2 2 2 2 2 2 2 2 2 4 2 5" xfId="620"/>
    <cellStyle name="Normal 2 2 2 2 2 2 2 2 2 4 2 6" xfId="621"/>
    <cellStyle name="Normal 2 2 2 2 2 2 2 2 2 4 2 7" xfId="622"/>
    <cellStyle name="Normal 2 2 2 2 2 2 2 2 2 4 3" xfId="623"/>
    <cellStyle name="Normal 2 2 2 2 2 2 2 2 2 4 4" xfId="624"/>
    <cellStyle name="Normal 2 2 2 2 2 2 2 2 2 4 5" xfId="625"/>
    <cellStyle name="Normal 2 2 2 2 2 2 2 2 2 4 6" xfId="626"/>
    <cellStyle name="Normal 2 2 2 2 2 2 2 2 2 4 7" xfId="627"/>
    <cellStyle name="Normal 2 2 2 2 2 2 2 2 2 4 8" xfId="628"/>
    <cellStyle name="Normal 2 2 2 2 2 2 2 2 2 5" xfId="629"/>
    <cellStyle name="Normal 2 2 2 2 2 2 2 2 2 6" xfId="630"/>
    <cellStyle name="Normal 2 2 2 2 2 2 2 2 2 6 2" xfId="631"/>
    <cellStyle name="Normal 2 2 2 2 2 2 2 2 2 6 3" xfId="632"/>
    <cellStyle name="Normal 2 2 2 2 2 2 2 2 2 6 4" xfId="633"/>
    <cellStyle name="Normal 2 2 2 2 2 2 2 2 2 6 5" xfId="634"/>
    <cellStyle name="Normal 2 2 2 2 2 2 2 2 2 6 6" xfId="635"/>
    <cellStyle name="Normal 2 2 2 2 2 2 2 2 2 6 7" xfId="636"/>
    <cellStyle name="Normal 2 2 2 2 2 2 2 2 2 7" xfId="637"/>
    <cellStyle name="Normal 2 2 2 2 2 2 2 2 2 8" xfId="638"/>
    <cellStyle name="Normal 2 2 2 2 2 2 2 2 2 9" xfId="639"/>
    <cellStyle name="Normal 2 2 2 2 2 2 2 2 2_Opex Input" xfId="640"/>
    <cellStyle name="Normal 2 2 2 2 2 2 2 2 20" xfId="641"/>
    <cellStyle name="Normal 2 2 2 2 2 2 2 2 3" xfId="642"/>
    <cellStyle name="Normal 2 2 2 2 2 2 2 2 4" xfId="643"/>
    <cellStyle name="Normal 2 2 2 2 2 2 2 2 5" xfId="644"/>
    <cellStyle name="Normal 2 2 2 2 2 2 2 2 5 2" xfId="645"/>
    <cellStyle name="Normal 2 2 2 2 2 2 2 2 5 2 2" xfId="646"/>
    <cellStyle name="Normal 2 2 2 2 2 2 2 2 5 2 3" xfId="647"/>
    <cellStyle name="Normal 2 2 2 2 2 2 2 2 5 2 4" xfId="648"/>
    <cellStyle name="Normal 2 2 2 2 2 2 2 2 5 2 5" xfId="649"/>
    <cellStyle name="Normal 2 2 2 2 2 2 2 2 5 2 6" xfId="650"/>
    <cellStyle name="Normal 2 2 2 2 2 2 2 2 5 2 7" xfId="651"/>
    <cellStyle name="Normal 2 2 2 2 2 2 2 2 5 3" xfId="652"/>
    <cellStyle name="Normal 2 2 2 2 2 2 2 2 5 4" xfId="653"/>
    <cellStyle name="Normal 2 2 2 2 2 2 2 2 5 5" xfId="654"/>
    <cellStyle name="Normal 2 2 2 2 2 2 2 2 5 6" xfId="655"/>
    <cellStyle name="Normal 2 2 2 2 2 2 2 2 5 7" xfId="656"/>
    <cellStyle name="Normal 2 2 2 2 2 2 2 2 5 8" xfId="657"/>
    <cellStyle name="Normal 2 2 2 2 2 2 2 2 6" xfId="658"/>
    <cellStyle name="Normal 2 2 2 2 2 2 2 2 7" xfId="659"/>
    <cellStyle name="Normal 2 2 2 2 2 2 2 2 7 2" xfId="660"/>
    <cellStyle name="Normal 2 2 2 2 2 2 2 2 7 3" xfId="661"/>
    <cellStyle name="Normal 2 2 2 2 2 2 2 2 7 4" xfId="662"/>
    <cellStyle name="Normal 2 2 2 2 2 2 2 2 7 5" xfId="663"/>
    <cellStyle name="Normal 2 2 2 2 2 2 2 2 7 6" xfId="664"/>
    <cellStyle name="Normal 2 2 2 2 2 2 2 2 7 7" xfId="665"/>
    <cellStyle name="Normal 2 2 2 2 2 2 2 2 8" xfId="666"/>
    <cellStyle name="Normal 2 2 2 2 2 2 2 2 9" xfId="667"/>
    <cellStyle name="Normal 2 2 2 2 2 2 2 2_ELEC SAP FCST UPLOAD" xfId="668"/>
    <cellStyle name="Normal 2 2 2 2 2 2 2 20" xfId="669"/>
    <cellStyle name="Normal 2 2 2 2 2 2 2 21" xfId="670"/>
    <cellStyle name="Normal 2 2 2 2 2 2 2 22" xfId="671"/>
    <cellStyle name="Normal 2 2 2 2 2 2 2 23" xfId="672"/>
    <cellStyle name="Normal 2 2 2 2 2 2 2 3" xfId="673"/>
    <cellStyle name="Normal 2 2 2 2 2 2 2 4" xfId="674"/>
    <cellStyle name="Normal 2 2 2 2 2 2 2 5" xfId="675"/>
    <cellStyle name="Normal 2 2 2 2 2 2 2 6" xfId="676"/>
    <cellStyle name="Normal 2 2 2 2 2 2 2 7" xfId="677"/>
    <cellStyle name="Normal 2 2 2 2 2 2 2 8" xfId="678"/>
    <cellStyle name="Normal 2 2 2 2 2 2 2 8 2" xfId="679"/>
    <cellStyle name="Normal 2 2 2 2 2 2 2 8 2 2" xfId="680"/>
    <cellStyle name="Normal 2 2 2 2 2 2 2 8 2 3" xfId="681"/>
    <cellStyle name="Normal 2 2 2 2 2 2 2 8 2 4" xfId="682"/>
    <cellStyle name="Normal 2 2 2 2 2 2 2 8 2 5" xfId="683"/>
    <cellStyle name="Normal 2 2 2 2 2 2 2 8 2 6" xfId="684"/>
    <cellStyle name="Normal 2 2 2 2 2 2 2 8 2 7" xfId="685"/>
    <cellStyle name="Normal 2 2 2 2 2 2 2 8 3" xfId="686"/>
    <cellStyle name="Normal 2 2 2 2 2 2 2 8 4" xfId="687"/>
    <cellStyle name="Normal 2 2 2 2 2 2 2 8 5" xfId="688"/>
    <cellStyle name="Normal 2 2 2 2 2 2 2 8 6" xfId="689"/>
    <cellStyle name="Normal 2 2 2 2 2 2 2 8 7" xfId="690"/>
    <cellStyle name="Normal 2 2 2 2 2 2 2 8 8" xfId="691"/>
    <cellStyle name="Normal 2 2 2 2 2 2 2 9" xfId="692"/>
    <cellStyle name="Normal 2 2 2 2 2 2 2_ELEC SAP FCST UPLOAD" xfId="693"/>
    <cellStyle name="Normal 2 2 2 2 2 2 20" xfId="694"/>
    <cellStyle name="Normal 2 2 2 2 2 2 21" xfId="695"/>
    <cellStyle name="Normal 2 2 2 2 2 2 22" xfId="696"/>
    <cellStyle name="Normal 2 2 2 2 2 2 23" xfId="697"/>
    <cellStyle name="Normal 2 2 2 2 2 2 3" xfId="698"/>
    <cellStyle name="Normal 2 2 2 2 2 2 3 2" xfId="699"/>
    <cellStyle name="Normal 2 2 2 2 2 2 3 3" xfId="700"/>
    <cellStyle name="Normal 2 2 2 2 2 2 3_ELEC SAP FCST UPLOAD" xfId="701"/>
    <cellStyle name="Normal 2 2 2 2 2 2 4" xfId="702"/>
    <cellStyle name="Normal 2 2 2 2 2 2 5" xfId="703"/>
    <cellStyle name="Normal 2 2 2 2 2 2 6" xfId="704"/>
    <cellStyle name="Normal 2 2 2 2 2 2 7" xfId="705"/>
    <cellStyle name="Normal 2 2 2 2 2 2 8" xfId="706"/>
    <cellStyle name="Normal 2 2 2 2 2 2 8 2" xfId="707"/>
    <cellStyle name="Normal 2 2 2 2 2 2 8 2 2" xfId="708"/>
    <cellStyle name="Normal 2 2 2 2 2 2 8 2 3" xfId="709"/>
    <cellStyle name="Normal 2 2 2 2 2 2 8 2 4" xfId="710"/>
    <cellStyle name="Normal 2 2 2 2 2 2 8 2 5" xfId="711"/>
    <cellStyle name="Normal 2 2 2 2 2 2 8 2 6" xfId="712"/>
    <cellStyle name="Normal 2 2 2 2 2 2 8 2 7" xfId="713"/>
    <cellStyle name="Normal 2 2 2 2 2 2 8 3" xfId="714"/>
    <cellStyle name="Normal 2 2 2 2 2 2 8 4" xfId="715"/>
    <cellStyle name="Normal 2 2 2 2 2 2 8 5" xfId="716"/>
    <cellStyle name="Normal 2 2 2 2 2 2 8 6" xfId="717"/>
    <cellStyle name="Normal 2 2 2 2 2 2 8 7" xfId="718"/>
    <cellStyle name="Normal 2 2 2 2 2 2 8 8" xfId="719"/>
    <cellStyle name="Normal 2 2 2 2 2 2 9" xfId="720"/>
    <cellStyle name="Normal 2 2 2 2 2 2_ELEC SAP FCST UPLOAD" xfId="721"/>
    <cellStyle name="Normal 2 2 2 2 2 20" xfId="722"/>
    <cellStyle name="Normal 2 2 2 2 2 21" xfId="723"/>
    <cellStyle name="Normal 2 2 2 2 2 22" xfId="724"/>
    <cellStyle name="Normal 2 2 2 2 2 23" xfId="725"/>
    <cellStyle name="Normal 2 2 2 2 2 24" xfId="726"/>
    <cellStyle name="Normal 2 2 2 2 2 3" xfId="727"/>
    <cellStyle name="Normal 2 2 2 2 2 3 2" xfId="728"/>
    <cellStyle name="Normal 2 2 2 2 2 3 3" xfId="729"/>
    <cellStyle name="Normal 2 2 2 2 2 3_ELEC SAP FCST UPLOAD" xfId="730"/>
    <cellStyle name="Normal 2 2 2 2 2 4" xfId="731"/>
    <cellStyle name="Normal 2 2 2 2 2 5" xfId="732"/>
    <cellStyle name="Normal 2 2 2 2 2 6" xfId="733"/>
    <cellStyle name="Normal 2 2 2 2 2 7" xfId="734"/>
    <cellStyle name="Normal 2 2 2 2 2 8" xfId="735"/>
    <cellStyle name="Normal 2 2 2 2 2 9" xfId="736"/>
    <cellStyle name="Normal 2 2 2 2 2 9 2" xfId="737"/>
    <cellStyle name="Normal 2 2 2 2 2 9 2 2" xfId="738"/>
    <cellStyle name="Normal 2 2 2 2 2 9 2 3" xfId="739"/>
    <cellStyle name="Normal 2 2 2 2 2 9 2 4" xfId="740"/>
    <cellStyle name="Normal 2 2 2 2 2 9 2 5" xfId="741"/>
    <cellStyle name="Normal 2 2 2 2 2 9 2 6" xfId="742"/>
    <cellStyle name="Normal 2 2 2 2 2 9 2 7" xfId="743"/>
    <cellStyle name="Normal 2 2 2 2 2 9 3" xfId="744"/>
    <cellStyle name="Normal 2 2 2 2 2 9 4" xfId="745"/>
    <cellStyle name="Normal 2 2 2 2 2 9 5" xfId="746"/>
    <cellStyle name="Normal 2 2 2 2 2 9 6" xfId="747"/>
    <cellStyle name="Normal 2 2 2 2 2 9 7" xfId="748"/>
    <cellStyle name="Normal 2 2 2 2 2 9 8" xfId="749"/>
    <cellStyle name="Normal 2 2 2 2 2_ELEC SAP FCST UPLOAD" xfId="750"/>
    <cellStyle name="Normal 2 2 2 2 20" xfId="751"/>
    <cellStyle name="Normal 2 2 2 2 21" xfId="752"/>
    <cellStyle name="Normal 2 2 2 2 22" xfId="753"/>
    <cellStyle name="Normal 2 2 2 2 23" xfId="754"/>
    <cellStyle name="Normal 2 2 2 2 24" xfId="755"/>
    <cellStyle name="Normal 2 2 2 2 3" xfId="756"/>
    <cellStyle name="Normal 2 2 2 2 3 2" xfId="757"/>
    <cellStyle name="Normal 2 2 2 2 3 2 2" xfId="758"/>
    <cellStyle name="Normal 2 2 2 2 3 2 3" xfId="759"/>
    <cellStyle name="Normal 2 2 2 2 3 2_ELEC SAP FCST UPLOAD" xfId="760"/>
    <cellStyle name="Normal 2 2 2 2 3 3" xfId="761"/>
    <cellStyle name="Normal 2 2 2 2 3 4" xfId="762"/>
    <cellStyle name="Normal 2 2 2 2 3 5" xfId="763"/>
    <cellStyle name="Normal 2 2 2 2 3 6" xfId="764"/>
    <cellStyle name="Normal 2 2 2 2 3_ELEC SAP FCST UPLOAD" xfId="765"/>
    <cellStyle name="Normal 2 2 2 2 4" xfId="766"/>
    <cellStyle name="Normal 2 2 2 2 4 2" xfId="767"/>
    <cellStyle name="Normal 2 2 2 2 4 3" xfId="768"/>
    <cellStyle name="Normal 2 2 2 2 4_ELEC SAP FCST UPLOAD" xfId="769"/>
    <cellStyle name="Normal 2 2 2 2 5" xfId="770"/>
    <cellStyle name="Normal 2 2 2 2 6" xfId="771"/>
    <cellStyle name="Normal 2 2 2 2 7" xfId="772"/>
    <cellStyle name="Normal 2 2 2 2 8" xfId="773"/>
    <cellStyle name="Normal 2 2 2 2 9" xfId="774"/>
    <cellStyle name="Normal 2 2 2 2 9 2" xfId="775"/>
    <cellStyle name="Normal 2 2 2 2 9 2 2" xfId="776"/>
    <cellStyle name="Normal 2 2 2 2 9 2 3" xfId="777"/>
    <cellStyle name="Normal 2 2 2 2 9 2 4" xfId="778"/>
    <cellStyle name="Normal 2 2 2 2 9 2 5" xfId="779"/>
    <cellStyle name="Normal 2 2 2 2 9 2 6" xfId="780"/>
    <cellStyle name="Normal 2 2 2 2 9 2 7" xfId="781"/>
    <cellStyle name="Normal 2 2 2 2 9 3" xfId="782"/>
    <cellStyle name="Normal 2 2 2 2 9 4" xfId="783"/>
    <cellStyle name="Normal 2 2 2 2 9 5" xfId="784"/>
    <cellStyle name="Normal 2 2 2 2 9 6" xfId="785"/>
    <cellStyle name="Normal 2 2 2 2 9 7" xfId="786"/>
    <cellStyle name="Normal 2 2 2 2 9 8" xfId="787"/>
    <cellStyle name="Normal 2 2 2 2_ELEC SAP FCST UPLOAD" xfId="788"/>
    <cellStyle name="Normal 2 2 2 20" xfId="789"/>
    <cellStyle name="Normal 2 2 2 21" xfId="790"/>
    <cellStyle name="Normal 2 2 2 22" xfId="791"/>
    <cellStyle name="Normal 2 2 2 23" xfId="792"/>
    <cellStyle name="Normal 2 2 2 24" xfId="793"/>
    <cellStyle name="Normal 2 2 2 25" xfId="794"/>
    <cellStyle name="Normal 2 2 2 26" xfId="795"/>
    <cellStyle name="Normal 2 2 2 3" xfId="796"/>
    <cellStyle name="Normal 2 2 2 4" xfId="797"/>
    <cellStyle name="Normal 2 2 2 4 2" xfId="798"/>
    <cellStyle name="Normal 2 2 2 4 2 2" xfId="799"/>
    <cellStyle name="Normal 2 2 2 4 2 2 2" xfId="800"/>
    <cellStyle name="Normal 2 2 2 4 2 2 3" xfId="801"/>
    <cellStyle name="Normal 2 2 2 4 2 2_ELEC SAP FCST UPLOAD" xfId="802"/>
    <cellStyle name="Normal 2 2 2 4 2 3" xfId="803"/>
    <cellStyle name="Normal 2 2 2 4 2 4" xfId="804"/>
    <cellStyle name="Normal 2 2 2 4 2 5" xfId="805"/>
    <cellStyle name="Normal 2 2 2 4 2 6" xfId="806"/>
    <cellStyle name="Normal 2 2 2 4 2_ELEC SAP FCST UPLOAD" xfId="807"/>
    <cellStyle name="Normal 2 2 2 4 3" xfId="808"/>
    <cellStyle name="Normal 2 2 2 4 3 2" xfId="809"/>
    <cellStyle name="Normal 2 2 2 4 3 3" xfId="810"/>
    <cellStyle name="Normal 2 2 2 4 3_ELEC SAP FCST UPLOAD" xfId="811"/>
    <cellStyle name="Normal 2 2 2 4 4" xfId="812"/>
    <cellStyle name="Normal 2 2 2 4 5" xfId="813"/>
    <cellStyle name="Normal 2 2 2 4 6" xfId="814"/>
    <cellStyle name="Normal 2 2 2 4_ELEC SAP FCST UPLOAD" xfId="815"/>
    <cellStyle name="Normal 2 2 2 5" xfId="816"/>
    <cellStyle name="Normal 2 2 2 5 2" xfId="817"/>
    <cellStyle name="Normal 2 2 2 5 3" xfId="818"/>
    <cellStyle name="Normal 2 2 2 5_ELEC SAP FCST UPLOAD" xfId="819"/>
    <cellStyle name="Normal 2 2 2 6" xfId="820"/>
    <cellStyle name="Normal 2 2 2 7" xfId="821"/>
    <cellStyle name="Normal 2 2 2 8" xfId="822"/>
    <cellStyle name="Normal 2 2 2 9" xfId="823"/>
    <cellStyle name="Normal 2 2 2_ELEC SAP FCST UPLOAD" xfId="824"/>
    <cellStyle name="Normal 2 2 20" xfId="825"/>
    <cellStyle name="Normal 2 2 21" xfId="826"/>
    <cellStyle name="Normal 2 2 22" xfId="827"/>
    <cellStyle name="Normal 2 2 23" xfId="828"/>
    <cellStyle name="Normal 2 2 24" xfId="829"/>
    <cellStyle name="Normal 2 2 25" xfId="830"/>
    <cellStyle name="Normal 2 2 26" xfId="831"/>
    <cellStyle name="Normal 2 2 3" xfId="832"/>
    <cellStyle name="Normal 2 2 3 2" xfId="833"/>
    <cellStyle name="Normal 2 2 3 2 2" xfId="834"/>
    <cellStyle name="Normal 2 2 3 2 2 2" xfId="835"/>
    <cellStyle name="Normal 2 2 3 2 2 2 2" xfId="836"/>
    <cellStyle name="Normal 2 2 3 2 2 2 2 2" xfId="837"/>
    <cellStyle name="Normal 2 2 3 2 2 2 2 3" xfId="838"/>
    <cellStyle name="Normal 2 2 3 2 2 2 2_ELEC SAP FCST UPLOAD" xfId="839"/>
    <cellStyle name="Normal 2 2 3 2 2 2 3" xfId="840"/>
    <cellStyle name="Normal 2 2 3 2 2 2 4" xfId="841"/>
    <cellStyle name="Normal 2 2 3 2 2 2 5" xfId="842"/>
    <cellStyle name="Normal 2 2 3 2 2 2 6" xfId="843"/>
    <cellStyle name="Normal 2 2 3 2 2 2_ELEC SAP FCST UPLOAD" xfId="844"/>
    <cellStyle name="Normal 2 2 3 2 2 3" xfId="845"/>
    <cellStyle name="Normal 2 2 3 2 2 3 2" xfId="846"/>
    <cellStyle name="Normal 2 2 3 2 2 3 3" xfId="847"/>
    <cellStyle name="Normal 2 2 3 2 2 3_ELEC SAP FCST UPLOAD" xfId="848"/>
    <cellStyle name="Normal 2 2 3 2 2 4" xfId="849"/>
    <cellStyle name="Normal 2 2 3 2 2 5" xfId="850"/>
    <cellStyle name="Normal 2 2 3 2 2 6" xfId="851"/>
    <cellStyle name="Normal 2 2 3 2 2_ELEC SAP FCST UPLOAD" xfId="852"/>
    <cellStyle name="Normal 2 2 3 2 3" xfId="853"/>
    <cellStyle name="Normal 2 2 3 2 3 2" xfId="854"/>
    <cellStyle name="Normal 2 2 3 2 3 3" xfId="855"/>
    <cellStyle name="Normal 2 2 3 2 3_ELEC SAP FCST UPLOAD" xfId="856"/>
    <cellStyle name="Normal 2 2 3 2 4" xfId="857"/>
    <cellStyle name="Normal 2 2 3 2 5" xfId="858"/>
    <cellStyle name="Normal 2 2 3 2 6" xfId="859"/>
    <cellStyle name="Normal 2 2 3 2 7" xfId="860"/>
    <cellStyle name="Normal 2 2 3 2_ELEC SAP FCST UPLOAD" xfId="861"/>
    <cellStyle name="Normal 2 2 3 3" xfId="862"/>
    <cellStyle name="Normal 2 2 3 3 2" xfId="863"/>
    <cellStyle name="Normal 2 2 3 3 2 2" xfId="864"/>
    <cellStyle name="Normal 2 2 3 3 2 3" xfId="865"/>
    <cellStyle name="Normal 2 2 3 3 2_ELEC SAP FCST UPLOAD" xfId="866"/>
    <cellStyle name="Normal 2 2 3 3 3" xfId="867"/>
    <cellStyle name="Normal 2 2 3 3 4" xfId="868"/>
    <cellStyle name="Normal 2 2 3 3 5" xfId="869"/>
    <cellStyle name="Normal 2 2 3 3 6" xfId="870"/>
    <cellStyle name="Normal 2 2 3 3_ELEC SAP FCST UPLOAD" xfId="871"/>
    <cellStyle name="Normal 2 2 3 4" xfId="872"/>
    <cellStyle name="Normal 2 2 3 4 2" xfId="873"/>
    <cellStyle name="Normal 2 2 3 4 3" xfId="874"/>
    <cellStyle name="Normal 2 2 3 4_ELEC SAP FCST UPLOAD" xfId="875"/>
    <cellStyle name="Normal 2 2 3 5" xfId="876"/>
    <cellStyle name="Normal 2 2 3 6" xfId="877"/>
    <cellStyle name="Normal 2 2 3 7" xfId="878"/>
    <cellStyle name="Normal 2 2 3_ELEC SAP FCST UPLOAD" xfId="879"/>
    <cellStyle name="Normal 2 2 4" xfId="880"/>
    <cellStyle name="Normal 2 2 4 2" xfId="881"/>
    <cellStyle name="Normal 2 2 4 2 2" xfId="882"/>
    <cellStyle name="Normal 2 2 4 2 2 2" xfId="883"/>
    <cellStyle name="Normal 2 2 4 2 2 3" xfId="884"/>
    <cellStyle name="Normal 2 2 4 2 2_ELEC SAP FCST UPLOAD" xfId="885"/>
    <cellStyle name="Normal 2 2 4 2 3" xfId="886"/>
    <cellStyle name="Normal 2 2 4 2 4" xfId="887"/>
    <cellStyle name="Normal 2 2 4 2 5" xfId="888"/>
    <cellStyle name="Normal 2 2 4 2 6" xfId="889"/>
    <cellStyle name="Normal 2 2 4 2_ELEC SAP FCST UPLOAD" xfId="890"/>
    <cellStyle name="Normal 2 2 4 3" xfId="891"/>
    <cellStyle name="Normal 2 2 4 3 2" xfId="892"/>
    <cellStyle name="Normal 2 2 4 3 3" xfId="893"/>
    <cellStyle name="Normal 2 2 4 3_ELEC SAP FCST UPLOAD" xfId="894"/>
    <cellStyle name="Normal 2 2 4 4" xfId="895"/>
    <cellStyle name="Normal 2 2 4 5" xfId="896"/>
    <cellStyle name="Normal 2 2 4 6" xfId="897"/>
    <cellStyle name="Normal 2 2 4_ELEC SAP FCST UPLOAD" xfId="898"/>
    <cellStyle name="Normal 2 2 5" xfId="899"/>
    <cellStyle name="Normal 2 2 5 2" xfId="900"/>
    <cellStyle name="Normal 2 2 5 3" xfId="901"/>
    <cellStyle name="Normal 2 2 5_ELEC SAP FCST UPLOAD" xfId="902"/>
    <cellStyle name="Normal 2 2 6" xfId="903"/>
    <cellStyle name="Normal 2 2 7" xfId="904"/>
    <cellStyle name="Normal 2 2 8" xfId="905"/>
    <cellStyle name="Normal 2 2 9" xfId="906"/>
    <cellStyle name="Normal 2 2_ELEC SAP FCST UPLOAD" xfId="907"/>
    <cellStyle name="Normal 2 20" xfId="908"/>
    <cellStyle name="Normal 2 21" xfId="909"/>
    <cellStyle name="Normal 2 22" xfId="910"/>
    <cellStyle name="Normal 2 23" xfId="911"/>
    <cellStyle name="Normal 2 24" xfId="912"/>
    <cellStyle name="Normal 2 25" xfId="913"/>
    <cellStyle name="Normal 2 26" xfId="914"/>
    <cellStyle name="Normal 2 27" xfId="38"/>
    <cellStyle name="Normal 2 3" xfId="915"/>
    <cellStyle name="Normal 2 3 2" xfId="916"/>
    <cellStyle name="Normal 2 3 2 2" xfId="917"/>
    <cellStyle name="Normal 2 3 2 2 2" xfId="918"/>
    <cellStyle name="Normal 2 3 2 2 2 2" xfId="919"/>
    <cellStyle name="Normal 2 3 2 2 2 2 2" xfId="920"/>
    <cellStyle name="Normal 2 3 2 2 2 2 3" xfId="921"/>
    <cellStyle name="Normal 2 3 2 2 2 2_ELEC SAP FCST UPLOAD" xfId="922"/>
    <cellStyle name="Normal 2 3 2 2 2 3" xfId="923"/>
    <cellStyle name="Normal 2 3 2 2 2 4" xfId="924"/>
    <cellStyle name="Normal 2 3 2 2 2 5" xfId="925"/>
    <cellStyle name="Normal 2 3 2 2 2 6" xfId="926"/>
    <cellStyle name="Normal 2 3 2 2 2_ELEC SAP FCST UPLOAD" xfId="927"/>
    <cellStyle name="Normal 2 3 2 2 3" xfId="928"/>
    <cellStyle name="Normal 2 3 2 2 3 2" xfId="929"/>
    <cellStyle name="Normal 2 3 2 2 3 3" xfId="930"/>
    <cellStyle name="Normal 2 3 2 2 3_ELEC SAP FCST UPLOAD" xfId="931"/>
    <cellStyle name="Normal 2 3 2 2 4" xfId="932"/>
    <cellStyle name="Normal 2 3 2 2 5" xfId="933"/>
    <cellStyle name="Normal 2 3 2 2 6" xfId="934"/>
    <cellStyle name="Normal 2 3 2 2_ELEC SAP FCST UPLOAD" xfId="935"/>
    <cellStyle name="Normal 2 3 2 3" xfId="936"/>
    <cellStyle name="Normal 2 3 2 3 2" xfId="937"/>
    <cellStyle name="Normal 2 3 2 3 3" xfId="938"/>
    <cellStyle name="Normal 2 3 2 3_ELEC SAP FCST UPLOAD" xfId="939"/>
    <cellStyle name="Normal 2 3 2 4" xfId="940"/>
    <cellStyle name="Normal 2 3 2 5" xfId="941"/>
    <cellStyle name="Normal 2 3 2 6" xfId="942"/>
    <cellStyle name="Normal 2 3 2 7" xfId="943"/>
    <cellStyle name="Normal 2 3 2_ELEC SAP FCST UPLOAD" xfId="944"/>
    <cellStyle name="Normal 2 3 3" xfId="945"/>
    <cellStyle name="Normal 2 3 3 2" xfId="946"/>
    <cellStyle name="Normal 2 3 3 2 2" xfId="947"/>
    <cellStyle name="Normal 2 3 3 2 3" xfId="948"/>
    <cellStyle name="Normal 2 3 3 2_ELEC SAP FCST UPLOAD" xfId="949"/>
    <cellStyle name="Normal 2 3 3 3" xfId="950"/>
    <cellStyle name="Normal 2 3 3 4" xfId="951"/>
    <cellStyle name="Normal 2 3 3 5" xfId="952"/>
    <cellStyle name="Normal 2 3 3 6" xfId="953"/>
    <cellStyle name="Normal 2 3 3_ELEC SAP FCST UPLOAD" xfId="954"/>
    <cellStyle name="Normal 2 3 4" xfId="955"/>
    <cellStyle name="Normal 2 3 4 2" xfId="956"/>
    <cellStyle name="Normal 2 3 4 3" xfId="957"/>
    <cellStyle name="Normal 2 3 4_ELEC SAP FCST UPLOAD" xfId="958"/>
    <cellStyle name="Normal 2 3 5" xfId="959"/>
    <cellStyle name="Normal 2 3 6" xfId="960"/>
    <cellStyle name="Normal 2 3 7" xfId="961"/>
    <cellStyle name="Normal 2 3_ELEC SAP FCST UPLOAD" xfId="962"/>
    <cellStyle name="Normal 2 4" xfId="963"/>
    <cellStyle name="Normal 2 5" xfId="2"/>
    <cellStyle name="Normal 2 5 2" xfId="965"/>
    <cellStyle name="Normal 2 5 2 2" xfId="966"/>
    <cellStyle name="Normal 2 5 2 2 2" xfId="967"/>
    <cellStyle name="Normal 2 5 2 2 3" xfId="968"/>
    <cellStyle name="Normal 2 5 2 2_ELEC SAP FCST UPLOAD" xfId="969"/>
    <cellStyle name="Normal 2 5 2 3" xfId="970"/>
    <cellStyle name="Normal 2 5 2 4" xfId="971"/>
    <cellStyle name="Normal 2 5 2 5" xfId="972"/>
    <cellStyle name="Normal 2 5 2 6" xfId="973"/>
    <cellStyle name="Normal 2 5 2_ELEC SAP FCST UPLOAD" xfId="974"/>
    <cellStyle name="Normal 2 5 3" xfId="975"/>
    <cellStyle name="Normal 2 5 3 2" xfId="976"/>
    <cellStyle name="Normal 2 5 3 3" xfId="977"/>
    <cellStyle name="Normal 2 5 3_ELEC SAP FCST UPLOAD" xfId="978"/>
    <cellStyle name="Normal 2 5 4" xfId="979"/>
    <cellStyle name="Normal 2 5 5" xfId="980"/>
    <cellStyle name="Normal 2 5 6" xfId="981"/>
    <cellStyle name="Normal 2 5 7" xfId="964"/>
    <cellStyle name="Normal 2 5_ELEC SAP FCST UPLOAD" xfId="982"/>
    <cellStyle name="Normal 2 6" xfId="983"/>
    <cellStyle name="Normal 2 7" xfId="984"/>
    <cellStyle name="Normal 2 8" xfId="985"/>
    <cellStyle name="Normal 2 9" xfId="986"/>
    <cellStyle name="Normal 20" xfId="987"/>
    <cellStyle name="Normal 21" xfId="988"/>
    <cellStyle name="Normal 22" xfId="989"/>
    <cellStyle name="Normal 23" xfId="37"/>
    <cellStyle name="Normal 3" xfId="39"/>
    <cellStyle name="Normal 3 10" xfId="990"/>
    <cellStyle name="Normal 3 10 2" xfId="991"/>
    <cellStyle name="Normal 3 10 3" xfId="992"/>
    <cellStyle name="Normal 3 10 4" xfId="993"/>
    <cellStyle name="Normal 3 10 5" xfId="994"/>
    <cellStyle name="Normal 3 10 6" xfId="995"/>
    <cellStyle name="Normal 3 10 7" xfId="996"/>
    <cellStyle name="Normal 3 11" xfId="997"/>
    <cellStyle name="Normal 3 12" xfId="998"/>
    <cellStyle name="Normal 3 13" xfId="999"/>
    <cellStyle name="Normal 3 14" xfId="1000"/>
    <cellStyle name="Normal 3 15" xfId="1001"/>
    <cellStyle name="Normal 3 16" xfId="1002"/>
    <cellStyle name="Normal 3 17" xfId="1003"/>
    <cellStyle name="Normal 3 18" xfId="1004"/>
    <cellStyle name="Normal 3 19" xfId="1005"/>
    <cellStyle name="Normal 3 2" xfId="1006"/>
    <cellStyle name="Normal 3 2 10" xfId="1007"/>
    <cellStyle name="Normal 3 2 11" xfId="1008"/>
    <cellStyle name="Normal 3 2 12" xfId="1009"/>
    <cellStyle name="Normal 3 2 13" xfId="1010"/>
    <cellStyle name="Normal 3 2 14" xfId="1011"/>
    <cellStyle name="Normal 3 2 15" xfId="1012"/>
    <cellStyle name="Normal 3 2 16" xfId="1013"/>
    <cellStyle name="Normal 3 2 2" xfId="1014"/>
    <cellStyle name="Normal 3 2 2 2" xfId="1015"/>
    <cellStyle name="Normal 3 2 2 3" xfId="1016"/>
    <cellStyle name="Normal 3 2 2 4" xfId="1017"/>
    <cellStyle name="Normal 3 2 2 5" xfId="1018"/>
    <cellStyle name="Normal 3 2 2 6" xfId="1019"/>
    <cellStyle name="Normal 3 2 2 7" xfId="1020"/>
    <cellStyle name="Normal 3 2 3" xfId="1021"/>
    <cellStyle name="Normal 3 2 4" xfId="1022"/>
    <cellStyle name="Normal 3 2 5" xfId="1023"/>
    <cellStyle name="Normal 3 2 6" xfId="1024"/>
    <cellStyle name="Normal 3 2 7" xfId="1025"/>
    <cellStyle name="Normal 3 2 8" xfId="1026"/>
    <cellStyle name="Normal 3 2 9" xfId="1027"/>
    <cellStyle name="Normal 3 20" xfId="1028"/>
    <cellStyle name="Normal 3 3" xfId="1029"/>
    <cellStyle name="Normal 3 3 2" xfId="1030"/>
    <cellStyle name="Normal 3 3 2 5 10" xfId="6"/>
    <cellStyle name="Normal 3 3_GTO Non Operational Capex Roll-over submission (FINAL with property)" xfId="1031"/>
    <cellStyle name="Normal 3 4" xfId="1032"/>
    <cellStyle name="Normal 3 5" xfId="1033"/>
    <cellStyle name="Normal 3 6" xfId="1034"/>
    <cellStyle name="Normal 3 7" xfId="1035"/>
    <cellStyle name="Normal 3 8" xfId="1036"/>
    <cellStyle name="Normal 3 9" xfId="1037"/>
    <cellStyle name="Normal 3_ELEC SAP FCST UPLOAD" xfId="1038"/>
    <cellStyle name="Normal 4" xfId="1039"/>
    <cellStyle name="Normal 4 2" xfId="1040"/>
    <cellStyle name="Normal 4 2 2" xfId="1041"/>
    <cellStyle name="Normal 4 2 2 2" xfId="1042"/>
    <cellStyle name="Normal 4 2 2 2 2" xfId="1043"/>
    <cellStyle name="Normal 4 2 2 2 2 2" xfId="1044"/>
    <cellStyle name="Normal 4 2 2 2 2 3" xfId="1045"/>
    <cellStyle name="Normal 4 2 2 2 2_ELEC SAP FCST UPLOAD" xfId="1046"/>
    <cellStyle name="Normal 4 2 2 2 3" xfId="1047"/>
    <cellStyle name="Normal 4 2 2 2 4" xfId="1048"/>
    <cellStyle name="Normal 4 2 2 2 5" xfId="1049"/>
    <cellStyle name="Normal 4 2 2 2 6" xfId="1050"/>
    <cellStyle name="Normal 4 2 2 2_ELEC SAP FCST UPLOAD" xfId="1051"/>
    <cellStyle name="Normal 4 2 2 3" xfId="1052"/>
    <cellStyle name="Normal 4 2 2 3 2" xfId="1053"/>
    <cellStyle name="Normal 4 2 2 3 3" xfId="1054"/>
    <cellStyle name="Normal 4 2 2 3_ELEC SAP FCST UPLOAD" xfId="1055"/>
    <cellStyle name="Normal 4 2 2 4" xfId="1056"/>
    <cellStyle name="Normal 4 2 2 5" xfId="1057"/>
    <cellStyle name="Normal 4 2 2 6" xfId="1058"/>
    <cellStyle name="Normal 4 2 2_ELEC SAP FCST UPLOAD" xfId="1059"/>
    <cellStyle name="Normal 4 2 3" xfId="1060"/>
    <cellStyle name="Normal 4 2 3 2" xfId="1061"/>
    <cellStyle name="Normal 4 2 3 3" xfId="1062"/>
    <cellStyle name="Normal 4 2 3_ELEC SAP FCST UPLOAD" xfId="1063"/>
    <cellStyle name="Normal 4 2 4" xfId="1064"/>
    <cellStyle name="Normal 4 2 5" xfId="1065"/>
    <cellStyle name="Normal 4 2 6" xfId="1066"/>
    <cellStyle name="Normal 4 2 7" xfId="1067"/>
    <cellStyle name="Normal 4 2_ELEC SAP FCST UPLOAD" xfId="1068"/>
    <cellStyle name="Normal 4 3" xfId="1069"/>
    <cellStyle name="Normal 4 3 2" xfId="1070"/>
    <cellStyle name="Normal 4 3 2 2" xfId="1071"/>
    <cellStyle name="Normal 4 3 2 3" xfId="1072"/>
    <cellStyle name="Normal 4 3 2_ELEC SAP FCST UPLOAD" xfId="1073"/>
    <cellStyle name="Normal 4 3 3" xfId="1074"/>
    <cellStyle name="Normal 4 3 4" xfId="1075"/>
    <cellStyle name="Normal 4 3 5" xfId="1076"/>
    <cellStyle name="Normal 4 3 6" xfId="1077"/>
    <cellStyle name="Normal 4 3_ELEC SAP FCST UPLOAD" xfId="1078"/>
    <cellStyle name="Normal 4 4" xfId="1079"/>
    <cellStyle name="Normal 4 5" xfId="1080"/>
    <cellStyle name="Normal 4 6" xfId="1081"/>
    <cellStyle name="Normal 4_ELEC SAP FCST UPLOAD" xfId="1082"/>
    <cellStyle name="Normal 5" xfId="12"/>
    <cellStyle name="Normal 5 2" xfId="1084"/>
    <cellStyle name="Normal 5 2 2" xfId="1085"/>
    <cellStyle name="Normal 5 2 2 2" xfId="1086"/>
    <cellStyle name="Normal 5 2 2 3" xfId="1087"/>
    <cellStyle name="Normal 5 2 2_ELEC SAP FCST UPLOAD" xfId="1088"/>
    <cellStyle name="Normal 5 2 3" xfId="1089"/>
    <cellStyle name="Normal 5 2 4" xfId="1090"/>
    <cellStyle name="Normal 5 2 5" xfId="1091"/>
    <cellStyle name="Normal 5 2 6" xfId="1092"/>
    <cellStyle name="Normal 5 2_ELEC SAP FCST UPLOAD" xfId="1093"/>
    <cellStyle name="Normal 5 3" xfId="1094"/>
    <cellStyle name="Normal 5 4" xfId="1095"/>
    <cellStyle name="Normal 5 5" xfId="1096"/>
    <cellStyle name="Normal 5 6" xfId="1083"/>
    <cellStyle name="Normal 5_ELEC SAP FCST UPLOAD" xfId="1097"/>
    <cellStyle name="Normal 54 2 14" xfId="15"/>
    <cellStyle name="Normal 54 25" xfId="13"/>
    <cellStyle name="Normal 58" xfId="17"/>
    <cellStyle name="Normal 6" xfId="1098"/>
    <cellStyle name="Normal 7" xfId="1099"/>
    <cellStyle name="Normal 8" xfId="1100"/>
    <cellStyle name="Normal 9" xfId="1101"/>
    <cellStyle name="Normal 9 2" xfId="1102"/>
    <cellStyle name="Normal 9_GTO Non Operational Capex Roll-over submission (FINAL with property)" xfId="1103"/>
    <cellStyle name="Normal 92" xfId="1836"/>
    <cellStyle name="Normal U" xfId="1104"/>
    <cellStyle name="Normal_Financial tables_NG 2" xfId="1"/>
    <cellStyle name="Note 2" xfId="1105"/>
    <cellStyle name="Note 2 2" xfId="1469"/>
    <cellStyle name="Note 2 3" xfId="1422"/>
    <cellStyle name="Note 2 4" xfId="1382"/>
    <cellStyle name="Note 2 5" xfId="1338"/>
    <cellStyle name="Note 2 6" xfId="1375"/>
    <cellStyle name="Note 2 7" xfId="1348"/>
    <cellStyle name="Note 2 8" xfId="1929"/>
    <cellStyle name="Note 2 9" xfId="1938"/>
    <cellStyle name="Note 3" xfId="1106"/>
    <cellStyle name="Note 3 10" xfId="1423"/>
    <cellStyle name="Note 3 11" xfId="1383"/>
    <cellStyle name="Note 3 12" xfId="1337"/>
    <cellStyle name="Note 3 13" xfId="1376"/>
    <cellStyle name="Note 3 14" xfId="1347"/>
    <cellStyle name="Note 3 15" xfId="1928"/>
    <cellStyle name="Note 3 16" xfId="1939"/>
    <cellStyle name="Note 3 2" xfId="1107"/>
    <cellStyle name="Note 3 2 2" xfId="1471"/>
    <cellStyle name="Note 3 2 3" xfId="1424"/>
    <cellStyle name="Note 3 2 4" xfId="1384"/>
    <cellStyle name="Note 3 2 5" xfId="1336"/>
    <cellStyle name="Note 3 2 6" xfId="1377"/>
    <cellStyle name="Note 3 2 7" xfId="1346"/>
    <cellStyle name="Note 3 2 8" xfId="1927"/>
    <cellStyle name="Note 3 2 9" xfId="1940"/>
    <cellStyle name="Note 3 3" xfId="1108"/>
    <cellStyle name="Note 3 3 2" xfId="1472"/>
    <cellStyle name="Note 3 3 3" xfId="1425"/>
    <cellStyle name="Note 3 3 4" xfId="1385"/>
    <cellStyle name="Note 3 3 5" xfId="1335"/>
    <cellStyle name="Note 3 3 6" xfId="23"/>
    <cellStyle name="Note 3 3 7" xfId="1345"/>
    <cellStyle name="Note 3 3 8" xfId="1926"/>
    <cellStyle name="Note 3 3 9" xfId="1941"/>
    <cellStyle name="Note 3 4" xfId="1109"/>
    <cellStyle name="Note 3 4 2" xfId="1473"/>
    <cellStyle name="Note 3 4 3" xfId="1426"/>
    <cellStyle name="Note 3 4 4" xfId="1386"/>
    <cellStyle name="Note 3 4 5" xfId="1334"/>
    <cellStyle name="Note 3 4 6" xfId="1605"/>
    <cellStyle name="Note 3 4 7" xfId="1344"/>
    <cellStyle name="Note 3 4 8" xfId="1925"/>
    <cellStyle name="Note 3 4 9" xfId="1942"/>
    <cellStyle name="Note 3 5" xfId="1110"/>
    <cellStyle name="Note 3 5 2" xfId="1474"/>
    <cellStyle name="Note 3 5 3" xfId="1427"/>
    <cellStyle name="Note 3 5 4" xfId="1387"/>
    <cellStyle name="Note 3 5 5" xfId="1333"/>
    <cellStyle name="Note 3 5 6" xfId="1611"/>
    <cellStyle name="Note 3 5 7" xfId="1343"/>
    <cellStyle name="Note 3 5 8" xfId="1924"/>
    <cellStyle name="Note 3 5 9" xfId="1943"/>
    <cellStyle name="Note 3 6" xfId="1111"/>
    <cellStyle name="Note 3 6 2" xfId="1475"/>
    <cellStyle name="Note 3 6 3" xfId="1428"/>
    <cellStyle name="Note 3 6 4" xfId="1388"/>
    <cellStyle name="Note 3 6 5" xfId="1332"/>
    <cellStyle name="Note 3 6 6" xfId="1610"/>
    <cellStyle name="Note 3 6 7" xfId="1647"/>
    <cellStyle name="Note 3 6 8" xfId="1923"/>
    <cellStyle name="Note 3 6 9" xfId="1944"/>
    <cellStyle name="Note 3 7" xfId="1112"/>
    <cellStyle name="Note 3 7 2" xfId="1476"/>
    <cellStyle name="Note 3 7 3" xfId="1429"/>
    <cellStyle name="Note 3 7 4" xfId="1389"/>
    <cellStyle name="Note 3 7 5" xfId="1331"/>
    <cellStyle name="Note 3 7 6" xfId="1378"/>
    <cellStyle name="Note 3 7 7" xfId="1342"/>
    <cellStyle name="Note 3 7 8" xfId="1922"/>
    <cellStyle name="Note 3 7 9" xfId="1945"/>
    <cellStyle name="Note 3 8" xfId="1113"/>
    <cellStyle name="Note 3 8 2" xfId="1477"/>
    <cellStyle name="Note 3 8 3" xfId="1430"/>
    <cellStyle name="Note 3 8 4" xfId="1390"/>
    <cellStyle name="Note 3 8 5" xfId="1330"/>
    <cellStyle name="Note 3 8 6" xfId="1379"/>
    <cellStyle name="Note 3 8 7" xfId="1341"/>
    <cellStyle name="Note 3 8 8" xfId="1921"/>
    <cellStyle name="Note 3 8 9" xfId="1946"/>
    <cellStyle name="Note 3 9" xfId="1470"/>
    <cellStyle name="Output 2" xfId="1114"/>
    <cellStyle name="Output 2 2" xfId="1391"/>
    <cellStyle name="Output 2 3" xfId="1329"/>
    <cellStyle name="Output 2 4" xfId="1380"/>
    <cellStyle name="Output 2 5" xfId="1340"/>
    <cellStyle name="Output 2 6" xfId="1920"/>
    <cellStyle name="Output 3" xfId="1115"/>
    <cellStyle name="Output 3 2" xfId="1392"/>
    <cellStyle name="Output 3 3" xfId="1328"/>
    <cellStyle name="Output 3 4" xfId="1381"/>
    <cellStyle name="Output 3 5" xfId="1339"/>
    <cellStyle name="Output 3 6" xfId="1919"/>
    <cellStyle name="Percent" xfId="10" builtinId="5"/>
    <cellStyle name="Percent 10" xfId="1116"/>
    <cellStyle name="Percent 11" xfId="1117"/>
    <cellStyle name="Percent 12" xfId="1118"/>
    <cellStyle name="Percent 13" xfId="1119"/>
    <cellStyle name="Percent 14" xfId="1120"/>
    <cellStyle name="Percent 15" xfId="24"/>
    <cellStyle name="Percent 2" xfId="40"/>
    <cellStyle name="Percent 2 2" xfId="1121"/>
    <cellStyle name="Percent 2 2 2" xfId="1122"/>
    <cellStyle name="Percent 2 2 3" xfId="1123"/>
    <cellStyle name="Percent 2 3" xfId="1124"/>
    <cellStyle name="Percent 2 3 2" xfId="1125"/>
    <cellStyle name="Percent 2 4" xfId="1126"/>
    <cellStyle name="Percent 2 5" xfId="1320"/>
    <cellStyle name="Percent 3" xfId="1127"/>
    <cellStyle name="Percent 4" xfId="1128"/>
    <cellStyle name="Percent 4 2" xfId="1129"/>
    <cellStyle name="Percent 4 2 2" xfId="1130"/>
    <cellStyle name="Percent 4 3" xfId="1131"/>
    <cellStyle name="Percent 5" xfId="1132"/>
    <cellStyle name="Percent 6" xfId="1133"/>
    <cellStyle name="Percent 6 2" xfId="1134"/>
    <cellStyle name="Percent 7" xfId="1135"/>
    <cellStyle name="Percent 8" xfId="1136"/>
    <cellStyle name="Percent 8 2" xfId="1137"/>
    <cellStyle name="Percent 9" xfId="28"/>
    <cellStyle name="Percent 9 2" xfId="1138"/>
    <cellStyle name="Pre-inputted cells" xfId="1139"/>
    <cellStyle name="Pre-inputted cells 2" xfId="1140"/>
    <cellStyle name="Pre-inputted cells 2 2" xfId="1141"/>
    <cellStyle name="Pre-inputted cells 2 2 2" xfId="1454"/>
    <cellStyle name="Pre-inputted cells 2 3" xfId="1453"/>
    <cellStyle name="Pre-inputted cells 3" xfId="1142"/>
    <cellStyle name="Pre-inputted cells 3 2" xfId="1143"/>
    <cellStyle name="Pre-inputted cells 3 2 2" xfId="1456"/>
    <cellStyle name="Pre-inputted cells 3 3" xfId="1455"/>
    <cellStyle name="Pre-inputted cells 4" xfId="1144"/>
    <cellStyle name="Pre-inputted cells 4 2" xfId="1145"/>
    <cellStyle name="Pre-inputted cells 4 2 2" xfId="1458"/>
    <cellStyle name="Pre-inputted cells 4 3" xfId="1457"/>
    <cellStyle name="Pre-inputted cells 5" xfId="1146"/>
    <cellStyle name="Pre-inputted cells 5 2" xfId="1147"/>
    <cellStyle name="Pre-inputted cells 5 2 2" xfId="1460"/>
    <cellStyle name="Pre-inputted cells 5 3" xfId="1459"/>
    <cellStyle name="Pre-inputted cells 6" xfId="34"/>
    <cellStyle name="Pre-inputted cells 6 2" xfId="1612"/>
    <cellStyle name="Pre-inputted cells 7" xfId="1148"/>
    <cellStyle name="Pre-inputted cells 7 2" xfId="1461"/>
    <cellStyle name="Pre-inputted cells 8" xfId="1452"/>
    <cellStyle name="RangeName" xfId="1149"/>
    <cellStyle name="RIGs" xfId="1150"/>
    <cellStyle name="RIGs 2" xfId="1151"/>
    <cellStyle name="RIGs input cells" xfId="1152"/>
    <cellStyle name="RIGs input cells 2" xfId="1153"/>
    <cellStyle name="RIGs input cells 2 2" xfId="1154"/>
    <cellStyle name="RIGs input cells 2 2 2" xfId="1155"/>
    <cellStyle name="RIGs input cells 2 2 2 2" xfId="1467"/>
    <cellStyle name="RIGs input cells 2 2 3" xfId="1466"/>
    <cellStyle name="RIGs input cells 2 3" xfId="1156"/>
    <cellStyle name="RIGs input cells 2 3 2" xfId="1468"/>
    <cellStyle name="RIGs input cells 2 4" xfId="1465"/>
    <cellStyle name="RIGs input cells 3" xfId="1157"/>
    <cellStyle name="RIGs input cells 3 2" xfId="1158"/>
    <cellStyle name="RIGs input cells 3 2 2" xfId="1159"/>
    <cellStyle name="RIGs input cells 3 2 2 2" xfId="1323"/>
    <cellStyle name="RIGs input cells 3 2 3" xfId="1479"/>
    <cellStyle name="RIGs input cells 3 3" xfId="1160"/>
    <cellStyle name="RIGs input cells 3 3 2" xfId="1480"/>
    <cellStyle name="RIGs input cells 3 4" xfId="1478"/>
    <cellStyle name="RIGs input cells 4" xfId="1161"/>
    <cellStyle name="RIGs input cells 4 2" xfId="1162"/>
    <cellStyle name="RIGs input cells 4 2 2" xfId="1482"/>
    <cellStyle name="RIGs input cells 4 3" xfId="1481"/>
    <cellStyle name="RIGs input cells 5" xfId="1163"/>
    <cellStyle name="RIGs input cells 5 2" xfId="1164"/>
    <cellStyle name="RIGs input cells 5 2 2" xfId="1484"/>
    <cellStyle name="RIGs input cells 5 3" xfId="1483"/>
    <cellStyle name="RIGs input cells 6" xfId="1165"/>
    <cellStyle name="RIGs input cells 6 2" xfId="1166"/>
    <cellStyle name="RIGs input cells 6 2 2" xfId="1485"/>
    <cellStyle name="RIGs input cells 6 3" xfId="1326"/>
    <cellStyle name="RIGs input cells 7" xfId="1167"/>
    <cellStyle name="RIGs input cells 7 2" xfId="1486"/>
    <cellStyle name="RIGs input cells 8" xfId="1464"/>
    <cellStyle name="RIGs input totals" xfId="1168"/>
    <cellStyle name="RIGs input totals 2" xfId="1169"/>
    <cellStyle name="RIGs input totals 2 2" xfId="1170"/>
    <cellStyle name="RIGs input totals 2 2 2" xfId="1171"/>
    <cellStyle name="RIGs input totals 2 2 2 2" xfId="1490"/>
    <cellStyle name="RIGs input totals 2 2 3" xfId="1489"/>
    <cellStyle name="RIGs input totals 2 3" xfId="1172"/>
    <cellStyle name="RIGs input totals 2 3 2" xfId="1173"/>
    <cellStyle name="RIGs input totals 2 3 2 2" xfId="1491"/>
    <cellStyle name="RIGs input totals 2 3 3" xfId="1608"/>
    <cellStyle name="RIGs input totals 2 4" xfId="1174"/>
    <cellStyle name="RIGs input totals 2 4 2" xfId="1492"/>
    <cellStyle name="RIGs input totals 2 5" xfId="1175"/>
    <cellStyle name="RIGs input totals 2 5 2" xfId="1493"/>
    <cellStyle name="RIGs input totals 2 6" xfId="1488"/>
    <cellStyle name="RIGs input totals 3" xfId="1176"/>
    <cellStyle name="RIGs input totals 3 2" xfId="1177"/>
    <cellStyle name="RIGs input totals 3 2 2" xfId="1495"/>
    <cellStyle name="RIGs input totals 3 3" xfId="1494"/>
    <cellStyle name="RIGs input totals 4" xfId="1178"/>
    <cellStyle name="RIGs input totals 4 2" xfId="1179"/>
    <cellStyle name="RIGs input totals 4 2 2" xfId="1497"/>
    <cellStyle name="RIGs input totals 4 3" xfId="1496"/>
    <cellStyle name="RIGs input totals 5" xfId="1180"/>
    <cellStyle name="RIGs input totals 5 2" xfId="1181"/>
    <cellStyle name="RIGs input totals 5 2 2" xfId="1499"/>
    <cellStyle name="RIGs input totals 5 3" xfId="1498"/>
    <cellStyle name="RIGs input totals 6" xfId="1182"/>
    <cellStyle name="RIGs input totals 6 2" xfId="1500"/>
    <cellStyle name="RIGs input totals 7" xfId="1183"/>
    <cellStyle name="RIGs input totals 7 2" xfId="1501"/>
    <cellStyle name="RIGs input totals 8" xfId="1487"/>
    <cellStyle name="RIGs linked cells" xfId="1184"/>
    <cellStyle name="RIGs linked cells 2" xfId="1185"/>
    <cellStyle name="RIGs linked cells 2 2" xfId="1186"/>
    <cellStyle name="RIGs linked cells 2 2 2" xfId="1503"/>
    <cellStyle name="RIGs linked cells 2 3" xfId="1502"/>
    <cellStyle name="RIGs linked cells 3" xfId="1187"/>
    <cellStyle name="RIGs linked cells 3 2" xfId="1188"/>
    <cellStyle name="RIGs linked cells 3 2 2" xfId="1505"/>
    <cellStyle name="RIGs linked cells 3 3" xfId="1189"/>
    <cellStyle name="RIGs linked cells 3 3 2" xfId="1506"/>
    <cellStyle name="RIGs linked cells 3 4" xfId="1504"/>
    <cellStyle name="RIGs linked cells 4" xfId="1190"/>
    <cellStyle name="RIGs linked cells 4 2" xfId="1191"/>
    <cellStyle name="RIGs linked cells 4 2 2" xfId="1508"/>
    <cellStyle name="RIGs linked cells 4 3" xfId="1507"/>
    <cellStyle name="RIGs linked cells 5" xfId="1192"/>
    <cellStyle name="RIGs linked cells 5 2" xfId="1509"/>
    <cellStyle name="RIGs linked cells 6" xfId="1324"/>
    <cellStyle name="SAPBEXaggData" xfId="1193"/>
    <cellStyle name="SAPBEXaggData 2" xfId="1550"/>
    <cellStyle name="SAPBEXaggData 3" xfId="1510"/>
    <cellStyle name="SAPBEXaggData 4" xfId="1404"/>
    <cellStyle name="SAPBEXaggData 5" xfId="1625"/>
    <cellStyle name="SAPBEXaggData 6" xfId="1393"/>
    <cellStyle name="SAPBEXaggData 7" xfId="1614"/>
    <cellStyle name="SAPBEXaggData 8" xfId="1918"/>
    <cellStyle name="SAPBEXaggData 9" xfId="1947"/>
    <cellStyle name="SAPBEXaggDataEmph" xfId="1194"/>
    <cellStyle name="SAPBEXaggDataEmph 2" xfId="1551"/>
    <cellStyle name="SAPBEXaggDataEmph 3" xfId="1511"/>
    <cellStyle name="SAPBEXaggDataEmph 4" xfId="1405"/>
    <cellStyle name="SAPBEXaggDataEmph 5" xfId="1626"/>
    <cellStyle name="SAPBEXaggDataEmph 6" xfId="1394"/>
    <cellStyle name="SAPBEXaggDataEmph 7" xfId="1615"/>
    <cellStyle name="SAPBEXaggDataEmph 8" xfId="1917"/>
    <cellStyle name="SAPBEXaggDataEmph 9" xfId="1948"/>
    <cellStyle name="SAPBEXaggItem" xfId="1195"/>
    <cellStyle name="SAPBEXaggItem 2" xfId="1552"/>
    <cellStyle name="SAPBEXaggItem 3" xfId="1325"/>
    <cellStyle name="SAPBEXaggItem 4" xfId="1406"/>
    <cellStyle name="SAPBEXaggItem 5" xfId="1627"/>
    <cellStyle name="SAPBEXaggItem 6" xfId="1395"/>
    <cellStyle name="SAPBEXaggItem 7" xfId="1616"/>
    <cellStyle name="SAPBEXaggItem 8" xfId="1916"/>
    <cellStyle name="SAPBEXaggItem 9" xfId="1949"/>
    <cellStyle name="SAPBEXaggItemX" xfId="1196"/>
    <cellStyle name="SAPBEXaggItemX 2" xfId="1407"/>
    <cellStyle name="SAPBEXaggItemX 3" xfId="1628"/>
    <cellStyle name="SAPBEXaggItemX 4" xfId="1396"/>
    <cellStyle name="SAPBEXaggItemX 5" xfId="1617"/>
    <cellStyle name="SAPBEXaggItemX 6" xfId="1915"/>
    <cellStyle name="SAPBEXchaText" xfId="1197"/>
    <cellStyle name="SAPBEXchaText 2" xfId="1553"/>
    <cellStyle name="SAPBEXchaText 3" xfId="1513"/>
    <cellStyle name="SAPBEXchaText 4" xfId="1408"/>
    <cellStyle name="SAPBEXchaText 5" xfId="1629"/>
    <cellStyle name="SAPBEXchaText 6" xfId="1397"/>
    <cellStyle name="SAPBEXchaText 7" xfId="1618"/>
    <cellStyle name="SAPBEXchaText 8" xfId="1914"/>
    <cellStyle name="SAPBEXchaText 9" xfId="1950"/>
    <cellStyle name="SAPBEXexcBad7" xfId="1198"/>
    <cellStyle name="SAPBEXexcBad7 2" xfId="1554"/>
    <cellStyle name="SAPBEXexcBad7 3" xfId="1514"/>
    <cellStyle name="SAPBEXexcBad7 4" xfId="1409"/>
    <cellStyle name="SAPBEXexcBad7 5" xfId="1630"/>
    <cellStyle name="SAPBEXexcBad7 6" xfId="1398"/>
    <cellStyle name="SAPBEXexcBad7 7" xfId="1619"/>
    <cellStyle name="SAPBEXexcBad7 8" xfId="1913"/>
    <cellStyle name="SAPBEXexcBad7 9" xfId="1951"/>
    <cellStyle name="SAPBEXexcBad8" xfId="1199"/>
    <cellStyle name="SAPBEXexcBad8 2" xfId="1555"/>
    <cellStyle name="SAPBEXexcBad8 3" xfId="1515"/>
    <cellStyle name="SAPBEXexcBad8 4" xfId="1410"/>
    <cellStyle name="SAPBEXexcBad8 5" xfId="1631"/>
    <cellStyle name="SAPBEXexcBad8 6" xfId="1399"/>
    <cellStyle name="SAPBEXexcBad8 7" xfId="1620"/>
    <cellStyle name="SAPBEXexcBad8 8" xfId="1912"/>
    <cellStyle name="SAPBEXexcBad8 9" xfId="1952"/>
    <cellStyle name="SAPBEXexcBad9" xfId="1200"/>
    <cellStyle name="SAPBEXexcBad9 2" xfId="1411"/>
    <cellStyle name="SAPBEXexcBad9 3" xfId="1632"/>
    <cellStyle name="SAPBEXexcBad9 4" xfId="1400"/>
    <cellStyle name="SAPBEXexcBad9 5" xfId="1911"/>
    <cellStyle name="SAPBEXexcCritical4" xfId="1201"/>
    <cellStyle name="SAPBEXexcCritical4 2" xfId="1557"/>
    <cellStyle name="SAPBEXexcCritical4 3" xfId="1517"/>
    <cellStyle name="SAPBEXexcCritical4 4" xfId="1412"/>
    <cellStyle name="SAPBEXexcCritical4 5" xfId="1633"/>
    <cellStyle name="SAPBEXexcCritical4 6" xfId="1401"/>
    <cellStyle name="SAPBEXexcCritical4 7" xfId="1621"/>
    <cellStyle name="SAPBEXexcCritical4 8" xfId="1910"/>
    <cellStyle name="SAPBEXexcCritical4 9" xfId="1953"/>
    <cellStyle name="SAPBEXexcCritical5" xfId="1202"/>
    <cellStyle name="SAPBEXexcCritical5 2" xfId="1558"/>
    <cellStyle name="SAPBEXexcCritical5 3" xfId="1518"/>
    <cellStyle name="SAPBEXexcCritical5 4" xfId="1593"/>
    <cellStyle name="SAPBEXexcCritical5 5" xfId="1634"/>
    <cellStyle name="SAPBEXexcCritical5 6" xfId="1402"/>
    <cellStyle name="SAPBEXexcCritical5 7" xfId="1622"/>
    <cellStyle name="SAPBEXexcCritical5 8" xfId="1909"/>
    <cellStyle name="SAPBEXexcCritical5 9" xfId="1954"/>
    <cellStyle name="SAPBEXexcCritical6" xfId="1203"/>
    <cellStyle name="SAPBEXexcCritical6 2" xfId="1559"/>
    <cellStyle name="SAPBEXexcCritical6 3" xfId="1603"/>
    <cellStyle name="SAPBEXexcCritical6 4" xfId="1413"/>
    <cellStyle name="SAPBEXexcCritical6 5" xfId="1635"/>
    <cellStyle name="SAPBEXexcCritical6 6" xfId="1403"/>
    <cellStyle name="SAPBEXexcCritical6 7" xfId="1623"/>
    <cellStyle name="SAPBEXexcCritical6 8" xfId="1908"/>
    <cellStyle name="SAPBEXexcCritical6 9" xfId="1955"/>
    <cellStyle name="SAPBEXexcGood1" xfId="1204"/>
    <cellStyle name="SAPBEXexcGood1 2" xfId="1560"/>
    <cellStyle name="SAPBEXexcGood1 3" xfId="1519"/>
    <cellStyle name="SAPBEXexcGood1 4" xfId="1414"/>
    <cellStyle name="SAPBEXexcGood1 5" xfId="1636"/>
    <cellStyle name="SAPBEXexcGood1 6" xfId="1607"/>
    <cellStyle name="SAPBEXexcGood1 7" xfId="1624"/>
    <cellStyle name="SAPBEXexcGood1 8" xfId="1907"/>
    <cellStyle name="SAPBEXexcGood1 9" xfId="1956"/>
    <cellStyle name="SAPBEXexcGood2" xfId="1205"/>
    <cellStyle name="SAPBEXexcGood2 2" xfId="1561"/>
    <cellStyle name="SAPBEXexcGood2 3" xfId="1520"/>
    <cellStyle name="SAPBEXexcGood2 4" xfId="1415"/>
    <cellStyle name="SAPBEXexcGood2 5" xfId="1637"/>
    <cellStyle name="SAPBEXexcGood2 6" xfId="1432"/>
    <cellStyle name="SAPBEXexcGood2 7" xfId="1644"/>
    <cellStyle name="SAPBEXexcGood2 8" xfId="1906"/>
    <cellStyle name="SAPBEXexcGood2 9" xfId="1957"/>
    <cellStyle name="SAPBEXexcGood3" xfId="1206"/>
    <cellStyle name="SAPBEXexcGood3 2" xfId="1562"/>
    <cellStyle name="SAPBEXexcGood3 3" xfId="1521"/>
    <cellStyle name="SAPBEXexcGood3 4" xfId="1416"/>
    <cellStyle name="SAPBEXexcGood3 5" xfId="1638"/>
    <cellStyle name="SAPBEXexcGood3 6" xfId="1602"/>
    <cellStyle name="SAPBEXexcGood3 7" xfId="1649"/>
    <cellStyle name="SAPBEXexcGood3 8" xfId="1905"/>
    <cellStyle name="SAPBEXexcGood3 9" xfId="1958"/>
    <cellStyle name="SAPBEXfilterDrill" xfId="1207"/>
    <cellStyle name="SAPBEXfilterDrill 2" xfId="1417"/>
    <cellStyle name="SAPBEXfilterDrill 3" xfId="1639"/>
    <cellStyle name="SAPBEXfilterDrill 4" xfId="1601"/>
    <cellStyle name="SAPBEXfilterDrill 5" xfId="1904"/>
    <cellStyle name="SAPBEXfilterItem" xfId="1208"/>
    <cellStyle name="SAPBEXfilterItem 2" xfId="1418"/>
    <cellStyle name="SAPBEXfilterItem 3" xfId="1640"/>
    <cellStyle name="SAPBEXfilterItem 4" xfId="1545"/>
    <cellStyle name="SAPBEXfilterItem 5" xfId="1903"/>
    <cellStyle name="SAPBEXfilterText" xfId="1209"/>
    <cellStyle name="SAPBEXfilterText 2" xfId="1419"/>
    <cellStyle name="SAPBEXfilterText 3" xfId="1641"/>
    <cellStyle name="SAPBEXfilterText 4" xfId="1546"/>
    <cellStyle name="SAPBEXfilterText 5" xfId="1902"/>
    <cellStyle name="SAPBEXformats" xfId="1210"/>
    <cellStyle name="SAPBEXformats 2" xfId="1564"/>
    <cellStyle name="SAPBEXformats 3" xfId="1525"/>
    <cellStyle name="SAPBEXformats 4" xfId="1420"/>
    <cellStyle name="SAPBEXformats 5" xfId="1642"/>
    <cellStyle name="SAPBEXformats 6" xfId="1547"/>
    <cellStyle name="SAPBEXformats 7" xfId="1698"/>
    <cellStyle name="SAPBEXformats 8" xfId="1901"/>
    <cellStyle name="SAPBEXformats 9" xfId="1959"/>
    <cellStyle name="SAPBEXheaderItem" xfId="1211"/>
    <cellStyle name="SAPBEXheaderItem 2" xfId="1212"/>
    <cellStyle name="SAPBEXheaderItem 3" xfId="1421"/>
    <cellStyle name="SAPBEXheaderItem 4" xfId="1643"/>
    <cellStyle name="SAPBEXheaderItem 5" xfId="1548"/>
    <cellStyle name="SAPBEXheaderItem 6" xfId="1900"/>
    <cellStyle name="SAPBEXheaderItem_0910 GSO Capex RRP - Final (Detail) v2 220710" xfId="1213"/>
    <cellStyle name="SAPBEXheaderText" xfId="1214"/>
    <cellStyle name="SAPBEXheaderText 2" xfId="1215"/>
    <cellStyle name="SAPBEXheaderText 3" xfId="1431"/>
    <cellStyle name="SAPBEXheaderText 4" xfId="1645"/>
    <cellStyle name="SAPBEXheaderText 5" xfId="1549"/>
    <cellStyle name="SAPBEXheaderText 6" xfId="1899"/>
    <cellStyle name="SAPBEXheaderText_0910 GSO Capex RRP - Final (Detail) v2 220710" xfId="1216"/>
    <cellStyle name="SAPBEXHLevel0" xfId="1217"/>
    <cellStyle name="SAPBEXHLevel0 10" xfId="1960"/>
    <cellStyle name="SAPBEXHLevel0 2" xfId="1218"/>
    <cellStyle name="SAPBEXHLevel0 2 2" xfId="1434"/>
    <cellStyle name="SAPBEXHLevel0 2 3" xfId="1651"/>
    <cellStyle name="SAPBEXHLevel0 2 4" xfId="1714"/>
    <cellStyle name="SAPBEXHLevel0 2 5" xfId="1776"/>
    <cellStyle name="SAPBEXHLevel0 2 6" xfId="1897"/>
    <cellStyle name="SAPBEXHLevel0 3" xfId="1570"/>
    <cellStyle name="SAPBEXHLevel0 4" xfId="1531"/>
    <cellStyle name="SAPBEXHLevel0 5" xfId="1433"/>
    <cellStyle name="SAPBEXHLevel0 6" xfId="1650"/>
    <cellStyle name="SAPBEXHLevel0 7" xfId="1713"/>
    <cellStyle name="SAPBEXHLevel0 8" xfId="1775"/>
    <cellStyle name="SAPBEXHLevel0 9" xfId="1898"/>
    <cellStyle name="SAPBEXHLevel0_0910 GSO Capex RRP - Final (Detail) v2 220710" xfId="1219"/>
    <cellStyle name="SAPBEXHLevel0X" xfId="1220"/>
    <cellStyle name="SAPBEXHLevel0X 2" xfId="1221"/>
    <cellStyle name="SAPBEXHLevel0X 2 2" xfId="1436"/>
    <cellStyle name="SAPBEXHLevel0X 2 3" xfId="1653"/>
    <cellStyle name="SAPBEXHLevel0X 2 4" xfId="1716"/>
    <cellStyle name="SAPBEXHLevel0X 2 5" xfId="1778"/>
    <cellStyle name="SAPBEXHLevel0X 2 6" xfId="1895"/>
    <cellStyle name="SAPBEXHLevel0X 3" xfId="1222"/>
    <cellStyle name="SAPBEXHLevel0X 3 10" xfId="1654"/>
    <cellStyle name="SAPBEXHLevel0X 3 11" xfId="1717"/>
    <cellStyle name="SAPBEXHLevel0X 3 12" xfId="1779"/>
    <cellStyle name="SAPBEXHLevel0X 3 13" xfId="1894"/>
    <cellStyle name="SAPBEXHLevel0X 3 2" xfId="1223"/>
    <cellStyle name="SAPBEXHLevel0X 3 2 2" xfId="1437"/>
    <cellStyle name="SAPBEXHLevel0X 3 2 3" xfId="1655"/>
    <cellStyle name="SAPBEXHLevel0X 3 2 4" xfId="1718"/>
    <cellStyle name="SAPBEXHLevel0X 3 2 5" xfId="1780"/>
    <cellStyle name="SAPBEXHLevel0X 3 2 6" xfId="1893"/>
    <cellStyle name="SAPBEXHLevel0X 3 3" xfId="1224"/>
    <cellStyle name="SAPBEXHLevel0X 3 3 2" xfId="1595"/>
    <cellStyle name="SAPBEXHLevel0X 3 3 3" xfId="1656"/>
    <cellStyle name="SAPBEXHLevel0X 3 3 4" xfId="1719"/>
    <cellStyle name="SAPBEXHLevel0X 3 3 5" xfId="1781"/>
    <cellStyle name="SAPBEXHLevel0X 3 3 6" xfId="1892"/>
    <cellStyle name="SAPBEXHLevel0X 3 4" xfId="1225"/>
    <cellStyle name="SAPBEXHLevel0X 3 4 2" xfId="1439"/>
    <cellStyle name="SAPBEXHLevel0X 3 4 3" xfId="1657"/>
    <cellStyle name="SAPBEXHLevel0X 3 4 4" xfId="1720"/>
    <cellStyle name="SAPBEXHLevel0X 3 4 5" xfId="1782"/>
    <cellStyle name="SAPBEXHLevel0X 3 4 6" xfId="1837"/>
    <cellStyle name="SAPBEXHLevel0X 3 5" xfId="1226"/>
    <cellStyle name="SAPBEXHLevel0X 3 5 2" xfId="1440"/>
    <cellStyle name="SAPBEXHLevel0X 3 5 3" xfId="1658"/>
    <cellStyle name="SAPBEXHLevel0X 3 5 4" xfId="1721"/>
    <cellStyle name="SAPBEXHLevel0X 3 5 5" xfId="1783"/>
    <cellStyle name="SAPBEXHLevel0X 3 5 6" xfId="1838"/>
    <cellStyle name="SAPBEXHLevel0X 3 6" xfId="1227"/>
    <cellStyle name="SAPBEXHLevel0X 3 6 2" xfId="1441"/>
    <cellStyle name="SAPBEXHLevel0X 3 6 3" xfId="1659"/>
    <cellStyle name="SAPBEXHLevel0X 3 6 4" xfId="1722"/>
    <cellStyle name="SAPBEXHLevel0X 3 6 5" xfId="1784"/>
    <cellStyle name="SAPBEXHLevel0X 3 6 6" xfId="1891"/>
    <cellStyle name="SAPBEXHLevel0X 3 7" xfId="1228"/>
    <cellStyle name="SAPBEXHLevel0X 3 7 2" xfId="1442"/>
    <cellStyle name="SAPBEXHLevel0X 3 7 3" xfId="1660"/>
    <cellStyle name="SAPBEXHLevel0X 3 7 4" xfId="1723"/>
    <cellStyle name="SAPBEXHLevel0X 3 7 5" xfId="1785"/>
    <cellStyle name="SAPBEXHLevel0X 3 7 6" xfId="1890"/>
    <cellStyle name="SAPBEXHLevel0X 3 8" xfId="1229"/>
    <cellStyle name="SAPBEXHLevel0X 3 8 2" xfId="1599"/>
    <cellStyle name="SAPBEXHLevel0X 3 8 3" xfId="1661"/>
    <cellStyle name="SAPBEXHLevel0X 3 8 4" xfId="1724"/>
    <cellStyle name="SAPBEXHLevel0X 3 8 5" xfId="1786"/>
    <cellStyle name="SAPBEXHLevel0X 3 8 6" xfId="1889"/>
    <cellStyle name="SAPBEXHLevel0X 3 9" xfId="1609"/>
    <cellStyle name="SAPBEXHLevel0X 4" xfId="1435"/>
    <cellStyle name="SAPBEXHLevel0X 5" xfId="1652"/>
    <cellStyle name="SAPBEXHLevel0X 6" xfId="1715"/>
    <cellStyle name="SAPBEXHLevel0X 7" xfId="1777"/>
    <cellStyle name="SAPBEXHLevel0X 8" xfId="1896"/>
    <cellStyle name="SAPBEXHLevel0X_0910 GSO Capex RRP - Final (Detail) v2 220710" xfId="1230"/>
    <cellStyle name="SAPBEXHLevel1" xfId="1231"/>
    <cellStyle name="SAPBEXHLevel1 10" xfId="1961"/>
    <cellStyle name="SAPBEXHLevel1 2" xfId="1232"/>
    <cellStyle name="SAPBEXHLevel1 2 2" xfId="1444"/>
    <cellStyle name="SAPBEXHLevel1 2 3" xfId="1663"/>
    <cellStyle name="SAPBEXHLevel1 2 4" xfId="1726"/>
    <cellStyle name="SAPBEXHLevel1 2 5" xfId="1788"/>
    <cellStyle name="SAPBEXHLevel1 2 6" xfId="1887"/>
    <cellStyle name="SAPBEXHLevel1 3" xfId="1577"/>
    <cellStyle name="SAPBEXHLevel1 4" xfId="1543"/>
    <cellStyle name="SAPBEXHLevel1 5" xfId="1443"/>
    <cellStyle name="SAPBEXHLevel1 6" xfId="1662"/>
    <cellStyle name="SAPBEXHLevel1 7" xfId="1725"/>
    <cellStyle name="SAPBEXHLevel1 8" xfId="1787"/>
    <cellStyle name="SAPBEXHLevel1 9" xfId="1888"/>
    <cellStyle name="SAPBEXHLevel1_0910 GSO Capex RRP - Final (Detail) v2 220710" xfId="1233"/>
    <cellStyle name="SAPBEXHLevel1X" xfId="1234"/>
    <cellStyle name="SAPBEXHLevel1X 2" xfId="1235"/>
    <cellStyle name="SAPBEXHLevel1X 2 2" xfId="1591"/>
    <cellStyle name="SAPBEXHLevel1X 2 3" xfId="1665"/>
    <cellStyle name="SAPBEXHLevel1X 2 4" xfId="1728"/>
    <cellStyle name="SAPBEXHLevel1X 2 5" xfId="1790"/>
    <cellStyle name="SAPBEXHLevel1X 2 6" xfId="1885"/>
    <cellStyle name="SAPBEXHLevel1X 3" xfId="1236"/>
    <cellStyle name="SAPBEXHLevel1X 3 10" xfId="1666"/>
    <cellStyle name="SAPBEXHLevel1X 3 11" xfId="1729"/>
    <cellStyle name="SAPBEXHLevel1X 3 12" xfId="1791"/>
    <cellStyle name="SAPBEXHLevel1X 3 13" xfId="1884"/>
    <cellStyle name="SAPBEXHLevel1X 3 2" xfId="1237"/>
    <cellStyle name="SAPBEXHLevel1X 3 2 2" xfId="1446"/>
    <cellStyle name="SAPBEXHLevel1X 3 2 3" xfId="1667"/>
    <cellStyle name="SAPBEXHLevel1X 3 2 4" xfId="1730"/>
    <cellStyle name="SAPBEXHLevel1X 3 2 5" xfId="1792"/>
    <cellStyle name="SAPBEXHLevel1X 3 2 6" xfId="1883"/>
    <cellStyle name="SAPBEXHLevel1X 3 3" xfId="1238"/>
    <cellStyle name="SAPBEXHLevel1X 3 3 2" xfId="1447"/>
    <cellStyle name="SAPBEXHLevel1X 3 3 3" xfId="1668"/>
    <cellStyle name="SAPBEXHLevel1X 3 3 4" xfId="1731"/>
    <cellStyle name="SAPBEXHLevel1X 3 3 5" xfId="1793"/>
    <cellStyle name="SAPBEXHLevel1X 3 3 6" xfId="1882"/>
    <cellStyle name="SAPBEXHLevel1X 3 4" xfId="1239"/>
    <cellStyle name="SAPBEXHLevel1X 3 4 2" xfId="1448"/>
    <cellStyle name="SAPBEXHLevel1X 3 4 3" xfId="1669"/>
    <cellStyle name="SAPBEXHLevel1X 3 4 4" xfId="1732"/>
    <cellStyle name="SAPBEXHLevel1X 3 4 5" xfId="1794"/>
    <cellStyle name="SAPBEXHLevel1X 3 4 6" xfId="1881"/>
    <cellStyle name="SAPBEXHLevel1X 3 5" xfId="1240"/>
    <cellStyle name="SAPBEXHLevel1X 3 5 2" xfId="1449"/>
    <cellStyle name="SAPBEXHLevel1X 3 5 3" xfId="1670"/>
    <cellStyle name="SAPBEXHLevel1X 3 5 4" xfId="1733"/>
    <cellStyle name="SAPBEXHLevel1X 3 5 5" xfId="1795"/>
    <cellStyle name="SAPBEXHLevel1X 3 5 6" xfId="1880"/>
    <cellStyle name="SAPBEXHLevel1X 3 6" xfId="1241"/>
    <cellStyle name="SAPBEXHLevel1X 3 6 2" xfId="1450"/>
    <cellStyle name="SAPBEXHLevel1X 3 6 3" xfId="1671"/>
    <cellStyle name="SAPBEXHLevel1X 3 6 4" xfId="1734"/>
    <cellStyle name="SAPBEXHLevel1X 3 6 5" xfId="1796"/>
    <cellStyle name="SAPBEXHLevel1X 3 6 6" xfId="1879"/>
    <cellStyle name="SAPBEXHLevel1X 3 7" xfId="1242"/>
    <cellStyle name="SAPBEXHLevel1X 3 7 2" xfId="1451"/>
    <cellStyle name="SAPBEXHLevel1X 3 7 3" xfId="1672"/>
    <cellStyle name="SAPBEXHLevel1X 3 7 4" xfId="1735"/>
    <cellStyle name="SAPBEXHLevel1X 3 7 5" xfId="1797"/>
    <cellStyle name="SAPBEXHLevel1X 3 7 6" xfId="1878"/>
    <cellStyle name="SAPBEXHLevel1X 3 8" xfId="1243"/>
    <cellStyle name="SAPBEXHLevel1X 3 8 2" xfId="1613"/>
    <cellStyle name="SAPBEXHLevel1X 3 8 3" xfId="1673"/>
    <cellStyle name="SAPBEXHLevel1X 3 8 4" xfId="1736"/>
    <cellStyle name="SAPBEXHLevel1X 3 8 5" xfId="1798"/>
    <cellStyle name="SAPBEXHLevel1X 3 8 6" xfId="1877"/>
    <cellStyle name="SAPBEXHLevel1X 3 9" xfId="1445"/>
    <cellStyle name="SAPBEXHLevel1X 4" xfId="1592"/>
    <cellStyle name="SAPBEXHLevel1X 5" xfId="1664"/>
    <cellStyle name="SAPBEXHLevel1X 6" xfId="1727"/>
    <cellStyle name="SAPBEXHLevel1X 7" xfId="1789"/>
    <cellStyle name="SAPBEXHLevel1X 8" xfId="1886"/>
    <cellStyle name="SAPBEXHLevel1X_0910 GSO Capex RRP - Final (Detail) v2 220710" xfId="1244"/>
    <cellStyle name="SAPBEXHLevel2" xfId="1245"/>
    <cellStyle name="SAPBEXHLevel2 10" xfId="1962"/>
    <cellStyle name="SAPBEXHLevel2 2" xfId="1246"/>
    <cellStyle name="SAPBEXHLevel2 2 2" xfId="1463"/>
    <cellStyle name="SAPBEXHLevel2 2 3" xfId="1675"/>
    <cellStyle name="SAPBEXHLevel2 2 4" xfId="1738"/>
    <cellStyle name="SAPBEXHLevel2 2 5" xfId="1800"/>
    <cellStyle name="SAPBEXHLevel2 2 6" xfId="1875"/>
    <cellStyle name="SAPBEXHLevel2 3" xfId="1583"/>
    <cellStyle name="SAPBEXHLevel2 4" xfId="1556"/>
    <cellStyle name="SAPBEXHLevel2 5" xfId="1462"/>
    <cellStyle name="SAPBEXHLevel2 6" xfId="1674"/>
    <cellStyle name="SAPBEXHLevel2 7" xfId="1737"/>
    <cellStyle name="SAPBEXHLevel2 8" xfId="1799"/>
    <cellStyle name="SAPBEXHLevel2 9" xfId="1876"/>
    <cellStyle name="SAPBEXHLevel2_0910 GSO Capex RRP - Final (Detail) v2 220710" xfId="1247"/>
    <cellStyle name="SAPBEXHLevel2X" xfId="1248"/>
    <cellStyle name="SAPBEXHLevel2X 2" xfId="1249"/>
    <cellStyle name="SAPBEXHLevel2X 2 2" xfId="1516"/>
    <cellStyle name="SAPBEXHLevel2X 2 3" xfId="1677"/>
    <cellStyle name="SAPBEXHLevel2X 2 4" xfId="1740"/>
    <cellStyle name="SAPBEXHLevel2X 2 5" xfId="1802"/>
    <cellStyle name="SAPBEXHLevel2X 2 6" xfId="1873"/>
    <cellStyle name="SAPBEXHLevel2X 3" xfId="1250"/>
    <cellStyle name="SAPBEXHLevel2X 3 10" xfId="1678"/>
    <cellStyle name="SAPBEXHLevel2X 3 11" xfId="1741"/>
    <cellStyle name="SAPBEXHLevel2X 3 12" xfId="1803"/>
    <cellStyle name="SAPBEXHLevel2X 3 13" xfId="1872"/>
    <cellStyle name="SAPBEXHLevel2X 3 2" xfId="1251"/>
    <cellStyle name="SAPBEXHLevel2X 3 2 2" xfId="1523"/>
    <cellStyle name="SAPBEXHLevel2X 3 2 3" xfId="1679"/>
    <cellStyle name="SAPBEXHLevel2X 3 2 4" xfId="1742"/>
    <cellStyle name="SAPBEXHLevel2X 3 2 5" xfId="1804"/>
    <cellStyle name="SAPBEXHLevel2X 3 2 6" xfId="1871"/>
    <cellStyle name="SAPBEXHLevel2X 3 3" xfId="1252"/>
    <cellStyle name="SAPBEXHLevel2X 3 3 2" xfId="1524"/>
    <cellStyle name="SAPBEXHLevel2X 3 3 3" xfId="1680"/>
    <cellStyle name="SAPBEXHLevel2X 3 3 4" xfId="1743"/>
    <cellStyle name="SAPBEXHLevel2X 3 3 5" xfId="1805"/>
    <cellStyle name="SAPBEXHLevel2X 3 3 6" xfId="1870"/>
    <cellStyle name="SAPBEXHLevel2X 3 4" xfId="1253"/>
    <cellStyle name="SAPBEXHLevel2X 3 4 2" xfId="1526"/>
    <cellStyle name="SAPBEXHLevel2X 3 4 3" xfId="1681"/>
    <cellStyle name="SAPBEXHLevel2X 3 4 4" xfId="1744"/>
    <cellStyle name="SAPBEXHLevel2X 3 4 5" xfId="1806"/>
    <cellStyle name="SAPBEXHLevel2X 3 4 6" xfId="1869"/>
    <cellStyle name="SAPBEXHLevel2X 3 5" xfId="1254"/>
    <cellStyle name="SAPBEXHLevel2X 3 5 2" xfId="1527"/>
    <cellStyle name="SAPBEXHLevel2X 3 5 3" xfId="1682"/>
    <cellStyle name="SAPBEXHLevel2X 3 5 4" xfId="1745"/>
    <cellStyle name="SAPBEXHLevel2X 3 5 5" xfId="1807"/>
    <cellStyle name="SAPBEXHLevel2X 3 5 6" xfId="1868"/>
    <cellStyle name="SAPBEXHLevel2X 3 6" xfId="1255"/>
    <cellStyle name="SAPBEXHLevel2X 3 6 2" xfId="1528"/>
    <cellStyle name="SAPBEXHLevel2X 3 6 3" xfId="1683"/>
    <cellStyle name="SAPBEXHLevel2X 3 6 4" xfId="1746"/>
    <cellStyle name="SAPBEXHLevel2X 3 6 5" xfId="1808"/>
    <cellStyle name="SAPBEXHLevel2X 3 6 6" xfId="1867"/>
    <cellStyle name="SAPBEXHLevel2X 3 7" xfId="1256"/>
    <cellStyle name="SAPBEXHLevel2X 3 7 2" xfId="1529"/>
    <cellStyle name="SAPBEXHLevel2X 3 7 3" xfId="1684"/>
    <cellStyle name="SAPBEXHLevel2X 3 7 4" xfId="1747"/>
    <cellStyle name="SAPBEXHLevel2X 3 7 5" xfId="1809"/>
    <cellStyle name="SAPBEXHLevel2X 3 7 6" xfId="1866"/>
    <cellStyle name="SAPBEXHLevel2X 3 8" xfId="1257"/>
    <cellStyle name="SAPBEXHLevel2X 3 8 2" xfId="1530"/>
    <cellStyle name="SAPBEXHLevel2X 3 8 3" xfId="1685"/>
    <cellStyle name="SAPBEXHLevel2X 3 8 4" xfId="1748"/>
    <cellStyle name="SAPBEXHLevel2X 3 8 5" xfId="1810"/>
    <cellStyle name="SAPBEXHLevel2X 3 8 6" xfId="1865"/>
    <cellStyle name="SAPBEXHLevel2X 3 9" xfId="1522"/>
    <cellStyle name="SAPBEXHLevel2X 4" xfId="1512"/>
    <cellStyle name="SAPBEXHLevel2X 5" xfId="1676"/>
    <cellStyle name="SAPBEXHLevel2X 6" xfId="1739"/>
    <cellStyle name="SAPBEXHLevel2X 7" xfId="1801"/>
    <cellStyle name="SAPBEXHLevel2X 8" xfId="1874"/>
    <cellStyle name="SAPBEXHLevel2X_0910 GSO Capex RRP - Final (Detail) v2 220710" xfId="1258"/>
    <cellStyle name="SAPBEXHLevel3" xfId="1259"/>
    <cellStyle name="SAPBEXHLevel3 10" xfId="1963"/>
    <cellStyle name="SAPBEXHLevel3 2" xfId="1260"/>
    <cellStyle name="SAPBEXHLevel3 2 2" xfId="1533"/>
    <cellStyle name="SAPBEXHLevel3 2 3" xfId="1687"/>
    <cellStyle name="SAPBEXHLevel3 2 4" xfId="1750"/>
    <cellStyle name="SAPBEXHLevel3 2 5" xfId="1812"/>
    <cellStyle name="SAPBEXHLevel3 2 6" xfId="1863"/>
    <cellStyle name="SAPBEXHLevel3 3" xfId="1587"/>
    <cellStyle name="SAPBEXHLevel3 4" xfId="1574"/>
    <cellStyle name="SAPBEXHLevel3 5" xfId="1532"/>
    <cellStyle name="SAPBEXHLevel3 6" xfId="1686"/>
    <cellStyle name="SAPBEXHLevel3 7" xfId="1749"/>
    <cellStyle name="SAPBEXHLevel3 8" xfId="1811"/>
    <cellStyle name="SAPBEXHLevel3 9" xfId="1864"/>
    <cellStyle name="SAPBEXHLevel3_0910 GSO Capex RRP - Final (Detail) v2 220710" xfId="1261"/>
    <cellStyle name="SAPBEXHLevel3X" xfId="1262"/>
    <cellStyle name="SAPBEXHLevel3X 2" xfId="1263"/>
    <cellStyle name="SAPBEXHLevel3X 2 2" xfId="1535"/>
    <cellStyle name="SAPBEXHLevel3X 2 3" xfId="1689"/>
    <cellStyle name="SAPBEXHLevel3X 2 4" xfId="1752"/>
    <cellStyle name="SAPBEXHLevel3X 2 5" xfId="1814"/>
    <cellStyle name="SAPBEXHLevel3X 2 6" xfId="1861"/>
    <cellStyle name="SAPBEXHLevel3X 3" xfId="1264"/>
    <cellStyle name="SAPBEXHLevel3X 3 10" xfId="1690"/>
    <cellStyle name="SAPBEXHLevel3X 3 11" xfId="1753"/>
    <cellStyle name="SAPBEXHLevel3X 3 12" xfId="1815"/>
    <cellStyle name="SAPBEXHLevel3X 3 13" xfId="1860"/>
    <cellStyle name="SAPBEXHLevel3X 3 2" xfId="1265"/>
    <cellStyle name="SAPBEXHLevel3X 3 2 2" xfId="1604"/>
    <cellStyle name="SAPBEXHLevel3X 3 2 3" xfId="1691"/>
    <cellStyle name="SAPBEXHLevel3X 3 2 4" xfId="1754"/>
    <cellStyle name="SAPBEXHLevel3X 3 2 5" xfId="1816"/>
    <cellStyle name="SAPBEXHLevel3X 3 2 6" xfId="1859"/>
    <cellStyle name="SAPBEXHLevel3X 3 3" xfId="1266"/>
    <cellStyle name="SAPBEXHLevel3X 3 3 2" xfId="1538"/>
    <cellStyle name="SAPBEXHLevel3X 3 3 3" xfId="1692"/>
    <cellStyle name="SAPBEXHLevel3X 3 3 4" xfId="1755"/>
    <cellStyle name="SAPBEXHLevel3X 3 3 5" xfId="1817"/>
    <cellStyle name="SAPBEXHLevel3X 3 3 6" xfId="1858"/>
    <cellStyle name="SAPBEXHLevel3X 3 4" xfId="1267"/>
    <cellStyle name="SAPBEXHLevel3X 3 4 2" xfId="1539"/>
    <cellStyle name="SAPBEXHLevel3X 3 4 3" xfId="1693"/>
    <cellStyle name="SAPBEXHLevel3X 3 4 4" xfId="1756"/>
    <cellStyle name="SAPBEXHLevel3X 3 4 5" xfId="1818"/>
    <cellStyle name="SAPBEXHLevel3X 3 4 6" xfId="1857"/>
    <cellStyle name="SAPBEXHLevel3X 3 5" xfId="1268"/>
    <cellStyle name="SAPBEXHLevel3X 3 5 2" xfId="1540"/>
    <cellStyle name="SAPBEXHLevel3X 3 5 3" xfId="1694"/>
    <cellStyle name="SAPBEXHLevel3X 3 5 4" xfId="1757"/>
    <cellStyle name="SAPBEXHLevel3X 3 5 5" xfId="1819"/>
    <cellStyle name="SAPBEXHLevel3X 3 5 6" xfId="1856"/>
    <cellStyle name="SAPBEXHLevel3X 3 6" xfId="1269"/>
    <cellStyle name="SAPBEXHLevel3X 3 6 2" xfId="1541"/>
    <cellStyle name="SAPBEXHLevel3X 3 6 3" xfId="1695"/>
    <cellStyle name="SAPBEXHLevel3X 3 6 4" xfId="1758"/>
    <cellStyle name="SAPBEXHLevel3X 3 6 5" xfId="1820"/>
    <cellStyle name="SAPBEXHLevel3X 3 6 6" xfId="1855"/>
    <cellStyle name="SAPBEXHLevel3X 3 7" xfId="1270"/>
    <cellStyle name="SAPBEXHLevel3X 3 7 2" xfId="1542"/>
    <cellStyle name="SAPBEXHLevel3X 3 7 3" xfId="1696"/>
    <cellStyle name="SAPBEXHLevel3X 3 7 4" xfId="1759"/>
    <cellStyle name="SAPBEXHLevel3X 3 7 5" xfId="1821"/>
    <cellStyle name="SAPBEXHLevel3X 3 7 6" xfId="1854"/>
    <cellStyle name="SAPBEXHLevel3X 3 8" xfId="1271"/>
    <cellStyle name="SAPBEXHLevel3X 3 8 2" xfId="1544"/>
    <cellStyle name="SAPBEXHLevel3X 3 8 3" xfId="1697"/>
    <cellStyle name="SAPBEXHLevel3X 3 8 4" xfId="1760"/>
    <cellStyle name="SAPBEXHLevel3X 3 8 5" xfId="1822"/>
    <cellStyle name="SAPBEXHLevel3X 3 8 6" xfId="1853"/>
    <cellStyle name="SAPBEXHLevel3X 3 9" xfId="1536"/>
    <cellStyle name="SAPBEXHLevel3X 4" xfId="1534"/>
    <cellStyle name="SAPBEXHLevel3X 5" xfId="1688"/>
    <cellStyle name="SAPBEXHLevel3X 6" xfId="1751"/>
    <cellStyle name="SAPBEXHLevel3X 7" xfId="1813"/>
    <cellStyle name="SAPBEXHLevel3X 8" xfId="1862"/>
    <cellStyle name="SAPBEXHLevel3X_0910 GSO Capex RRP - Final (Detail) v2 220710" xfId="1272"/>
    <cellStyle name="SAPBEXinputData" xfId="1273"/>
    <cellStyle name="SAPBEXinputData 2" xfId="1274"/>
    <cellStyle name="SAPBEXinputData 2 2" xfId="1581"/>
    <cellStyle name="SAPBEXinputData 3" xfId="1275"/>
    <cellStyle name="SAPBEXinputData 3 2" xfId="1276"/>
    <cellStyle name="SAPBEXinputData 3 3" xfId="1277"/>
    <cellStyle name="SAPBEXinputData 3 4" xfId="1278"/>
    <cellStyle name="SAPBEXinputData 3 5" xfId="1279"/>
    <cellStyle name="SAPBEXinputData 3 6" xfId="1280"/>
    <cellStyle name="SAPBEXinputData 3 7" xfId="1281"/>
    <cellStyle name="SAPBEXinputData 3 8" xfId="1282"/>
    <cellStyle name="SAPBEXinputData_0910 GSO Capex RRP - Final (Detail) v2 220710" xfId="1283"/>
    <cellStyle name="SAPBEXItemHeader" xfId="1284"/>
    <cellStyle name="SAPBEXItemHeader 2" xfId="1563"/>
    <cellStyle name="SAPBEXItemHeader 3" xfId="1699"/>
    <cellStyle name="SAPBEXItemHeader 4" xfId="1761"/>
    <cellStyle name="SAPBEXItemHeader 5" xfId="1823"/>
    <cellStyle name="SAPBEXItemHeader 6" xfId="1852"/>
    <cellStyle name="SAPBEXresData" xfId="1285"/>
    <cellStyle name="SAPBEXresData 2" xfId="1565"/>
    <cellStyle name="SAPBEXresData 3" xfId="1700"/>
    <cellStyle name="SAPBEXresData 4" xfId="1762"/>
    <cellStyle name="SAPBEXresData 5" xfId="1824"/>
    <cellStyle name="SAPBEXresData 6" xfId="1851"/>
    <cellStyle name="SAPBEXresDataEmph" xfId="1286"/>
    <cellStyle name="SAPBEXresDataEmph 2" xfId="1584"/>
    <cellStyle name="SAPBEXresItem" xfId="1287"/>
    <cellStyle name="SAPBEXresItem 2" xfId="1566"/>
    <cellStyle name="SAPBEXresItem 3" xfId="1701"/>
    <cellStyle name="SAPBEXresItem 4" xfId="1763"/>
    <cellStyle name="SAPBEXresItem 5" xfId="1825"/>
    <cellStyle name="SAPBEXresItem 6" xfId="1850"/>
    <cellStyle name="SAPBEXresItemX" xfId="1288"/>
    <cellStyle name="SAPBEXresItemX 2" xfId="1567"/>
    <cellStyle name="SAPBEXresItemX 3" xfId="1702"/>
    <cellStyle name="SAPBEXresItemX 4" xfId="1764"/>
    <cellStyle name="SAPBEXresItemX 5" xfId="1826"/>
    <cellStyle name="SAPBEXresItemX 6" xfId="1849"/>
    <cellStyle name="SAPBEXstdData" xfId="1289"/>
    <cellStyle name="SAPBEXstdData 2" xfId="1596"/>
    <cellStyle name="SAPBEXstdData 3" xfId="1585"/>
    <cellStyle name="SAPBEXstdData 4" xfId="1568"/>
    <cellStyle name="SAPBEXstdData 5" xfId="1703"/>
    <cellStyle name="SAPBEXstdData 6" xfId="1765"/>
    <cellStyle name="SAPBEXstdData 7" xfId="1827"/>
    <cellStyle name="SAPBEXstdData 8" xfId="1848"/>
    <cellStyle name="SAPBEXstdData 9" xfId="1964"/>
    <cellStyle name="SAPBEXstdDataEmph" xfId="1290"/>
    <cellStyle name="SAPBEXstdDataEmph 2" xfId="1597"/>
    <cellStyle name="SAPBEXstdDataEmph 3" xfId="1586"/>
    <cellStyle name="SAPBEXstdDataEmph 4" xfId="1569"/>
    <cellStyle name="SAPBEXstdDataEmph 5" xfId="1704"/>
    <cellStyle name="SAPBEXstdDataEmph 6" xfId="1766"/>
    <cellStyle name="SAPBEXstdDataEmph 7" xfId="1828"/>
    <cellStyle name="SAPBEXstdDataEmph 8" xfId="1847"/>
    <cellStyle name="SAPBEXstdDataEmph 9" xfId="1965"/>
    <cellStyle name="SAPBEXstdItem" xfId="1291"/>
    <cellStyle name="SAPBEXstdItem 2" xfId="1598"/>
    <cellStyle name="SAPBEXstdItem 3" xfId="1588"/>
    <cellStyle name="SAPBEXstdItem 4" xfId="1571"/>
    <cellStyle name="SAPBEXstdItem 5" xfId="1705"/>
    <cellStyle name="SAPBEXstdItem 6" xfId="1767"/>
    <cellStyle name="SAPBEXstdItem 7" xfId="1829"/>
    <cellStyle name="SAPBEXstdItem 8" xfId="1846"/>
    <cellStyle name="SAPBEXstdItem 9" xfId="1966"/>
    <cellStyle name="SAPBEXstdItemX" xfId="1292"/>
    <cellStyle name="SAPBEXstdItemX 2" xfId="1572"/>
    <cellStyle name="SAPBEXstdItemX 3" xfId="1706"/>
    <cellStyle name="SAPBEXstdItemX 4" xfId="1768"/>
    <cellStyle name="SAPBEXstdItemX 5" xfId="1830"/>
    <cellStyle name="SAPBEXstdItemX 6" xfId="1845"/>
    <cellStyle name="SAPBEXtitle" xfId="1293"/>
    <cellStyle name="SAPBEXtitle 2" xfId="1573"/>
    <cellStyle name="SAPBEXtitle 3" xfId="1707"/>
    <cellStyle name="SAPBEXtitle 4" xfId="1769"/>
    <cellStyle name="SAPBEXtitle 5" xfId="1844"/>
    <cellStyle name="SAPBEXunassignedItem" xfId="1294"/>
    <cellStyle name="SAPBEXunassignedItem 2" xfId="1589"/>
    <cellStyle name="SAPBEXundefined" xfId="1295"/>
    <cellStyle name="SAPBEXundefined 2" xfId="1600"/>
    <cellStyle name="SAPBEXundefined 3" xfId="1590"/>
    <cellStyle name="SAPBEXundefined 4" xfId="1575"/>
    <cellStyle name="SAPBEXundefined 5" xfId="1708"/>
    <cellStyle name="SAPBEXundefined 6" xfId="1770"/>
    <cellStyle name="SAPBEXundefined 7" xfId="1831"/>
    <cellStyle name="SAPBEXundefined 8" xfId="1843"/>
    <cellStyle name="SAPBEXundefined 9" xfId="1967"/>
    <cellStyle name="Sheet Title" xfId="1296"/>
    <cellStyle name="Standard_Anpassen der Amortisation" xfId="1297"/>
    <cellStyle name="Style 1" xfId="1298"/>
    <cellStyle name="Sub-total" xfId="1299"/>
    <cellStyle name="Sub-total 2" xfId="1646"/>
    <cellStyle name="Sub-total 3" xfId="1576"/>
    <cellStyle name="Sub-total 4" xfId="1709"/>
    <cellStyle name="Sub-total 5" xfId="1771"/>
    <cellStyle name="Sub-total 6" xfId="1832"/>
    <cellStyle name="Sub-total 7" xfId="1842"/>
    <cellStyle name="swpBody01" xfId="1300"/>
    <cellStyle name="Title 2" xfId="1301"/>
    <cellStyle name="Title 3" xfId="1302"/>
    <cellStyle name="Total 1" xfId="1303"/>
    <cellStyle name="Total 1 2" xfId="1594"/>
    <cellStyle name="Total 1 3" xfId="1578"/>
    <cellStyle name="Total 1 4" xfId="1710"/>
    <cellStyle name="Total 1 5" xfId="1772"/>
    <cellStyle name="Total 1 6" xfId="1833"/>
    <cellStyle name="Total 1 7" xfId="1841"/>
    <cellStyle name="Total 2" xfId="1304"/>
    <cellStyle name="Total 2 2" xfId="1579"/>
    <cellStyle name="Total 2 3" xfId="1711"/>
    <cellStyle name="Total 2 4" xfId="1773"/>
    <cellStyle name="Total 2 5" xfId="1834"/>
    <cellStyle name="Total 2 6" xfId="1840"/>
    <cellStyle name="Total 3" xfId="1305"/>
    <cellStyle name="Total 3 2" xfId="1580"/>
    <cellStyle name="Total 3 3" xfId="1712"/>
    <cellStyle name="Total 3 4" xfId="1774"/>
    <cellStyle name="Total 3 5" xfId="1835"/>
    <cellStyle name="Total 3 6" xfId="1839"/>
    <cellStyle name="Totals" xfId="1306"/>
    <cellStyle name="Währung [0]_Compiling Utility Macros" xfId="1307"/>
    <cellStyle name="Währung_Compiling Utility Macros" xfId="1308"/>
    <cellStyle name="Warning Text 2" xfId="1309"/>
    <cellStyle name="Warning Text 3" xfId="1310"/>
    <cellStyle name="Yellow" xfId="1311"/>
    <cellStyle name="Yellow 2" xfId="1312"/>
    <cellStyle name="Yellow 2 2" xfId="1313"/>
    <cellStyle name="Yellow 2 3" xfId="1314"/>
    <cellStyle name="Yellow 2 4" xfId="1315"/>
    <cellStyle name="Yellow 2 5" xfId="1316"/>
    <cellStyle name="Yellow 2 6" xfId="1317"/>
    <cellStyle name="Yellow 2 7" xfId="1318"/>
    <cellStyle name="Yellow 2 8" xfId="1319"/>
  </cellStyles>
  <dxfs count="0"/>
  <tableStyles count="0" defaultTableStyle="TableStyleMedium2" defaultPivotStyle="PivotStyleLight16"/>
  <colors>
    <mruColors>
      <color rgb="FFFFFFCC"/>
      <color rgb="FF2062AF"/>
      <color rgb="FF00B2BF"/>
      <color rgb="FFF57F29"/>
      <color rgb="FFCD151B"/>
      <color rgb="FF45216F"/>
      <color rgb="FFCD1543"/>
      <color rgb="FFD0B00E"/>
      <color rgb="FFA28F5C"/>
      <color rgb="FFA1AB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33"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sz="1400" b="1" i="0" baseline="0">
                <a:solidFill>
                  <a:schemeClr val="tx1"/>
                </a:solidFill>
                <a:effectLst/>
              </a:rPr>
              <a:t>SSO survey</a:t>
            </a:r>
            <a:endParaRPr lang="en-US" sz="1400" b="1">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1641094863142107"/>
          <c:y val="0.16747623903326325"/>
          <c:w val="0.866657834437362"/>
          <c:h val="0.62448392872634395"/>
        </c:manualLayout>
      </c:layout>
      <c:barChart>
        <c:barDir val="col"/>
        <c:grouping val="clustered"/>
        <c:varyColors val="0"/>
        <c:ser>
          <c:idx val="3"/>
          <c:order val="0"/>
          <c:tx>
            <c:strRef>
              <c:f>'Incentives - charts '!$B$7</c:f>
              <c:strCache>
                <c:ptCount val="1"/>
                <c:pt idx="0">
                  <c:v>2016-17</c:v>
                </c:pt>
              </c:strCache>
            </c:strRef>
          </c:tx>
          <c:spPr>
            <a:solidFill>
              <a:srgbClr val="CD1543"/>
            </a:solidFill>
            <a:ln>
              <a:noFill/>
            </a:ln>
            <a:effectLst/>
          </c:spPr>
          <c:invertIfNegative val="0"/>
          <c:cat>
            <c:strRef>
              <c:f>'Incentives - charts '!$C$6:$E$6</c:f>
              <c:strCache>
                <c:ptCount val="3"/>
                <c:pt idx="0">
                  <c:v>SPT</c:v>
                </c:pt>
                <c:pt idx="1">
                  <c:v>SHET</c:v>
                </c:pt>
                <c:pt idx="2">
                  <c:v>NGET</c:v>
                </c:pt>
              </c:strCache>
            </c:strRef>
          </c:cat>
          <c:val>
            <c:numRef>
              <c:f>'Incentives - charts '!$C$7:$E$7</c:f>
              <c:numCache>
                <c:formatCode>0.0</c:formatCode>
                <c:ptCount val="3"/>
                <c:pt idx="0">
                  <c:v>7.9</c:v>
                </c:pt>
                <c:pt idx="1">
                  <c:v>8.6999999999999993</c:v>
                </c:pt>
                <c:pt idx="2">
                  <c:v>7.6609999999999996</c:v>
                </c:pt>
              </c:numCache>
            </c:numRef>
          </c:val>
          <c:extLst>
            <c:ext xmlns:c16="http://schemas.microsoft.com/office/drawing/2014/chart" uri="{C3380CC4-5D6E-409C-BE32-E72D297353CC}">
              <c16:uniqueId val="{00000000-4DCE-4642-B194-887F3D1D5EDD}"/>
            </c:ext>
          </c:extLst>
        </c:ser>
        <c:ser>
          <c:idx val="4"/>
          <c:order val="1"/>
          <c:tx>
            <c:strRef>
              <c:f>'Incentives - charts '!$B$8</c:f>
              <c:strCache>
                <c:ptCount val="1"/>
                <c:pt idx="0">
                  <c:v>2017-18</c:v>
                </c:pt>
              </c:strCache>
            </c:strRef>
          </c:tx>
          <c:spPr>
            <a:solidFill>
              <a:srgbClr val="2062AF"/>
            </a:solidFill>
            <a:ln>
              <a:noFill/>
            </a:ln>
            <a:effectLst/>
          </c:spPr>
          <c:invertIfNegative val="0"/>
          <c:cat>
            <c:strRef>
              <c:f>'Incentives - charts '!$C$6:$E$6</c:f>
              <c:strCache>
                <c:ptCount val="3"/>
                <c:pt idx="0">
                  <c:v>SPT</c:v>
                </c:pt>
                <c:pt idx="1">
                  <c:v>SHET</c:v>
                </c:pt>
                <c:pt idx="2">
                  <c:v>NGET</c:v>
                </c:pt>
              </c:strCache>
            </c:strRef>
          </c:cat>
          <c:val>
            <c:numRef>
              <c:f>'Incentives - charts '!$C$8:$E$8</c:f>
              <c:numCache>
                <c:formatCode>0.0</c:formatCode>
                <c:ptCount val="3"/>
                <c:pt idx="0">
                  <c:v>8.3000000000000007</c:v>
                </c:pt>
                <c:pt idx="1">
                  <c:v>8</c:v>
                </c:pt>
                <c:pt idx="2">
                  <c:v>7.883</c:v>
                </c:pt>
              </c:numCache>
            </c:numRef>
          </c:val>
          <c:extLst>
            <c:ext xmlns:c16="http://schemas.microsoft.com/office/drawing/2014/chart" uri="{C3380CC4-5D6E-409C-BE32-E72D297353CC}">
              <c16:uniqueId val="{00000001-4DCE-4642-B194-887F3D1D5EDD}"/>
            </c:ext>
          </c:extLst>
        </c:ser>
        <c:ser>
          <c:idx val="5"/>
          <c:order val="2"/>
          <c:tx>
            <c:strRef>
              <c:f>'Incentives - charts '!$B$9</c:f>
              <c:strCache>
                <c:ptCount val="1"/>
                <c:pt idx="0">
                  <c:v>2018-19</c:v>
                </c:pt>
              </c:strCache>
            </c:strRef>
          </c:tx>
          <c:spPr>
            <a:solidFill>
              <a:srgbClr val="00B2BF"/>
            </a:solidFill>
            <a:ln>
              <a:noFill/>
            </a:ln>
            <a:effectLst/>
          </c:spPr>
          <c:invertIfNegative val="0"/>
          <c:cat>
            <c:strRef>
              <c:f>'Incentives - charts '!$C$6:$E$6</c:f>
              <c:strCache>
                <c:ptCount val="3"/>
                <c:pt idx="0">
                  <c:v>SPT</c:v>
                </c:pt>
                <c:pt idx="1">
                  <c:v>SHET</c:v>
                </c:pt>
                <c:pt idx="2">
                  <c:v>NGET</c:v>
                </c:pt>
              </c:strCache>
            </c:strRef>
          </c:cat>
          <c:val>
            <c:numRef>
              <c:f>'Incentives - charts '!$C$9:$E$9</c:f>
              <c:numCache>
                <c:formatCode>0.0</c:formatCode>
                <c:ptCount val="3"/>
                <c:pt idx="0">
                  <c:v>8.5</c:v>
                </c:pt>
                <c:pt idx="1">
                  <c:v>8.1999999999999993</c:v>
                </c:pt>
                <c:pt idx="2">
                  <c:v>7.9189999999999996</c:v>
                </c:pt>
              </c:numCache>
            </c:numRef>
          </c:val>
          <c:extLst>
            <c:ext xmlns:c16="http://schemas.microsoft.com/office/drawing/2014/chart" uri="{C3380CC4-5D6E-409C-BE32-E72D297353CC}">
              <c16:uniqueId val="{00000002-4DCE-4642-B194-887F3D1D5EDD}"/>
            </c:ext>
          </c:extLst>
        </c:ser>
        <c:dLbls>
          <c:showLegendKey val="0"/>
          <c:showVal val="0"/>
          <c:showCatName val="0"/>
          <c:showSerName val="0"/>
          <c:showPercent val="0"/>
          <c:showBubbleSize val="0"/>
        </c:dLbls>
        <c:gapWidth val="219"/>
        <c:overlap val="-27"/>
        <c:axId val="861874448"/>
        <c:axId val="861873792"/>
      </c:barChart>
      <c:catAx>
        <c:axId val="861874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861873792"/>
        <c:crosses val="autoZero"/>
        <c:auto val="1"/>
        <c:lblAlgn val="ctr"/>
        <c:lblOffset val="100"/>
        <c:noMultiLvlLbl val="0"/>
      </c:catAx>
      <c:valAx>
        <c:axId val="861873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Score out of 10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187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'8-year TO forecasts'!$AT$6</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0-5E4F-4B55-AEAD-9F4319013AA1}"/>
              </c:ext>
            </c:extLst>
          </c:dPt>
          <c:dPt>
            <c:idx val="1"/>
            <c:invertIfNegative val="0"/>
            <c:bubble3D val="0"/>
            <c:spPr>
              <a:solidFill>
                <a:srgbClr val="45216F"/>
              </a:solidFill>
              <a:ln>
                <a:noFill/>
              </a:ln>
              <a:effectLst/>
            </c:spPr>
            <c:extLst>
              <c:ext xmlns:c16="http://schemas.microsoft.com/office/drawing/2014/chart" uri="{C3380CC4-5D6E-409C-BE32-E72D297353CC}">
                <c16:uniqueId val="{00000001-5E4F-4B55-AEAD-9F4319013AA1}"/>
              </c:ext>
            </c:extLst>
          </c:dPt>
          <c:dPt>
            <c:idx val="2"/>
            <c:invertIfNegative val="0"/>
            <c:bubble3D val="0"/>
            <c:spPr>
              <a:solidFill>
                <a:srgbClr val="D0B00E"/>
              </a:solidFill>
              <a:ln>
                <a:noFill/>
              </a:ln>
              <a:effectLst/>
            </c:spPr>
            <c:extLst>
              <c:ext xmlns:c16="http://schemas.microsoft.com/office/drawing/2014/chart" uri="{C3380CC4-5D6E-409C-BE32-E72D297353CC}">
                <c16:uniqueId val="{00000002-5E4F-4B55-AEAD-9F4319013AA1}"/>
              </c:ext>
            </c:extLst>
          </c:dPt>
          <c:dPt>
            <c:idx val="3"/>
            <c:invertIfNegative val="0"/>
            <c:bubble3D val="0"/>
            <c:spPr>
              <a:solidFill>
                <a:srgbClr val="CD1543"/>
              </a:solidFill>
              <a:ln>
                <a:noFill/>
              </a:ln>
              <a:effectLst/>
            </c:spPr>
            <c:extLst>
              <c:ext xmlns:c16="http://schemas.microsoft.com/office/drawing/2014/chart" uri="{C3380CC4-5D6E-409C-BE32-E72D297353CC}">
                <c16:uniqueId val="{00000003-5E4F-4B55-AEAD-9F4319013AA1}"/>
              </c:ext>
            </c:extLst>
          </c:dPt>
          <c:dPt>
            <c:idx val="4"/>
            <c:invertIfNegative val="0"/>
            <c:bubble3D val="0"/>
            <c:spPr>
              <a:solidFill>
                <a:srgbClr val="2062AF"/>
              </a:solidFill>
              <a:ln>
                <a:noFill/>
              </a:ln>
              <a:effectLst/>
            </c:spPr>
            <c:extLst>
              <c:ext xmlns:c16="http://schemas.microsoft.com/office/drawing/2014/chart" uri="{C3380CC4-5D6E-409C-BE32-E72D297353CC}">
                <c16:uniqueId val="{00000004-5E4F-4B55-AEAD-9F4319013AA1}"/>
              </c:ext>
            </c:extLst>
          </c:dPt>
          <c:dPt>
            <c:idx val="5"/>
            <c:invertIfNegative val="0"/>
            <c:bubble3D val="0"/>
            <c:spPr>
              <a:solidFill>
                <a:srgbClr val="00B2BF"/>
              </a:solidFill>
              <a:ln>
                <a:noFill/>
              </a:ln>
              <a:effectLst/>
            </c:spPr>
            <c:extLst>
              <c:ext xmlns:c16="http://schemas.microsoft.com/office/drawing/2014/chart" uri="{C3380CC4-5D6E-409C-BE32-E72D297353CC}">
                <c16:uniqueId val="{00000005-5E4F-4B55-AEAD-9F4319013AA1}"/>
              </c:ext>
            </c:extLst>
          </c:dPt>
          <c:cat>
            <c:numRef>
              <c:f>'8-year TO forecasts'!$AU$5:$BB$5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forecasts'!$AU$6:$BB$6</c:f>
              <c:numCache>
                <c:formatCode>0</c:formatCode>
                <c:ptCount val="8"/>
                <c:pt idx="0">
                  <c:v>196.38302580721339</c:v>
                </c:pt>
                <c:pt idx="1">
                  <c:v>373.63621689329955</c:v>
                </c:pt>
                <c:pt idx="2">
                  <c:v>572.07752166658429</c:v>
                </c:pt>
                <c:pt idx="3">
                  <c:v>493.51051402403232</c:v>
                </c:pt>
                <c:pt idx="4">
                  <c:v>444.10980902322922</c:v>
                </c:pt>
                <c:pt idx="5">
                  <c:v>345.36469510887093</c:v>
                </c:pt>
              </c:numCache>
            </c:numRef>
          </c:val>
          <c:extLst>
            <c:ext xmlns:c16="http://schemas.microsoft.com/office/drawing/2014/chart" uri="{C3380CC4-5D6E-409C-BE32-E72D297353CC}">
              <c16:uniqueId val="{00000000-68DC-4CE4-BEFA-1686D1491982}"/>
            </c:ext>
          </c:extLst>
        </c:ser>
        <c:ser>
          <c:idx val="1"/>
          <c:order val="1"/>
          <c:tx>
            <c:strRef>
              <c:f>'8-year TO forecasts'!$AT$7</c:f>
              <c:strCache>
                <c:ptCount val="1"/>
                <c:pt idx="0">
                  <c:v>Forecast expenditure</c:v>
                </c:pt>
              </c:strCache>
            </c:strRef>
          </c:tx>
          <c:spPr>
            <a:solidFill>
              <a:schemeClr val="accent2"/>
            </a:solidFill>
            <a:ln>
              <a:noFill/>
            </a:ln>
            <a:effectLst/>
          </c:spPr>
          <c:invertIfNegative val="0"/>
          <c:dPt>
            <c:idx val="6"/>
            <c:invertIfNegative val="0"/>
            <c:bubble3D val="0"/>
            <c:spPr>
              <a:solidFill>
                <a:srgbClr val="A1ABA8"/>
              </a:solidFill>
              <a:ln>
                <a:noFill/>
              </a:ln>
              <a:effectLst/>
            </c:spPr>
            <c:extLst>
              <c:ext xmlns:c16="http://schemas.microsoft.com/office/drawing/2014/chart" uri="{C3380CC4-5D6E-409C-BE32-E72D297353CC}">
                <c16:uniqueId val="{00000006-5E4F-4B55-AEAD-9F4319013AA1}"/>
              </c:ext>
            </c:extLst>
          </c:dPt>
          <c:dPt>
            <c:idx val="7"/>
            <c:invertIfNegative val="0"/>
            <c:bubble3D val="0"/>
            <c:spPr>
              <a:solidFill>
                <a:srgbClr val="A28F5C"/>
              </a:solidFill>
              <a:ln>
                <a:noFill/>
              </a:ln>
              <a:effectLst/>
            </c:spPr>
            <c:extLst>
              <c:ext xmlns:c16="http://schemas.microsoft.com/office/drawing/2014/chart" uri="{C3380CC4-5D6E-409C-BE32-E72D297353CC}">
                <c16:uniqueId val="{00000007-5E4F-4B55-AEAD-9F4319013AA1}"/>
              </c:ext>
            </c:extLst>
          </c:dPt>
          <c:cat>
            <c:numRef>
              <c:f>'8-year TO forecasts'!$AU$5:$BB$5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forecasts'!$AU$7:$BB$7</c:f>
              <c:numCache>
                <c:formatCode>General</c:formatCode>
                <c:ptCount val="8"/>
                <c:pt idx="6" formatCode="#,##0.0;[Red]\(#,##0.0\)">
                  <c:v>426.93614741957992</c:v>
                </c:pt>
                <c:pt idx="7" formatCode="#,##0.0;[Red]\(#,##0.0\)">
                  <c:v>940.91078485912226</c:v>
                </c:pt>
              </c:numCache>
            </c:numRef>
          </c:val>
          <c:extLst>
            <c:ext xmlns:c16="http://schemas.microsoft.com/office/drawing/2014/chart" uri="{C3380CC4-5D6E-409C-BE32-E72D297353CC}">
              <c16:uniqueId val="{00000001-68DC-4CE4-BEFA-1686D1491982}"/>
            </c:ext>
          </c:extLst>
        </c:ser>
        <c:dLbls>
          <c:showLegendKey val="0"/>
          <c:showVal val="0"/>
          <c:showCatName val="0"/>
          <c:showSerName val="0"/>
          <c:showPercent val="0"/>
          <c:showBubbleSize val="0"/>
        </c:dLbls>
        <c:gapWidth val="150"/>
        <c:axId val="957595680"/>
        <c:axId val="957596008"/>
      </c:barChart>
      <c:lineChart>
        <c:grouping val="standard"/>
        <c:varyColors val="0"/>
        <c:ser>
          <c:idx val="2"/>
          <c:order val="2"/>
          <c:tx>
            <c:strRef>
              <c:f>'8-year TO forecasts'!$AT$8</c:f>
              <c:strCache>
                <c:ptCount val="1"/>
                <c:pt idx="0">
                  <c:v>Forecast adjusted allowance</c:v>
                </c:pt>
              </c:strCache>
            </c:strRef>
          </c:tx>
          <c:spPr>
            <a:ln w="28575" cap="rnd">
              <a:solidFill>
                <a:schemeClr val="tx1"/>
              </a:solidFill>
              <a:round/>
            </a:ln>
            <a:effectLst/>
          </c:spPr>
          <c:marker>
            <c:symbol val="none"/>
          </c:marker>
          <c:cat>
            <c:numRef>
              <c:f>'8-year TO forecasts'!$AU$5:$BB$5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forecasts'!$AU$8:$BB$8</c:f>
              <c:numCache>
                <c:formatCode>0.0</c:formatCode>
                <c:ptCount val="8"/>
                <c:pt idx="0">
                  <c:v>263.93933533272536</c:v>
                </c:pt>
                <c:pt idx="1">
                  <c:v>462.62723954291118</c:v>
                </c:pt>
                <c:pt idx="2">
                  <c:v>876.38530297672946</c:v>
                </c:pt>
                <c:pt idx="3">
                  <c:v>738.50993836624161</c:v>
                </c:pt>
                <c:pt idx="4">
                  <c:v>480.18537511847865</c:v>
                </c:pt>
                <c:pt idx="5">
                  <c:v>263.79201078756489</c:v>
                </c:pt>
                <c:pt idx="6">
                  <c:v>304.93994228357286</c:v>
                </c:pt>
                <c:pt idx="7">
                  <c:v>719.47007018869488</c:v>
                </c:pt>
              </c:numCache>
            </c:numRef>
          </c:val>
          <c:smooth val="0"/>
          <c:extLst>
            <c:ext xmlns:c16="http://schemas.microsoft.com/office/drawing/2014/chart" uri="{C3380CC4-5D6E-409C-BE32-E72D297353CC}">
              <c16:uniqueId val="{00000002-68DC-4CE4-BEFA-1686D1491982}"/>
            </c:ext>
          </c:extLst>
        </c:ser>
        <c:dLbls>
          <c:showLegendKey val="0"/>
          <c:showVal val="0"/>
          <c:showCatName val="0"/>
          <c:showSerName val="0"/>
          <c:showPercent val="0"/>
          <c:showBubbleSize val="0"/>
        </c:dLbls>
        <c:marker val="1"/>
        <c:smooth val="0"/>
        <c:axId val="957595680"/>
        <c:axId val="957596008"/>
      </c:lineChart>
      <c:catAx>
        <c:axId val="95759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596008"/>
        <c:crosses val="autoZero"/>
        <c:auto val="1"/>
        <c:lblAlgn val="ctr"/>
        <c:lblOffset val="100"/>
        <c:noMultiLvlLbl val="0"/>
      </c:catAx>
      <c:valAx>
        <c:axId val="957596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a:t>
                </a:r>
                <a:r>
                  <a:rPr lang="en-GB" baseline="0"/>
                  <a:t> 2018/19 prices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595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NGET TO</a:t>
            </a:r>
          </a:p>
        </c:rich>
      </c:tx>
      <c:layout>
        <c:manualLayout>
          <c:xMode val="edge"/>
          <c:yMode val="edge"/>
          <c:x val="0.42339962192032782"/>
          <c:y val="4.7781584233331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'8-year TO forecasts'!$R$39</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0-EBC2-40FB-AB0E-9AD068C658AD}"/>
              </c:ext>
            </c:extLst>
          </c:dPt>
          <c:dPt>
            <c:idx val="1"/>
            <c:invertIfNegative val="0"/>
            <c:bubble3D val="0"/>
            <c:spPr>
              <a:solidFill>
                <a:srgbClr val="45216F"/>
              </a:solidFill>
              <a:ln>
                <a:noFill/>
              </a:ln>
              <a:effectLst/>
            </c:spPr>
            <c:extLst>
              <c:ext xmlns:c16="http://schemas.microsoft.com/office/drawing/2014/chart" uri="{C3380CC4-5D6E-409C-BE32-E72D297353CC}">
                <c16:uniqueId val="{00000001-EBC2-40FB-AB0E-9AD068C658AD}"/>
              </c:ext>
            </c:extLst>
          </c:dPt>
          <c:dPt>
            <c:idx val="2"/>
            <c:invertIfNegative val="0"/>
            <c:bubble3D val="0"/>
            <c:spPr>
              <a:solidFill>
                <a:srgbClr val="D0B00E"/>
              </a:solidFill>
              <a:ln>
                <a:noFill/>
              </a:ln>
              <a:effectLst/>
            </c:spPr>
            <c:extLst>
              <c:ext xmlns:c16="http://schemas.microsoft.com/office/drawing/2014/chart" uri="{C3380CC4-5D6E-409C-BE32-E72D297353CC}">
                <c16:uniqueId val="{00000002-EBC2-40FB-AB0E-9AD068C658AD}"/>
              </c:ext>
            </c:extLst>
          </c:dPt>
          <c:dPt>
            <c:idx val="3"/>
            <c:invertIfNegative val="0"/>
            <c:bubble3D val="0"/>
            <c:spPr>
              <a:solidFill>
                <a:srgbClr val="CD151B"/>
              </a:solidFill>
              <a:ln>
                <a:noFill/>
              </a:ln>
              <a:effectLst/>
            </c:spPr>
            <c:extLst>
              <c:ext xmlns:c16="http://schemas.microsoft.com/office/drawing/2014/chart" uri="{C3380CC4-5D6E-409C-BE32-E72D297353CC}">
                <c16:uniqueId val="{00000003-EBC2-40FB-AB0E-9AD068C658AD}"/>
              </c:ext>
            </c:extLst>
          </c:dPt>
          <c:dPt>
            <c:idx val="4"/>
            <c:invertIfNegative val="0"/>
            <c:bubble3D val="0"/>
            <c:spPr>
              <a:solidFill>
                <a:srgbClr val="2062AF"/>
              </a:solidFill>
              <a:ln>
                <a:noFill/>
              </a:ln>
              <a:effectLst/>
            </c:spPr>
            <c:extLst>
              <c:ext xmlns:c16="http://schemas.microsoft.com/office/drawing/2014/chart" uri="{C3380CC4-5D6E-409C-BE32-E72D297353CC}">
                <c16:uniqueId val="{00000004-EBC2-40FB-AB0E-9AD068C658AD}"/>
              </c:ext>
            </c:extLst>
          </c:dPt>
          <c:dPt>
            <c:idx val="5"/>
            <c:invertIfNegative val="0"/>
            <c:bubble3D val="0"/>
            <c:spPr>
              <a:solidFill>
                <a:srgbClr val="00B2BF"/>
              </a:solidFill>
              <a:ln>
                <a:noFill/>
              </a:ln>
              <a:effectLst/>
            </c:spPr>
            <c:extLst>
              <c:ext xmlns:c16="http://schemas.microsoft.com/office/drawing/2014/chart" uri="{C3380CC4-5D6E-409C-BE32-E72D297353CC}">
                <c16:uniqueId val="{00000005-EBC2-40FB-AB0E-9AD068C658AD}"/>
              </c:ext>
            </c:extLst>
          </c:dPt>
          <c:cat>
            <c:numRef>
              <c:f>'8-year TO forecasts'!$S$38:$Z$38</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forecasts'!$S$39:$Z$39</c:f>
              <c:numCache>
                <c:formatCode>0</c:formatCode>
                <c:ptCount val="8"/>
                <c:pt idx="0">
                  <c:v>1581.8214727820698</c:v>
                </c:pt>
                <c:pt idx="1">
                  <c:v>1187.7046068056329</c:v>
                </c:pt>
                <c:pt idx="2">
                  <c:v>1276.2471462518715</c:v>
                </c:pt>
                <c:pt idx="3">
                  <c:v>1194.5817555178405</c:v>
                </c:pt>
                <c:pt idx="4">
                  <c:v>1099.5827748855545</c:v>
                </c:pt>
                <c:pt idx="5">
                  <c:v>1056.1570156520302</c:v>
                </c:pt>
              </c:numCache>
            </c:numRef>
          </c:val>
          <c:extLst>
            <c:ext xmlns:c16="http://schemas.microsoft.com/office/drawing/2014/chart" uri="{C3380CC4-5D6E-409C-BE32-E72D297353CC}">
              <c16:uniqueId val="{00000000-A5C3-48BA-BDD9-42AB92914FA0}"/>
            </c:ext>
          </c:extLst>
        </c:ser>
        <c:ser>
          <c:idx val="1"/>
          <c:order val="1"/>
          <c:tx>
            <c:strRef>
              <c:f>'8-year TO forecasts'!$R$40</c:f>
              <c:strCache>
                <c:ptCount val="1"/>
                <c:pt idx="0">
                  <c:v>Forecast expenditure</c:v>
                </c:pt>
              </c:strCache>
            </c:strRef>
          </c:tx>
          <c:spPr>
            <a:solidFill>
              <a:schemeClr val="accent2"/>
            </a:solidFill>
            <a:ln>
              <a:noFill/>
            </a:ln>
            <a:effectLst/>
          </c:spPr>
          <c:invertIfNegative val="0"/>
          <c:dPt>
            <c:idx val="6"/>
            <c:invertIfNegative val="0"/>
            <c:bubble3D val="0"/>
            <c:spPr>
              <a:solidFill>
                <a:srgbClr val="A1ABA8"/>
              </a:solidFill>
              <a:ln>
                <a:noFill/>
              </a:ln>
              <a:effectLst/>
            </c:spPr>
            <c:extLst>
              <c:ext xmlns:c16="http://schemas.microsoft.com/office/drawing/2014/chart" uri="{C3380CC4-5D6E-409C-BE32-E72D297353CC}">
                <c16:uniqueId val="{00000006-EBC2-40FB-AB0E-9AD068C658AD}"/>
              </c:ext>
            </c:extLst>
          </c:dPt>
          <c:dPt>
            <c:idx val="7"/>
            <c:invertIfNegative val="0"/>
            <c:bubble3D val="0"/>
            <c:spPr>
              <a:solidFill>
                <a:srgbClr val="A28F5C"/>
              </a:solidFill>
              <a:ln>
                <a:noFill/>
              </a:ln>
              <a:effectLst/>
            </c:spPr>
            <c:extLst>
              <c:ext xmlns:c16="http://schemas.microsoft.com/office/drawing/2014/chart" uri="{C3380CC4-5D6E-409C-BE32-E72D297353CC}">
                <c16:uniqueId val="{00000007-EBC2-40FB-AB0E-9AD068C658AD}"/>
              </c:ext>
            </c:extLst>
          </c:dPt>
          <c:cat>
            <c:numRef>
              <c:f>'8-year TO forecasts'!$S$38:$Z$38</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forecasts'!$S$40:$Z$40</c:f>
              <c:numCache>
                <c:formatCode>General</c:formatCode>
                <c:ptCount val="8"/>
                <c:pt idx="6" formatCode="#,##0;[Red]\(#,##0\)">
                  <c:v>1344.5226171314412</c:v>
                </c:pt>
                <c:pt idx="7" formatCode="#,##0;[Red]\(#,##0\)">
                  <c:v>1503.5468066039048</c:v>
                </c:pt>
              </c:numCache>
            </c:numRef>
          </c:val>
          <c:extLst>
            <c:ext xmlns:c16="http://schemas.microsoft.com/office/drawing/2014/chart" uri="{C3380CC4-5D6E-409C-BE32-E72D297353CC}">
              <c16:uniqueId val="{00000001-A5C3-48BA-BDD9-42AB92914FA0}"/>
            </c:ext>
          </c:extLst>
        </c:ser>
        <c:dLbls>
          <c:showLegendKey val="0"/>
          <c:showVal val="0"/>
          <c:showCatName val="0"/>
          <c:showSerName val="0"/>
          <c:showPercent val="0"/>
          <c:showBubbleSize val="0"/>
        </c:dLbls>
        <c:gapWidth val="219"/>
        <c:overlap val="-27"/>
        <c:axId val="811119504"/>
        <c:axId val="811125408"/>
      </c:barChart>
      <c:lineChart>
        <c:grouping val="standard"/>
        <c:varyColors val="0"/>
        <c:ser>
          <c:idx val="2"/>
          <c:order val="2"/>
          <c:tx>
            <c:strRef>
              <c:f>'8-year TO forecasts'!$R$41</c:f>
              <c:strCache>
                <c:ptCount val="1"/>
                <c:pt idx="0">
                  <c:v>Forecast adjusted allowance</c:v>
                </c:pt>
              </c:strCache>
            </c:strRef>
          </c:tx>
          <c:spPr>
            <a:ln w="28575" cap="rnd">
              <a:solidFill>
                <a:schemeClr val="tx1"/>
              </a:solidFill>
              <a:round/>
            </a:ln>
            <a:effectLst/>
          </c:spPr>
          <c:marker>
            <c:symbol val="none"/>
          </c:marker>
          <c:cat>
            <c:numRef>
              <c:f>'8-year TO forecasts'!$S$38:$Z$38</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forecasts'!$S$41:$Z$41</c:f>
              <c:numCache>
                <c:formatCode>0</c:formatCode>
                <c:ptCount val="8"/>
                <c:pt idx="0">
                  <c:v>2095.6808562910433</c:v>
                </c:pt>
                <c:pt idx="1">
                  <c:v>1803.1647644106956</c:v>
                </c:pt>
                <c:pt idx="2">
                  <c:v>1499.9408546911934</c:v>
                </c:pt>
                <c:pt idx="3">
                  <c:v>1379.4069257081771</c:v>
                </c:pt>
                <c:pt idx="4">
                  <c:v>1375.4459885033509</c:v>
                </c:pt>
                <c:pt idx="5">
                  <c:v>1644.5208822239645</c:v>
                </c:pt>
                <c:pt idx="6">
                  <c:v>1929.1581095150802</c:v>
                </c:pt>
                <c:pt idx="7">
                  <c:v>1943.3331139068714</c:v>
                </c:pt>
              </c:numCache>
            </c:numRef>
          </c:val>
          <c:smooth val="0"/>
          <c:extLst>
            <c:ext xmlns:c16="http://schemas.microsoft.com/office/drawing/2014/chart" uri="{C3380CC4-5D6E-409C-BE32-E72D297353CC}">
              <c16:uniqueId val="{00000002-A5C3-48BA-BDD9-42AB92914FA0}"/>
            </c:ext>
          </c:extLst>
        </c:ser>
        <c:dLbls>
          <c:showLegendKey val="0"/>
          <c:showVal val="0"/>
          <c:showCatName val="0"/>
          <c:showSerName val="0"/>
          <c:showPercent val="0"/>
          <c:showBubbleSize val="0"/>
        </c:dLbls>
        <c:marker val="1"/>
        <c:smooth val="0"/>
        <c:axId val="811119504"/>
        <c:axId val="811125408"/>
      </c:lineChart>
      <c:catAx>
        <c:axId val="811119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25408"/>
        <c:crosses val="autoZero"/>
        <c:auto val="1"/>
        <c:lblAlgn val="ctr"/>
        <c:lblOffset val="100"/>
        <c:noMultiLvlLbl val="0"/>
      </c:catAx>
      <c:valAx>
        <c:axId val="811125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a:t>
                </a:r>
                <a:r>
                  <a:rPr lang="en-GB" baseline="0"/>
                  <a:t> 2018/19 prices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19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'8-year TO forecasts'!$AT$32</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0-1343-4933-A8DA-F6097ABBAB57}"/>
              </c:ext>
            </c:extLst>
          </c:dPt>
          <c:dPt>
            <c:idx val="1"/>
            <c:invertIfNegative val="0"/>
            <c:bubble3D val="0"/>
            <c:spPr>
              <a:solidFill>
                <a:srgbClr val="45216F"/>
              </a:solidFill>
              <a:ln>
                <a:noFill/>
              </a:ln>
              <a:effectLst/>
            </c:spPr>
            <c:extLst>
              <c:ext xmlns:c16="http://schemas.microsoft.com/office/drawing/2014/chart" uri="{C3380CC4-5D6E-409C-BE32-E72D297353CC}">
                <c16:uniqueId val="{00000001-1343-4933-A8DA-F6097ABBAB57}"/>
              </c:ext>
            </c:extLst>
          </c:dPt>
          <c:dPt>
            <c:idx val="2"/>
            <c:invertIfNegative val="0"/>
            <c:bubble3D val="0"/>
            <c:spPr>
              <a:solidFill>
                <a:srgbClr val="D0B00E"/>
              </a:solidFill>
              <a:ln>
                <a:noFill/>
              </a:ln>
              <a:effectLst/>
            </c:spPr>
            <c:extLst>
              <c:ext xmlns:c16="http://schemas.microsoft.com/office/drawing/2014/chart" uri="{C3380CC4-5D6E-409C-BE32-E72D297353CC}">
                <c16:uniqueId val="{00000002-1343-4933-A8DA-F6097ABBAB57}"/>
              </c:ext>
            </c:extLst>
          </c:dPt>
          <c:dPt>
            <c:idx val="3"/>
            <c:invertIfNegative val="0"/>
            <c:bubble3D val="0"/>
            <c:spPr>
              <a:solidFill>
                <a:srgbClr val="CD151B"/>
              </a:solidFill>
              <a:ln>
                <a:noFill/>
              </a:ln>
              <a:effectLst/>
            </c:spPr>
            <c:extLst>
              <c:ext xmlns:c16="http://schemas.microsoft.com/office/drawing/2014/chart" uri="{C3380CC4-5D6E-409C-BE32-E72D297353CC}">
                <c16:uniqueId val="{00000003-1343-4933-A8DA-F6097ABBAB57}"/>
              </c:ext>
            </c:extLst>
          </c:dPt>
          <c:dPt>
            <c:idx val="4"/>
            <c:invertIfNegative val="0"/>
            <c:bubble3D val="0"/>
            <c:spPr>
              <a:solidFill>
                <a:srgbClr val="2062AF"/>
              </a:solidFill>
              <a:ln>
                <a:noFill/>
              </a:ln>
              <a:effectLst/>
            </c:spPr>
            <c:extLst>
              <c:ext xmlns:c16="http://schemas.microsoft.com/office/drawing/2014/chart" uri="{C3380CC4-5D6E-409C-BE32-E72D297353CC}">
                <c16:uniqueId val="{00000004-1343-4933-A8DA-F6097ABBAB57}"/>
              </c:ext>
            </c:extLst>
          </c:dPt>
          <c:dPt>
            <c:idx val="5"/>
            <c:invertIfNegative val="0"/>
            <c:bubble3D val="0"/>
            <c:spPr>
              <a:solidFill>
                <a:srgbClr val="00B2BF"/>
              </a:solidFill>
              <a:ln>
                <a:noFill/>
              </a:ln>
              <a:effectLst/>
            </c:spPr>
            <c:extLst>
              <c:ext xmlns:c16="http://schemas.microsoft.com/office/drawing/2014/chart" uri="{C3380CC4-5D6E-409C-BE32-E72D297353CC}">
                <c16:uniqueId val="{00000005-1343-4933-A8DA-F6097ABBAB57}"/>
              </c:ext>
            </c:extLst>
          </c:dPt>
          <c:cat>
            <c:numRef>
              <c:f>'8-year TO forecasts'!$AU$31:$BB$31</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forecasts'!$AU$32:$BB$32</c:f>
              <c:numCache>
                <c:formatCode>0</c:formatCode>
                <c:ptCount val="8"/>
                <c:pt idx="0">
                  <c:v>196.38302580721339</c:v>
                </c:pt>
                <c:pt idx="1">
                  <c:v>373.63621689329955</c:v>
                </c:pt>
                <c:pt idx="2">
                  <c:v>572.07752166658429</c:v>
                </c:pt>
                <c:pt idx="3">
                  <c:v>493.51051402403232</c:v>
                </c:pt>
                <c:pt idx="4">
                  <c:v>444.10980902322922</c:v>
                </c:pt>
                <c:pt idx="5">
                  <c:v>345.36469510887093</c:v>
                </c:pt>
              </c:numCache>
            </c:numRef>
          </c:val>
          <c:extLst>
            <c:ext xmlns:c16="http://schemas.microsoft.com/office/drawing/2014/chart" uri="{C3380CC4-5D6E-409C-BE32-E72D297353CC}">
              <c16:uniqueId val="{00000000-8BFE-4282-8D6B-8103D1A33509}"/>
            </c:ext>
          </c:extLst>
        </c:ser>
        <c:ser>
          <c:idx val="1"/>
          <c:order val="1"/>
          <c:tx>
            <c:strRef>
              <c:f>'8-year TO forecasts'!$AT$33</c:f>
              <c:strCache>
                <c:ptCount val="1"/>
                <c:pt idx="0">
                  <c:v>Forecast expenditure</c:v>
                </c:pt>
              </c:strCache>
            </c:strRef>
          </c:tx>
          <c:spPr>
            <a:solidFill>
              <a:schemeClr val="accent2"/>
            </a:solidFill>
            <a:ln>
              <a:noFill/>
            </a:ln>
            <a:effectLst/>
          </c:spPr>
          <c:invertIfNegative val="0"/>
          <c:dPt>
            <c:idx val="6"/>
            <c:invertIfNegative val="0"/>
            <c:bubble3D val="0"/>
            <c:spPr>
              <a:solidFill>
                <a:srgbClr val="A1ABA8"/>
              </a:solidFill>
              <a:ln>
                <a:noFill/>
              </a:ln>
              <a:effectLst/>
            </c:spPr>
            <c:extLst>
              <c:ext xmlns:c16="http://schemas.microsoft.com/office/drawing/2014/chart" uri="{C3380CC4-5D6E-409C-BE32-E72D297353CC}">
                <c16:uniqueId val="{00000006-1343-4933-A8DA-F6097ABBAB57}"/>
              </c:ext>
            </c:extLst>
          </c:dPt>
          <c:dPt>
            <c:idx val="7"/>
            <c:invertIfNegative val="0"/>
            <c:bubble3D val="0"/>
            <c:spPr>
              <a:solidFill>
                <a:srgbClr val="A28F5C"/>
              </a:solidFill>
              <a:ln>
                <a:noFill/>
              </a:ln>
              <a:effectLst/>
            </c:spPr>
            <c:extLst>
              <c:ext xmlns:c16="http://schemas.microsoft.com/office/drawing/2014/chart" uri="{C3380CC4-5D6E-409C-BE32-E72D297353CC}">
                <c16:uniqueId val="{00000007-1343-4933-A8DA-F6097ABBAB57}"/>
              </c:ext>
            </c:extLst>
          </c:dPt>
          <c:cat>
            <c:numRef>
              <c:f>'8-year TO forecasts'!$AU$31:$BB$31</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forecasts'!$AU$33:$BB$33</c:f>
              <c:numCache>
                <c:formatCode>General</c:formatCode>
                <c:ptCount val="8"/>
                <c:pt idx="6" formatCode="#,##0.0;[Red]\(#,##0.0\)">
                  <c:v>426.93614741957992</c:v>
                </c:pt>
                <c:pt idx="7" formatCode="#,##0.0;[Red]\(#,##0.0\)">
                  <c:v>940.91078485912226</c:v>
                </c:pt>
              </c:numCache>
            </c:numRef>
          </c:val>
          <c:extLst>
            <c:ext xmlns:c16="http://schemas.microsoft.com/office/drawing/2014/chart" uri="{C3380CC4-5D6E-409C-BE32-E72D297353CC}">
              <c16:uniqueId val="{00000001-8BFE-4282-8D6B-8103D1A33509}"/>
            </c:ext>
          </c:extLst>
        </c:ser>
        <c:dLbls>
          <c:showLegendKey val="0"/>
          <c:showVal val="0"/>
          <c:showCatName val="0"/>
          <c:showSerName val="0"/>
          <c:showPercent val="0"/>
          <c:showBubbleSize val="0"/>
        </c:dLbls>
        <c:gapWidth val="219"/>
        <c:overlap val="-27"/>
        <c:axId val="813276416"/>
        <c:axId val="813278384"/>
      </c:barChart>
      <c:lineChart>
        <c:grouping val="standard"/>
        <c:varyColors val="0"/>
        <c:ser>
          <c:idx val="2"/>
          <c:order val="2"/>
          <c:tx>
            <c:strRef>
              <c:f>'8-year TO forecasts'!$AT$34</c:f>
              <c:strCache>
                <c:ptCount val="1"/>
                <c:pt idx="0">
                  <c:v>Forecast adjusted allowance</c:v>
                </c:pt>
              </c:strCache>
            </c:strRef>
          </c:tx>
          <c:spPr>
            <a:ln w="28575" cap="rnd">
              <a:solidFill>
                <a:schemeClr val="tx1"/>
              </a:solidFill>
              <a:round/>
            </a:ln>
            <a:effectLst/>
          </c:spPr>
          <c:marker>
            <c:symbol val="none"/>
          </c:marker>
          <c:cat>
            <c:numRef>
              <c:f>'8-year TO forecasts'!$AU$31:$BB$31</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forecasts'!$AU$34:$BB$34</c:f>
              <c:numCache>
                <c:formatCode>0.0</c:formatCode>
                <c:ptCount val="8"/>
                <c:pt idx="0">
                  <c:v>263.93933533272536</c:v>
                </c:pt>
                <c:pt idx="1">
                  <c:v>462.62723954291118</c:v>
                </c:pt>
                <c:pt idx="2">
                  <c:v>876.38530297672946</c:v>
                </c:pt>
                <c:pt idx="3">
                  <c:v>738.50993836624161</c:v>
                </c:pt>
                <c:pt idx="4">
                  <c:v>480.18537511847865</c:v>
                </c:pt>
                <c:pt idx="5">
                  <c:v>263.79201078756489</c:v>
                </c:pt>
                <c:pt idx="6">
                  <c:v>273.7686265986224</c:v>
                </c:pt>
                <c:pt idx="7">
                  <c:v>688.29875450374448</c:v>
                </c:pt>
              </c:numCache>
            </c:numRef>
          </c:val>
          <c:smooth val="0"/>
          <c:extLst>
            <c:ext xmlns:c16="http://schemas.microsoft.com/office/drawing/2014/chart" uri="{C3380CC4-5D6E-409C-BE32-E72D297353CC}">
              <c16:uniqueId val="{00000002-8BFE-4282-8D6B-8103D1A33509}"/>
            </c:ext>
          </c:extLst>
        </c:ser>
        <c:dLbls>
          <c:showLegendKey val="0"/>
          <c:showVal val="0"/>
          <c:showCatName val="0"/>
          <c:showSerName val="0"/>
          <c:showPercent val="0"/>
          <c:showBubbleSize val="0"/>
        </c:dLbls>
        <c:marker val="1"/>
        <c:smooth val="0"/>
        <c:axId val="813276416"/>
        <c:axId val="813278384"/>
      </c:lineChart>
      <c:catAx>
        <c:axId val="81327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78384"/>
        <c:crosses val="autoZero"/>
        <c:auto val="1"/>
        <c:lblAlgn val="ctr"/>
        <c:lblOffset val="100"/>
        <c:noMultiLvlLbl val="0"/>
      </c:catAx>
      <c:valAx>
        <c:axId val="813278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 2018/19 prices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76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'8-year TO forecasts'!$AE$39</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0-7FEA-4D4E-9284-41079EA0EF44}"/>
              </c:ext>
            </c:extLst>
          </c:dPt>
          <c:dPt>
            <c:idx val="1"/>
            <c:invertIfNegative val="0"/>
            <c:bubble3D val="0"/>
            <c:spPr>
              <a:solidFill>
                <a:srgbClr val="45216F"/>
              </a:solidFill>
              <a:ln>
                <a:noFill/>
              </a:ln>
              <a:effectLst/>
            </c:spPr>
            <c:extLst>
              <c:ext xmlns:c16="http://schemas.microsoft.com/office/drawing/2014/chart" uri="{C3380CC4-5D6E-409C-BE32-E72D297353CC}">
                <c16:uniqueId val="{00000001-7FEA-4D4E-9284-41079EA0EF44}"/>
              </c:ext>
            </c:extLst>
          </c:dPt>
          <c:dPt>
            <c:idx val="2"/>
            <c:invertIfNegative val="0"/>
            <c:bubble3D val="0"/>
            <c:spPr>
              <a:solidFill>
                <a:srgbClr val="D0B00E"/>
              </a:solidFill>
              <a:ln>
                <a:noFill/>
              </a:ln>
              <a:effectLst/>
            </c:spPr>
            <c:extLst>
              <c:ext xmlns:c16="http://schemas.microsoft.com/office/drawing/2014/chart" uri="{C3380CC4-5D6E-409C-BE32-E72D297353CC}">
                <c16:uniqueId val="{00000002-7FEA-4D4E-9284-41079EA0EF44}"/>
              </c:ext>
            </c:extLst>
          </c:dPt>
          <c:dPt>
            <c:idx val="3"/>
            <c:invertIfNegative val="0"/>
            <c:bubble3D val="0"/>
            <c:spPr>
              <a:solidFill>
                <a:srgbClr val="CD151B"/>
              </a:solidFill>
              <a:ln>
                <a:noFill/>
              </a:ln>
              <a:effectLst/>
            </c:spPr>
            <c:extLst>
              <c:ext xmlns:c16="http://schemas.microsoft.com/office/drawing/2014/chart" uri="{C3380CC4-5D6E-409C-BE32-E72D297353CC}">
                <c16:uniqueId val="{00000003-7FEA-4D4E-9284-41079EA0EF44}"/>
              </c:ext>
            </c:extLst>
          </c:dPt>
          <c:dPt>
            <c:idx val="4"/>
            <c:invertIfNegative val="0"/>
            <c:bubble3D val="0"/>
            <c:spPr>
              <a:solidFill>
                <a:srgbClr val="2062AF"/>
              </a:solidFill>
              <a:ln>
                <a:noFill/>
              </a:ln>
              <a:effectLst/>
            </c:spPr>
            <c:extLst>
              <c:ext xmlns:c16="http://schemas.microsoft.com/office/drawing/2014/chart" uri="{C3380CC4-5D6E-409C-BE32-E72D297353CC}">
                <c16:uniqueId val="{00000004-7FEA-4D4E-9284-41079EA0EF44}"/>
              </c:ext>
            </c:extLst>
          </c:dPt>
          <c:dPt>
            <c:idx val="5"/>
            <c:invertIfNegative val="0"/>
            <c:bubble3D val="0"/>
            <c:spPr>
              <a:solidFill>
                <a:srgbClr val="00B2BF"/>
              </a:solidFill>
              <a:ln>
                <a:noFill/>
              </a:ln>
              <a:effectLst/>
            </c:spPr>
            <c:extLst>
              <c:ext xmlns:c16="http://schemas.microsoft.com/office/drawing/2014/chart" uri="{C3380CC4-5D6E-409C-BE32-E72D297353CC}">
                <c16:uniqueId val="{00000005-7FEA-4D4E-9284-41079EA0EF44}"/>
              </c:ext>
            </c:extLst>
          </c:dPt>
          <c:cat>
            <c:numRef>
              <c:f>'8-year TO forecasts'!$AF$38:$AM$38</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forecasts'!$AF$39:$AM$39</c:f>
              <c:numCache>
                <c:formatCode>0</c:formatCode>
                <c:ptCount val="8"/>
                <c:pt idx="0">
                  <c:v>269.63348326714441</c:v>
                </c:pt>
                <c:pt idx="1">
                  <c:v>308.8593873617931</c:v>
                </c:pt>
                <c:pt idx="2">
                  <c:v>388.32248587064237</c:v>
                </c:pt>
                <c:pt idx="3">
                  <c:v>369.5383897770127</c:v>
                </c:pt>
                <c:pt idx="4">
                  <c:v>246.09413700613075</c:v>
                </c:pt>
                <c:pt idx="5">
                  <c:v>186.94107354867478</c:v>
                </c:pt>
              </c:numCache>
            </c:numRef>
          </c:val>
          <c:extLst>
            <c:ext xmlns:c16="http://schemas.microsoft.com/office/drawing/2014/chart" uri="{C3380CC4-5D6E-409C-BE32-E72D297353CC}">
              <c16:uniqueId val="{00000000-A56E-48E4-A9ED-571882071528}"/>
            </c:ext>
          </c:extLst>
        </c:ser>
        <c:ser>
          <c:idx val="1"/>
          <c:order val="1"/>
          <c:tx>
            <c:strRef>
              <c:f>'8-year TO forecasts'!$AE$40</c:f>
              <c:strCache>
                <c:ptCount val="1"/>
                <c:pt idx="0">
                  <c:v>Forecast expenditure</c:v>
                </c:pt>
              </c:strCache>
            </c:strRef>
          </c:tx>
          <c:spPr>
            <a:solidFill>
              <a:srgbClr val="A1ABA8"/>
            </a:solidFill>
            <a:ln>
              <a:noFill/>
            </a:ln>
            <a:effectLst/>
          </c:spPr>
          <c:invertIfNegative val="0"/>
          <c:dPt>
            <c:idx val="7"/>
            <c:invertIfNegative val="0"/>
            <c:bubble3D val="0"/>
            <c:spPr>
              <a:solidFill>
                <a:srgbClr val="A28F5C"/>
              </a:solidFill>
              <a:ln>
                <a:noFill/>
              </a:ln>
              <a:effectLst/>
            </c:spPr>
            <c:extLst>
              <c:ext xmlns:c16="http://schemas.microsoft.com/office/drawing/2014/chart" uri="{C3380CC4-5D6E-409C-BE32-E72D297353CC}">
                <c16:uniqueId val="{00000006-7FEA-4D4E-9284-41079EA0EF44}"/>
              </c:ext>
            </c:extLst>
          </c:dPt>
          <c:cat>
            <c:numRef>
              <c:f>'8-year TO forecasts'!$AF$38:$AM$38</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forecasts'!$AF$40:$AM$40</c:f>
              <c:numCache>
                <c:formatCode>General</c:formatCode>
                <c:ptCount val="8"/>
                <c:pt idx="6" formatCode="#,##0.0;[Red]\(#,##0.0\)">
                  <c:v>237.717470981952</c:v>
                </c:pt>
                <c:pt idx="7" formatCode="#,##0.0;[Red]\(#,##0.0\)">
                  <c:v>258.3743002821638</c:v>
                </c:pt>
              </c:numCache>
            </c:numRef>
          </c:val>
          <c:extLst>
            <c:ext xmlns:c16="http://schemas.microsoft.com/office/drawing/2014/chart" uri="{C3380CC4-5D6E-409C-BE32-E72D297353CC}">
              <c16:uniqueId val="{00000001-A56E-48E4-A9ED-571882071528}"/>
            </c:ext>
          </c:extLst>
        </c:ser>
        <c:dLbls>
          <c:showLegendKey val="0"/>
          <c:showVal val="0"/>
          <c:showCatName val="0"/>
          <c:showSerName val="0"/>
          <c:showPercent val="0"/>
          <c:showBubbleSize val="0"/>
        </c:dLbls>
        <c:gapWidth val="219"/>
        <c:overlap val="-27"/>
        <c:axId val="781826000"/>
        <c:axId val="781822720"/>
      </c:barChart>
      <c:lineChart>
        <c:grouping val="standard"/>
        <c:varyColors val="0"/>
        <c:ser>
          <c:idx val="2"/>
          <c:order val="2"/>
          <c:tx>
            <c:strRef>
              <c:f>'8-year TO forecasts'!$AE$41</c:f>
              <c:strCache>
                <c:ptCount val="1"/>
                <c:pt idx="0">
                  <c:v>Forecast adjusted allowance</c:v>
                </c:pt>
              </c:strCache>
            </c:strRef>
          </c:tx>
          <c:spPr>
            <a:ln w="28575" cap="rnd">
              <a:solidFill>
                <a:schemeClr val="tx1"/>
              </a:solidFill>
              <a:round/>
            </a:ln>
            <a:effectLst/>
          </c:spPr>
          <c:marker>
            <c:symbol val="none"/>
          </c:marker>
          <c:cat>
            <c:numRef>
              <c:f>'8-year TO forecasts'!$AF$38:$AM$38</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forecasts'!$AF$41:$AM$41</c:f>
              <c:numCache>
                <c:formatCode>0.0</c:formatCode>
                <c:ptCount val="8"/>
                <c:pt idx="0">
                  <c:v>410.11873690495685</c:v>
                </c:pt>
                <c:pt idx="1">
                  <c:v>514.06635089381587</c:v>
                </c:pt>
                <c:pt idx="2">
                  <c:v>386.71182587195955</c:v>
                </c:pt>
                <c:pt idx="3">
                  <c:v>193.56355143232537</c:v>
                </c:pt>
                <c:pt idx="4">
                  <c:v>253.61852778465001</c:v>
                </c:pt>
                <c:pt idx="5">
                  <c:v>275.65967679128892</c:v>
                </c:pt>
                <c:pt idx="6">
                  <c:v>230.98324118333136</c:v>
                </c:pt>
                <c:pt idx="7">
                  <c:v>97.5490234339822</c:v>
                </c:pt>
              </c:numCache>
            </c:numRef>
          </c:val>
          <c:smooth val="0"/>
          <c:extLst>
            <c:ext xmlns:c16="http://schemas.microsoft.com/office/drawing/2014/chart" uri="{C3380CC4-5D6E-409C-BE32-E72D297353CC}">
              <c16:uniqueId val="{00000002-A56E-48E4-A9ED-571882071528}"/>
            </c:ext>
          </c:extLst>
        </c:ser>
        <c:dLbls>
          <c:showLegendKey val="0"/>
          <c:showVal val="0"/>
          <c:showCatName val="0"/>
          <c:showSerName val="0"/>
          <c:showPercent val="0"/>
          <c:showBubbleSize val="0"/>
        </c:dLbls>
        <c:marker val="1"/>
        <c:smooth val="0"/>
        <c:axId val="781736128"/>
        <c:axId val="781738752"/>
      </c:lineChart>
      <c:catAx>
        <c:axId val="7818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822720"/>
        <c:crosses val="autoZero"/>
        <c:auto val="1"/>
        <c:lblAlgn val="ctr"/>
        <c:lblOffset val="100"/>
        <c:noMultiLvlLbl val="0"/>
      </c:catAx>
      <c:valAx>
        <c:axId val="781822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a:t>
                </a:r>
                <a:r>
                  <a:rPr lang="en-GB" baseline="0"/>
                  <a:t> 2018/19 prices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826000"/>
        <c:crosses val="autoZero"/>
        <c:crossBetween val="between"/>
      </c:valAx>
      <c:valAx>
        <c:axId val="781738752"/>
        <c:scaling>
          <c:orientation val="minMax"/>
        </c:scaling>
        <c:delete val="1"/>
        <c:axPos val="r"/>
        <c:numFmt formatCode="0.0" sourceLinked="1"/>
        <c:majorTickMark val="out"/>
        <c:minorTickMark val="none"/>
        <c:tickLblPos val="nextTo"/>
        <c:crossAx val="781736128"/>
        <c:crosses val="max"/>
        <c:crossBetween val="between"/>
      </c:valAx>
      <c:catAx>
        <c:axId val="781736128"/>
        <c:scaling>
          <c:orientation val="minMax"/>
        </c:scaling>
        <c:delete val="1"/>
        <c:axPos val="b"/>
        <c:numFmt formatCode="General" sourceLinked="1"/>
        <c:majorTickMark val="out"/>
        <c:minorTickMark val="none"/>
        <c:tickLblPos val="nextTo"/>
        <c:crossAx val="781738752"/>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43597400483012E-2"/>
          <c:y val="4.9335193261879115E-2"/>
          <c:w val="0.88906662014766125"/>
          <c:h val="0.74402486182967531"/>
        </c:manualLayout>
      </c:layout>
      <c:barChart>
        <c:barDir val="col"/>
        <c:grouping val="clustered"/>
        <c:varyColors val="0"/>
        <c:ser>
          <c:idx val="0"/>
          <c:order val="0"/>
          <c:tx>
            <c:strRef>
              <c:f>'8-year TO forecasts'!$BM$6</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1-3FD5-4EAE-9AD3-BDE179F6B526}"/>
              </c:ext>
            </c:extLst>
          </c:dPt>
          <c:dPt>
            <c:idx val="1"/>
            <c:invertIfNegative val="0"/>
            <c:bubble3D val="0"/>
            <c:spPr>
              <a:solidFill>
                <a:srgbClr val="45216F"/>
              </a:solidFill>
              <a:ln>
                <a:noFill/>
              </a:ln>
              <a:effectLst/>
            </c:spPr>
            <c:extLst>
              <c:ext xmlns:c16="http://schemas.microsoft.com/office/drawing/2014/chart" uri="{C3380CC4-5D6E-409C-BE32-E72D297353CC}">
                <c16:uniqueId val="{00000003-3FD5-4EAE-9AD3-BDE179F6B526}"/>
              </c:ext>
            </c:extLst>
          </c:dPt>
          <c:dPt>
            <c:idx val="2"/>
            <c:invertIfNegative val="0"/>
            <c:bubble3D val="0"/>
            <c:spPr>
              <a:solidFill>
                <a:srgbClr val="D0B00E"/>
              </a:solidFill>
              <a:ln>
                <a:noFill/>
              </a:ln>
              <a:effectLst/>
            </c:spPr>
            <c:extLst>
              <c:ext xmlns:c16="http://schemas.microsoft.com/office/drawing/2014/chart" uri="{C3380CC4-5D6E-409C-BE32-E72D297353CC}">
                <c16:uniqueId val="{00000005-3FD5-4EAE-9AD3-BDE179F6B526}"/>
              </c:ext>
            </c:extLst>
          </c:dPt>
          <c:dPt>
            <c:idx val="3"/>
            <c:invertIfNegative val="0"/>
            <c:bubble3D val="0"/>
            <c:spPr>
              <a:solidFill>
                <a:srgbClr val="CD1543"/>
              </a:solidFill>
              <a:ln>
                <a:noFill/>
              </a:ln>
              <a:effectLst/>
            </c:spPr>
            <c:extLst>
              <c:ext xmlns:c16="http://schemas.microsoft.com/office/drawing/2014/chart" uri="{C3380CC4-5D6E-409C-BE32-E72D297353CC}">
                <c16:uniqueId val="{00000007-3FD5-4EAE-9AD3-BDE179F6B526}"/>
              </c:ext>
            </c:extLst>
          </c:dPt>
          <c:dPt>
            <c:idx val="4"/>
            <c:invertIfNegative val="0"/>
            <c:bubble3D val="0"/>
            <c:spPr>
              <a:solidFill>
                <a:srgbClr val="2062AF"/>
              </a:solidFill>
              <a:ln>
                <a:noFill/>
              </a:ln>
              <a:effectLst/>
            </c:spPr>
            <c:extLst>
              <c:ext xmlns:c16="http://schemas.microsoft.com/office/drawing/2014/chart" uri="{C3380CC4-5D6E-409C-BE32-E72D297353CC}">
                <c16:uniqueId val="{00000009-3FD5-4EAE-9AD3-BDE179F6B526}"/>
              </c:ext>
            </c:extLst>
          </c:dPt>
          <c:dPt>
            <c:idx val="5"/>
            <c:invertIfNegative val="0"/>
            <c:bubble3D val="0"/>
            <c:spPr>
              <a:solidFill>
                <a:srgbClr val="00B2BF"/>
              </a:solidFill>
              <a:ln>
                <a:noFill/>
              </a:ln>
              <a:effectLst/>
            </c:spPr>
            <c:extLst>
              <c:ext xmlns:c16="http://schemas.microsoft.com/office/drawing/2014/chart" uri="{C3380CC4-5D6E-409C-BE32-E72D297353CC}">
                <c16:uniqueId val="{0000000B-3FD5-4EAE-9AD3-BDE179F6B526}"/>
              </c:ext>
            </c:extLst>
          </c:dPt>
          <c:cat>
            <c:numRef>
              <c:f>'8-year TO forecasts'!$AU$5:$BB$5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forecasts'!$BN$6:$BU$6</c:f>
              <c:numCache>
                <c:formatCode>0</c:formatCode>
                <c:ptCount val="8"/>
                <c:pt idx="0">
                  <c:v>2047.8379818564276</c:v>
                </c:pt>
                <c:pt idx="1">
                  <c:v>1870.2002110607255</c:v>
                </c:pt>
                <c:pt idx="2">
                  <c:v>2236.6471537890984</c:v>
                </c:pt>
                <c:pt idx="3">
                  <c:v>2057.6306593188856</c:v>
                </c:pt>
                <c:pt idx="4">
                  <c:v>1789.7867209149144</c:v>
                </c:pt>
                <c:pt idx="5">
                  <c:v>1589.2090690295759</c:v>
                </c:pt>
                <c:pt idx="6">
                  <c:v>0</c:v>
                </c:pt>
                <c:pt idx="7">
                  <c:v>0</c:v>
                </c:pt>
              </c:numCache>
            </c:numRef>
          </c:val>
          <c:extLst>
            <c:ext xmlns:c16="http://schemas.microsoft.com/office/drawing/2014/chart" uri="{C3380CC4-5D6E-409C-BE32-E72D297353CC}">
              <c16:uniqueId val="{0000000C-3FD5-4EAE-9AD3-BDE179F6B526}"/>
            </c:ext>
          </c:extLst>
        </c:ser>
        <c:ser>
          <c:idx val="1"/>
          <c:order val="1"/>
          <c:tx>
            <c:strRef>
              <c:f>'8-year TO forecasts'!$BM$7</c:f>
              <c:strCache>
                <c:ptCount val="1"/>
                <c:pt idx="0">
                  <c:v>Forecast expenditure</c:v>
                </c:pt>
              </c:strCache>
            </c:strRef>
          </c:tx>
          <c:spPr>
            <a:solidFill>
              <a:schemeClr val="accent2"/>
            </a:solidFill>
            <a:ln>
              <a:noFill/>
            </a:ln>
            <a:effectLst/>
          </c:spPr>
          <c:invertIfNegative val="0"/>
          <c:dPt>
            <c:idx val="6"/>
            <c:invertIfNegative val="0"/>
            <c:bubble3D val="0"/>
            <c:spPr>
              <a:solidFill>
                <a:srgbClr val="A1ABA8"/>
              </a:solidFill>
              <a:ln>
                <a:noFill/>
              </a:ln>
              <a:effectLst/>
            </c:spPr>
            <c:extLst>
              <c:ext xmlns:c16="http://schemas.microsoft.com/office/drawing/2014/chart" uri="{C3380CC4-5D6E-409C-BE32-E72D297353CC}">
                <c16:uniqueId val="{0000000E-3FD5-4EAE-9AD3-BDE179F6B526}"/>
              </c:ext>
            </c:extLst>
          </c:dPt>
          <c:dPt>
            <c:idx val="7"/>
            <c:invertIfNegative val="0"/>
            <c:bubble3D val="0"/>
            <c:spPr>
              <a:solidFill>
                <a:srgbClr val="A28F5C"/>
              </a:solidFill>
              <a:ln>
                <a:noFill/>
              </a:ln>
              <a:effectLst/>
            </c:spPr>
            <c:extLst>
              <c:ext xmlns:c16="http://schemas.microsoft.com/office/drawing/2014/chart" uri="{C3380CC4-5D6E-409C-BE32-E72D297353CC}">
                <c16:uniqueId val="{00000010-3FD5-4EAE-9AD3-BDE179F6B526}"/>
              </c:ext>
            </c:extLst>
          </c:dPt>
          <c:cat>
            <c:numRef>
              <c:f>'8-year TO forecasts'!$AU$5:$BB$5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forecasts'!$BN$7:$BU$7</c:f>
              <c:numCache>
                <c:formatCode>0</c:formatCode>
                <c:ptCount val="8"/>
                <c:pt idx="0">
                  <c:v>0</c:v>
                </c:pt>
                <c:pt idx="1">
                  <c:v>0</c:v>
                </c:pt>
                <c:pt idx="2">
                  <c:v>0</c:v>
                </c:pt>
                <c:pt idx="3">
                  <c:v>0</c:v>
                </c:pt>
                <c:pt idx="4">
                  <c:v>0</c:v>
                </c:pt>
                <c:pt idx="5">
                  <c:v>0</c:v>
                </c:pt>
                <c:pt idx="6">
                  <c:v>2021.2989707429731</c:v>
                </c:pt>
                <c:pt idx="7">
                  <c:v>2710.7222403751907</c:v>
                </c:pt>
              </c:numCache>
            </c:numRef>
          </c:val>
          <c:extLst>
            <c:ext xmlns:c16="http://schemas.microsoft.com/office/drawing/2014/chart" uri="{C3380CC4-5D6E-409C-BE32-E72D297353CC}">
              <c16:uniqueId val="{00000011-3FD5-4EAE-9AD3-BDE179F6B526}"/>
            </c:ext>
          </c:extLst>
        </c:ser>
        <c:dLbls>
          <c:showLegendKey val="0"/>
          <c:showVal val="0"/>
          <c:showCatName val="0"/>
          <c:showSerName val="0"/>
          <c:showPercent val="0"/>
          <c:showBubbleSize val="0"/>
        </c:dLbls>
        <c:gapWidth val="150"/>
        <c:axId val="957595680"/>
        <c:axId val="957596008"/>
      </c:barChart>
      <c:lineChart>
        <c:grouping val="standard"/>
        <c:varyColors val="0"/>
        <c:ser>
          <c:idx val="2"/>
          <c:order val="2"/>
          <c:tx>
            <c:strRef>
              <c:f>'8-year TO forecasts'!$BM$8</c:f>
              <c:strCache>
                <c:ptCount val="1"/>
                <c:pt idx="0">
                  <c:v>Forecast adjusted allowance</c:v>
                </c:pt>
              </c:strCache>
            </c:strRef>
          </c:tx>
          <c:spPr>
            <a:ln w="28575" cap="rnd">
              <a:solidFill>
                <a:schemeClr val="tx1"/>
              </a:solidFill>
              <a:round/>
            </a:ln>
            <a:effectLst/>
          </c:spPr>
          <c:marker>
            <c:symbol val="none"/>
          </c:marker>
          <c:cat>
            <c:numRef>
              <c:f>'8-year TO forecasts'!$AU$5:$BB$5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forecasts'!$BN$8:$BU$8</c:f>
              <c:numCache>
                <c:formatCode>0</c:formatCode>
                <c:ptCount val="8"/>
                <c:pt idx="0">
                  <c:v>2769.7389285287254</c:v>
                </c:pt>
                <c:pt idx="1">
                  <c:v>2779.8583548474226</c:v>
                </c:pt>
                <c:pt idx="2">
                  <c:v>2763.0379835398826</c:v>
                </c:pt>
                <c:pt idx="3">
                  <c:v>2311.4804155067441</c:v>
                </c:pt>
                <c:pt idx="4">
                  <c:v>2109.2498914064795</c:v>
                </c:pt>
                <c:pt idx="5">
                  <c:v>2183.9725698028183</c:v>
                </c:pt>
                <c:pt idx="6">
                  <c:v>2149.9542599412048</c:v>
                </c:pt>
                <c:pt idx="7">
                  <c:v>2445.225174488769</c:v>
                </c:pt>
              </c:numCache>
            </c:numRef>
          </c:val>
          <c:smooth val="0"/>
          <c:extLst>
            <c:ext xmlns:c16="http://schemas.microsoft.com/office/drawing/2014/chart" uri="{C3380CC4-5D6E-409C-BE32-E72D297353CC}">
              <c16:uniqueId val="{00000012-3FD5-4EAE-9AD3-BDE179F6B526}"/>
            </c:ext>
          </c:extLst>
        </c:ser>
        <c:dLbls>
          <c:showLegendKey val="0"/>
          <c:showVal val="0"/>
          <c:showCatName val="0"/>
          <c:showSerName val="0"/>
          <c:showPercent val="0"/>
          <c:showBubbleSize val="0"/>
        </c:dLbls>
        <c:marker val="1"/>
        <c:smooth val="0"/>
        <c:axId val="957595680"/>
        <c:axId val="957596008"/>
      </c:lineChart>
      <c:catAx>
        <c:axId val="95759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957596008"/>
        <c:crosses val="autoZero"/>
        <c:auto val="1"/>
        <c:lblAlgn val="ctr"/>
        <c:lblOffset val="100"/>
        <c:noMultiLvlLbl val="0"/>
      </c:catAx>
      <c:valAx>
        <c:axId val="957596008"/>
        <c:scaling>
          <c:orientation val="minMax"/>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a:t>£m, 2018/19 prices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957595680"/>
        <c:crosses val="autoZero"/>
        <c:crossBetween val="between"/>
      </c:valAx>
      <c:spPr>
        <a:noFill/>
        <a:ln>
          <a:noFill/>
        </a:ln>
        <a:effectLst/>
      </c:spPr>
    </c:plotArea>
    <c:legend>
      <c:legendPos val="b"/>
      <c:layout>
        <c:manualLayout>
          <c:xMode val="edge"/>
          <c:yMode val="edge"/>
          <c:x val="0.13179463300356528"/>
          <c:y val="0.87049458796108281"/>
          <c:w val="0.61946258417796474"/>
          <c:h val="0.12950541203891724"/>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'8-year TO forecasts'!$BM$32</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1-70B0-4235-BB65-C3FC80DD58AD}"/>
              </c:ext>
            </c:extLst>
          </c:dPt>
          <c:dPt>
            <c:idx val="1"/>
            <c:invertIfNegative val="0"/>
            <c:bubble3D val="0"/>
            <c:spPr>
              <a:solidFill>
                <a:srgbClr val="45216F"/>
              </a:solidFill>
              <a:ln>
                <a:noFill/>
              </a:ln>
              <a:effectLst/>
            </c:spPr>
            <c:extLst>
              <c:ext xmlns:c16="http://schemas.microsoft.com/office/drawing/2014/chart" uri="{C3380CC4-5D6E-409C-BE32-E72D297353CC}">
                <c16:uniqueId val="{00000003-70B0-4235-BB65-C3FC80DD58AD}"/>
              </c:ext>
            </c:extLst>
          </c:dPt>
          <c:dPt>
            <c:idx val="2"/>
            <c:invertIfNegative val="0"/>
            <c:bubble3D val="0"/>
            <c:spPr>
              <a:solidFill>
                <a:srgbClr val="D0B00E"/>
              </a:solidFill>
              <a:ln>
                <a:noFill/>
              </a:ln>
              <a:effectLst/>
            </c:spPr>
            <c:extLst>
              <c:ext xmlns:c16="http://schemas.microsoft.com/office/drawing/2014/chart" uri="{C3380CC4-5D6E-409C-BE32-E72D297353CC}">
                <c16:uniqueId val="{00000005-70B0-4235-BB65-C3FC80DD58AD}"/>
              </c:ext>
            </c:extLst>
          </c:dPt>
          <c:dPt>
            <c:idx val="3"/>
            <c:invertIfNegative val="0"/>
            <c:bubble3D val="0"/>
            <c:spPr>
              <a:solidFill>
                <a:srgbClr val="CD151B"/>
              </a:solidFill>
              <a:ln>
                <a:noFill/>
              </a:ln>
              <a:effectLst/>
            </c:spPr>
            <c:extLst>
              <c:ext xmlns:c16="http://schemas.microsoft.com/office/drawing/2014/chart" uri="{C3380CC4-5D6E-409C-BE32-E72D297353CC}">
                <c16:uniqueId val="{00000007-70B0-4235-BB65-C3FC80DD58AD}"/>
              </c:ext>
            </c:extLst>
          </c:dPt>
          <c:dPt>
            <c:idx val="4"/>
            <c:invertIfNegative val="0"/>
            <c:bubble3D val="0"/>
            <c:spPr>
              <a:solidFill>
                <a:srgbClr val="2062AF"/>
              </a:solidFill>
              <a:ln>
                <a:noFill/>
              </a:ln>
              <a:effectLst/>
            </c:spPr>
            <c:extLst>
              <c:ext xmlns:c16="http://schemas.microsoft.com/office/drawing/2014/chart" uri="{C3380CC4-5D6E-409C-BE32-E72D297353CC}">
                <c16:uniqueId val="{00000009-70B0-4235-BB65-C3FC80DD58AD}"/>
              </c:ext>
            </c:extLst>
          </c:dPt>
          <c:dPt>
            <c:idx val="5"/>
            <c:invertIfNegative val="0"/>
            <c:bubble3D val="0"/>
            <c:spPr>
              <a:solidFill>
                <a:srgbClr val="00B2BF"/>
              </a:solidFill>
              <a:ln>
                <a:noFill/>
              </a:ln>
              <a:effectLst/>
            </c:spPr>
            <c:extLst>
              <c:ext xmlns:c16="http://schemas.microsoft.com/office/drawing/2014/chart" uri="{C3380CC4-5D6E-409C-BE32-E72D297353CC}">
                <c16:uniqueId val="{0000000B-70B0-4235-BB65-C3FC80DD58AD}"/>
              </c:ext>
            </c:extLst>
          </c:dPt>
          <c:cat>
            <c:numRef>
              <c:f>'8-year TO forecasts'!$AU$31:$BB$31</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forecasts'!$BN$32:$BU$32</c:f>
              <c:numCache>
                <c:formatCode>0</c:formatCode>
                <c:ptCount val="8"/>
                <c:pt idx="0">
                  <c:v>2047.8379818564276</c:v>
                </c:pt>
                <c:pt idx="1">
                  <c:v>1870.2002110607255</c:v>
                </c:pt>
                <c:pt idx="2">
                  <c:v>2236.6471537890984</c:v>
                </c:pt>
                <c:pt idx="3">
                  <c:v>2057.6306593188856</c:v>
                </c:pt>
                <c:pt idx="4">
                  <c:v>1789.7867209149144</c:v>
                </c:pt>
                <c:pt idx="5">
                  <c:v>1589.2090690295759</c:v>
                </c:pt>
                <c:pt idx="6">
                  <c:v>0</c:v>
                </c:pt>
                <c:pt idx="7">
                  <c:v>0</c:v>
                </c:pt>
              </c:numCache>
            </c:numRef>
          </c:val>
          <c:extLst>
            <c:ext xmlns:c16="http://schemas.microsoft.com/office/drawing/2014/chart" uri="{C3380CC4-5D6E-409C-BE32-E72D297353CC}">
              <c16:uniqueId val="{0000000C-70B0-4235-BB65-C3FC80DD58AD}"/>
            </c:ext>
          </c:extLst>
        </c:ser>
        <c:ser>
          <c:idx val="1"/>
          <c:order val="1"/>
          <c:tx>
            <c:strRef>
              <c:f>'8-year TO forecasts'!$BM$33</c:f>
              <c:strCache>
                <c:ptCount val="1"/>
                <c:pt idx="0">
                  <c:v>Forecast expenditure</c:v>
                </c:pt>
              </c:strCache>
            </c:strRef>
          </c:tx>
          <c:spPr>
            <a:solidFill>
              <a:schemeClr val="accent2"/>
            </a:solidFill>
            <a:ln>
              <a:noFill/>
            </a:ln>
            <a:effectLst/>
          </c:spPr>
          <c:invertIfNegative val="0"/>
          <c:dPt>
            <c:idx val="6"/>
            <c:invertIfNegative val="0"/>
            <c:bubble3D val="0"/>
            <c:spPr>
              <a:solidFill>
                <a:srgbClr val="A1ABA8"/>
              </a:solidFill>
              <a:ln>
                <a:noFill/>
              </a:ln>
              <a:effectLst/>
            </c:spPr>
            <c:extLst>
              <c:ext xmlns:c16="http://schemas.microsoft.com/office/drawing/2014/chart" uri="{C3380CC4-5D6E-409C-BE32-E72D297353CC}">
                <c16:uniqueId val="{0000000E-70B0-4235-BB65-C3FC80DD58AD}"/>
              </c:ext>
            </c:extLst>
          </c:dPt>
          <c:dPt>
            <c:idx val="7"/>
            <c:invertIfNegative val="0"/>
            <c:bubble3D val="0"/>
            <c:spPr>
              <a:solidFill>
                <a:srgbClr val="A28F5C"/>
              </a:solidFill>
              <a:ln>
                <a:noFill/>
              </a:ln>
              <a:effectLst/>
            </c:spPr>
            <c:extLst>
              <c:ext xmlns:c16="http://schemas.microsoft.com/office/drawing/2014/chart" uri="{C3380CC4-5D6E-409C-BE32-E72D297353CC}">
                <c16:uniqueId val="{00000010-70B0-4235-BB65-C3FC80DD58AD}"/>
              </c:ext>
            </c:extLst>
          </c:dPt>
          <c:cat>
            <c:numRef>
              <c:f>'8-year TO forecasts'!$AU$31:$BB$31</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forecasts'!$BN$33:$BU$33</c:f>
              <c:numCache>
                <c:formatCode>0</c:formatCode>
                <c:ptCount val="8"/>
                <c:pt idx="0">
                  <c:v>0</c:v>
                </c:pt>
                <c:pt idx="1">
                  <c:v>0</c:v>
                </c:pt>
                <c:pt idx="2">
                  <c:v>0</c:v>
                </c:pt>
                <c:pt idx="3">
                  <c:v>0</c:v>
                </c:pt>
                <c:pt idx="4">
                  <c:v>0</c:v>
                </c:pt>
                <c:pt idx="5">
                  <c:v>0</c:v>
                </c:pt>
                <c:pt idx="6">
                  <c:v>2021.2989707429729</c:v>
                </c:pt>
                <c:pt idx="7">
                  <c:v>2710.7222403751912</c:v>
                </c:pt>
              </c:numCache>
            </c:numRef>
          </c:val>
          <c:extLst>
            <c:ext xmlns:c16="http://schemas.microsoft.com/office/drawing/2014/chart" uri="{C3380CC4-5D6E-409C-BE32-E72D297353CC}">
              <c16:uniqueId val="{00000011-70B0-4235-BB65-C3FC80DD58AD}"/>
            </c:ext>
          </c:extLst>
        </c:ser>
        <c:dLbls>
          <c:showLegendKey val="0"/>
          <c:showVal val="0"/>
          <c:showCatName val="0"/>
          <c:showSerName val="0"/>
          <c:showPercent val="0"/>
          <c:showBubbleSize val="0"/>
        </c:dLbls>
        <c:gapWidth val="219"/>
        <c:overlap val="-27"/>
        <c:axId val="813276416"/>
        <c:axId val="813278384"/>
      </c:barChart>
      <c:lineChart>
        <c:grouping val="standard"/>
        <c:varyColors val="0"/>
        <c:ser>
          <c:idx val="2"/>
          <c:order val="2"/>
          <c:tx>
            <c:strRef>
              <c:f>'8-year TO forecasts'!$AT$34</c:f>
              <c:strCache>
                <c:ptCount val="1"/>
                <c:pt idx="0">
                  <c:v>Forecast adjusted allowance</c:v>
                </c:pt>
              </c:strCache>
            </c:strRef>
          </c:tx>
          <c:spPr>
            <a:ln w="28575" cap="rnd">
              <a:solidFill>
                <a:schemeClr val="tx1"/>
              </a:solidFill>
              <a:round/>
            </a:ln>
            <a:effectLst/>
          </c:spPr>
          <c:marker>
            <c:symbol val="none"/>
          </c:marker>
          <c:cat>
            <c:numRef>
              <c:f>'8-year TO forecasts'!$AU$31:$BB$31</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forecasts'!$BN$34:$BU$34</c:f>
              <c:numCache>
                <c:formatCode>0</c:formatCode>
                <c:ptCount val="8"/>
                <c:pt idx="0">
                  <c:v>2769.7389285287254</c:v>
                </c:pt>
                <c:pt idx="1">
                  <c:v>2779.8583548474226</c:v>
                </c:pt>
                <c:pt idx="2">
                  <c:v>2763.0379835398826</c:v>
                </c:pt>
                <c:pt idx="3">
                  <c:v>2311.4804155067441</c:v>
                </c:pt>
                <c:pt idx="4">
                  <c:v>2109.2498914064795</c:v>
                </c:pt>
                <c:pt idx="5">
                  <c:v>2183.9725698028183</c:v>
                </c:pt>
                <c:pt idx="6">
                  <c:v>2118.7829442562543</c:v>
                </c:pt>
                <c:pt idx="7">
                  <c:v>2414.0538588038185</c:v>
                </c:pt>
              </c:numCache>
            </c:numRef>
          </c:val>
          <c:smooth val="0"/>
          <c:extLst>
            <c:ext xmlns:c16="http://schemas.microsoft.com/office/drawing/2014/chart" uri="{C3380CC4-5D6E-409C-BE32-E72D297353CC}">
              <c16:uniqueId val="{00000012-70B0-4235-BB65-C3FC80DD58AD}"/>
            </c:ext>
          </c:extLst>
        </c:ser>
        <c:dLbls>
          <c:showLegendKey val="0"/>
          <c:showVal val="0"/>
          <c:showCatName val="0"/>
          <c:showSerName val="0"/>
          <c:showPercent val="0"/>
          <c:showBubbleSize val="0"/>
        </c:dLbls>
        <c:marker val="1"/>
        <c:smooth val="0"/>
        <c:axId val="813276416"/>
        <c:axId val="813278384"/>
      </c:lineChart>
      <c:catAx>
        <c:axId val="81327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78384"/>
        <c:crosses val="autoZero"/>
        <c:auto val="1"/>
        <c:lblAlgn val="ctr"/>
        <c:lblOffset val="100"/>
        <c:noMultiLvlLbl val="0"/>
      </c:catAx>
      <c:valAx>
        <c:axId val="813278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 2018/19 prices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76416"/>
        <c:crosses val="autoZero"/>
        <c:crossBetween val="between"/>
      </c:valAx>
      <c:spPr>
        <a:noFill/>
        <a:ln>
          <a:noFill/>
        </a:ln>
        <a:effectLst/>
      </c:spPr>
    </c:plotArea>
    <c:legend>
      <c:legendPos val="b"/>
      <c:layout>
        <c:manualLayout>
          <c:xMode val="edge"/>
          <c:yMode val="edge"/>
          <c:x val="6.2927048277997305E-2"/>
          <c:y val="0.91371366100014617"/>
          <c:w val="0.66034408536275868"/>
          <c:h val="6.97525232783432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'8-year TO forecasts'!$AT$65</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1-251E-4BC9-88E7-EE57184E2979}"/>
              </c:ext>
            </c:extLst>
          </c:dPt>
          <c:dPt>
            <c:idx val="1"/>
            <c:invertIfNegative val="0"/>
            <c:bubble3D val="0"/>
            <c:spPr>
              <a:solidFill>
                <a:srgbClr val="45216F"/>
              </a:solidFill>
              <a:ln>
                <a:noFill/>
              </a:ln>
              <a:effectLst/>
            </c:spPr>
            <c:extLst>
              <c:ext xmlns:c16="http://schemas.microsoft.com/office/drawing/2014/chart" uri="{C3380CC4-5D6E-409C-BE32-E72D297353CC}">
                <c16:uniqueId val="{00000003-251E-4BC9-88E7-EE57184E2979}"/>
              </c:ext>
            </c:extLst>
          </c:dPt>
          <c:dPt>
            <c:idx val="2"/>
            <c:invertIfNegative val="0"/>
            <c:bubble3D val="0"/>
            <c:spPr>
              <a:solidFill>
                <a:srgbClr val="D0B00E"/>
              </a:solidFill>
              <a:ln>
                <a:noFill/>
              </a:ln>
              <a:effectLst/>
            </c:spPr>
            <c:extLst>
              <c:ext xmlns:c16="http://schemas.microsoft.com/office/drawing/2014/chart" uri="{C3380CC4-5D6E-409C-BE32-E72D297353CC}">
                <c16:uniqueId val="{00000005-251E-4BC9-88E7-EE57184E2979}"/>
              </c:ext>
            </c:extLst>
          </c:dPt>
          <c:dPt>
            <c:idx val="3"/>
            <c:invertIfNegative val="0"/>
            <c:bubble3D val="0"/>
            <c:spPr>
              <a:solidFill>
                <a:srgbClr val="CD151B"/>
              </a:solidFill>
              <a:ln>
                <a:noFill/>
              </a:ln>
              <a:effectLst/>
            </c:spPr>
            <c:extLst>
              <c:ext xmlns:c16="http://schemas.microsoft.com/office/drawing/2014/chart" uri="{C3380CC4-5D6E-409C-BE32-E72D297353CC}">
                <c16:uniqueId val="{00000007-251E-4BC9-88E7-EE57184E2979}"/>
              </c:ext>
            </c:extLst>
          </c:dPt>
          <c:dPt>
            <c:idx val="4"/>
            <c:invertIfNegative val="0"/>
            <c:bubble3D val="0"/>
            <c:spPr>
              <a:solidFill>
                <a:srgbClr val="2062AF"/>
              </a:solidFill>
              <a:ln>
                <a:noFill/>
              </a:ln>
              <a:effectLst/>
            </c:spPr>
            <c:extLst>
              <c:ext xmlns:c16="http://schemas.microsoft.com/office/drawing/2014/chart" uri="{C3380CC4-5D6E-409C-BE32-E72D297353CC}">
                <c16:uniqueId val="{00000009-251E-4BC9-88E7-EE57184E2979}"/>
              </c:ext>
            </c:extLst>
          </c:dPt>
          <c:dPt>
            <c:idx val="5"/>
            <c:invertIfNegative val="0"/>
            <c:bubble3D val="0"/>
            <c:spPr>
              <a:solidFill>
                <a:srgbClr val="00B2BF"/>
              </a:solidFill>
              <a:ln>
                <a:noFill/>
              </a:ln>
              <a:effectLst/>
            </c:spPr>
            <c:extLst>
              <c:ext xmlns:c16="http://schemas.microsoft.com/office/drawing/2014/chart" uri="{C3380CC4-5D6E-409C-BE32-E72D297353CC}">
                <c16:uniqueId val="{0000000B-251E-4BC9-88E7-EE57184E2979}"/>
              </c:ext>
            </c:extLst>
          </c:dPt>
          <c:cat>
            <c:numRef>
              <c:f>'8-year TO forecasts'!$AU$64:$BB$64</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forecasts'!$AU$65:$BB$65</c:f>
              <c:numCache>
                <c:formatCode>0</c:formatCode>
                <c:ptCount val="8"/>
                <c:pt idx="0">
                  <c:v>196.38302580721341</c:v>
                </c:pt>
                <c:pt idx="1">
                  <c:v>373.56005345187702</c:v>
                </c:pt>
                <c:pt idx="2">
                  <c:v>572.07096952179836</c:v>
                </c:pt>
                <c:pt idx="3">
                  <c:v>493.453875969026</c:v>
                </c:pt>
                <c:pt idx="4">
                  <c:v>444.10316868192115</c:v>
                </c:pt>
                <c:pt idx="5">
                  <c:v>341.35148811181477</c:v>
                </c:pt>
              </c:numCache>
            </c:numRef>
          </c:val>
          <c:extLst>
            <c:ext xmlns:c16="http://schemas.microsoft.com/office/drawing/2014/chart" uri="{C3380CC4-5D6E-409C-BE32-E72D297353CC}">
              <c16:uniqueId val="{0000000C-251E-4BC9-88E7-EE57184E2979}"/>
            </c:ext>
          </c:extLst>
        </c:ser>
        <c:ser>
          <c:idx val="1"/>
          <c:order val="1"/>
          <c:tx>
            <c:strRef>
              <c:f>'8-year TO forecasts'!$AT$66</c:f>
              <c:strCache>
                <c:ptCount val="1"/>
                <c:pt idx="0">
                  <c:v>Forecast expenditure</c:v>
                </c:pt>
              </c:strCache>
            </c:strRef>
          </c:tx>
          <c:spPr>
            <a:solidFill>
              <a:schemeClr val="accent2"/>
            </a:solidFill>
            <a:ln>
              <a:noFill/>
            </a:ln>
            <a:effectLst/>
          </c:spPr>
          <c:invertIfNegative val="0"/>
          <c:dPt>
            <c:idx val="6"/>
            <c:invertIfNegative val="0"/>
            <c:bubble3D val="0"/>
            <c:spPr>
              <a:solidFill>
                <a:srgbClr val="A1ABA8"/>
              </a:solidFill>
              <a:ln>
                <a:noFill/>
              </a:ln>
              <a:effectLst/>
            </c:spPr>
            <c:extLst>
              <c:ext xmlns:c16="http://schemas.microsoft.com/office/drawing/2014/chart" uri="{C3380CC4-5D6E-409C-BE32-E72D297353CC}">
                <c16:uniqueId val="{0000000E-251E-4BC9-88E7-EE57184E2979}"/>
              </c:ext>
            </c:extLst>
          </c:dPt>
          <c:dPt>
            <c:idx val="7"/>
            <c:invertIfNegative val="0"/>
            <c:bubble3D val="0"/>
            <c:spPr>
              <a:solidFill>
                <a:srgbClr val="A28F5C"/>
              </a:solidFill>
              <a:ln>
                <a:noFill/>
              </a:ln>
              <a:effectLst/>
            </c:spPr>
            <c:extLst>
              <c:ext xmlns:c16="http://schemas.microsoft.com/office/drawing/2014/chart" uri="{C3380CC4-5D6E-409C-BE32-E72D297353CC}">
                <c16:uniqueId val="{00000010-251E-4BC9-88E7-EE57184E2979}"/>
              </c:ext>
            </c:extLst>
          </c:dPt>
          <c:cat>
            <c:numRef>
              <c:f>'8-year TO forecasts'!$AU$64:$BB$64</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forecasts'!$AU$66:$BB$66</c:f>
              <c:numCache>
                <c:formatCode>General</c:formatCode>
                <c:ptCount val="8"/>
                <c:pt idx="6" formatCode="#,##0.0;[Red]\(#,##0.0\)">
                  <c:v>420.66541567544044</c:v>
                </c:pt>
                <c:pt idx="7" formatCode="#,##0.0;[Red]\(#,##0.0\)">
                  <c:v>904.74241508335547</c:v>
                </c:pt>
              </c:numCache>
            </c:numRef>
          </c:val>
          <c:extLst>
            <c:ext xmlns:c16="http://schemas.microsoft.com/office/drawing/2014/chart" uri="{C3380CC4-5D6E-409C-BE32-E72D297353CC}">
              <c16:uniqueId val="{00000011-251E-4BC9-88E7-EE57184E2979}"/>
            </c:ext>
          </c:extLst>
        </c:ser>
        <c:dLbls>
          <c:showLegendKey val="0"/>
          <c:showVal val="0"/>
          <c:showCatName val="0"/>
          <c:showSerName val="0"/>
          <c:showPercent val="0"/>
          <c:showBubbleSize val="0"/>
        </c:dLbls>
        <c:gapWidth val="219"/>
        <c:overlap val="-27"/>
        <c:axId val="813276416"/>
        <c:axId val="813278384"/>
      </c:barChart>
      <c:lineChart>
        <c:grouping val="standard"/>
        <c:varyColors val="0"/>
        <c:ser>
          <c:idx val="2"/>
          <c:order val="2"/>
          <c:tx>
            <c:strRef>
              <c:f>'8-year TO forecasts'!$AT$67</c:f>
              <c:strCache>
                <c:ptCount val="1"/>
                <c:pt idx="0">
                  <c:v>Forecast adjusted allowance</c:v>
                </c:pt>
              </c:strCache>
            </c:strRef>
          </c:tx>
          <c:spPr>
            <a:ln w="28575" cap="rnd">
              <a:solidFill>
                <a:schemeClr val="tx1"/>
              </a:solidFill>
              <a:round/>
            </a:ln>
            <a:effectLst/>
          </c:spPr>
          <c:marker>
            <c:symbol val="none"/>
          </c:marker>
          <c:cat>
            <c:numRef>
              <c:f>'8-year TO forecasts'!$AU$64:$BB$64</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forecasts'!$AU$67:$BB$67</c:f>
              <c:numCache>
                <c:formatCode>0.0</c:formatCode>
                <c:ptCount val="8"/>
                <c:pt idx="0">
                  <c:v>263.93933533272536</c:v>
                </c:pt>
                <c:pt idx="1">
                  <c:v>462.62723954291124</c:v>
                </c:pt>
                <c:pt idx="2">
                  <c:v>876.38530297672935</c:v>
                </c:pt>
                <c:pt idx="3">
                  <c:v>738.50993836624161</c:v>
                </c:pt>
                <c:pt idx="4">
                  <c:v>480.18537511847859</c:v>
                </c:pt>
                <c:pt idx="5">
                  <c:v>263.79201078756489</c:v>
                </c:pt>
                <c:pt idx="6">
                  <c:v>273.76862659862246</c:v>
                </c:pt>
                <c:pt idx="7">
                  <c:v>688.29875450374436</c:v>
                </c:pt>
              </c:numCache>
            </c:numRef>
          </c:val>
          <c:smooth val="0"/>
          <c:extLst>
            <c:ext xmlns:c16="http://schemas.microsoft.com/office/drawing/2014/chart" uri="{C3380CC4-5D6E-409C-BE32-E72D297353CC}">
              <c16:uniqueId val="{00000012-251E-4BC9-88E7-EE57184E2979}"/>
            </c:ext>
          </c:extLst>
        </c:ser>
        <c:dLbls>
          <c:showLegendKey val="0"/>
          <c:showVal val="0"/>
          <c:showCatName val="0"/>
          <c:showSerName val="0"/>
          <c:showPercent val="0"/>
          <c:showBubbleSize val="0"/>
        </c:dLbls>
        <c:marker val="1"/>
        <c:smooth val="0"/>
        <c:axId val="813276416"/>
        <c:axId val="813278384"/>
      </c:lineChart>
      <c:catAx>
        <c:axId val="81327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78384"/>
        <c:crosses val="autoZero"/>
        <c:auto val="1"/>
        <c:lblAlgn val="ctr"/>
        <c:lblOffset val="100"/>
        <c:noMultiLvlLbl val="0"/>
      </c:catAx>
      <c:valAx>
        <c:axId val="813278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 2018/19 prices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76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'8-year TO forecasts'!$BM$32</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1-2271-4FFC-BFE8-5B0DE168C1B3}"/>
              </c:ext>
            </c:extLst>
          </c:dPt>
          <c:dPt>
            <c:idx val="1"/>
            <c:invertIfNegative val="0"/>
            <c:bubble3D val="0"/>
            <c:spPr>
              <a:solidFill>
                <a:srgbClr val="45216F"/>
              </a:solidFill>
              <a:ln>
                <a:noFill/>
              </a:ln>
              <a:effectLst/>
            </c:spPr>
            <c:extLst>
              <c:ext xmlns:c16="http://schemas.microsoft.com/office/drawing/2014/chart" uri="{C3380CC4-5D6E-409C-BE32-E72D297353CC}">
                <c16:uniqueId val="{00000003-2271-4FFC-BFE8-5B0DE168C1B3}"/>
              </c:ext>
            </c:extLst>
          </c:dPt>
          <c:dPt>
            <c:idx val="2"/>
            <c:invertIfNegative val="0"/>
            <c:bubble3D val="0"/>
            <c:spPr>
              <a:solidFill>
                <a:srgbClr val="D0B00E"/>
              </a:solidFill>
              <a:ln>
                <a:noFill/>
              </a:ln>
              <a:effectLst/>
            </c:spPr>
            <c:extLst>
              <c:ext xmlns:c16="http://schemas.microsoft.com/office/drawing/2014/chart" uri="{C3380CC4-5D6E-409C-BE32-E72D297353CC}">
                <c16:uniqueId val="{00000005-2271-4FFC-BFE8-5B0DE168C1B3}"/>
              </c:ext>
            </c:extLst>
          </c:dPt>
          <c:dPt>
            <c:idx val="3"/>
            <c:invertIfNegative val="0"/>
            <c:bubble3D val="0"/>
            <c:spPr>
              <a:solidFill>
                <a:srgbClr val="CD151B"/>
              </a:solidFill>
              <a:ln>
                <a:noFill/>
              </a:ln>
              <a:effectLst/>
            </c:spPr>
            <c:extLst>
              <c:ext xmlns:c16="http://schemas.microsoft.com/office/drawing/2014/chart" uri="{C3380CC4-5D6E-409C-BE32-E72D297353CC}">
                <c16:uniqueId val="{00000007-2271-4FFC-BFE8-5B0DE168C1B3}"/>
              </c:ext>
            </c:extLst>
          </c:dPt>
          <c:dPt>
            <c:idx val="4"/>
            <c:invertIfNegative val="0"/>
            <c:bubble3D val="0"/>
            <c:spPr>
              <a:solidFill>
                <a:srgbClr val="2062AF"/>
              </a:solidFill>
              <a:ln>
                <a:noFill/>
              </a:ln>
              <a:effectLst/>
            </c:spPr>
            <c:extLst>
              <c:ext xmlns:c16="http://schemas.microsoft.com/office/drawing/2014/chart" uri="{C3380CC4-5D6E-409C-BE32-E72D297353CC}">
                <c16:uniqueId val="{00000009-2271-4FFC-BFE8-5B0DE168C1B3}"/>
              </c:ext>
            </c:extLst>
          </c:dPt>
          <c:dPt>
            <c:idx val="5"/>
            <c:invertIfNegative val="0"/>
            <c:bubble3D val="0"/>
            <c:spPr>
              <a:solidFill>
                <a:srgbClr val="00B2BF"/>
              </a:solidFill>
              <a:ln>
                <a:noFill/>
              </a:ln>
              <a:effectLst/>
            </c:spPr>
            <c:extLst>
              <c:ext xmlns:c16="http://schemas.microsoft.com/office/drawing/2014/chart" uri="{C3380CC4-5D6E-409C-BE32-E72D297353CC}">
                <c16:uniqueId val="{0000000B-2271-4FFC-BFE8-5B0DE168C1B3}"/>
              </c:ext>
            </c:extLst>
          </c:dPt>
          <c:cat>
            <c:numRef>
              <c:f>'8-year TO forecasts'!$AU$31:$BB$31</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forecasts'!$BN$59:$BU$59</c:f>
              <c:numCache>
                <c:formatCode>0</c:formatCode>
                <c:ptCount val="8"/>
                <c:pt idx="0">
                  <c:v>2047.8379818564276</c:v>
                </c:pt>
                <c:pt idx="1">
                  <c:v>1870.1240476193029</c:v>
                </c:pt>
                <c:pt idx="2">
                  <c:v>2236.6406016443125</c:v>
                </c:pt>
                <c:pt idx="3">
                  <c:v>2057.5740212638793</c:v>
                </c:pt>
                <c:pt idx="4">
                  <c:v>1789.7800805736065</c:v>
                </c:pt>
                <c:pt idx="5">
                  <c:v>1585.1958620325199</c:v>
                </c:pt>
                <c:pt idx="6">
                  <c:v>0</c:v>
                </c:pt>
                <c:pt idx="7">
                  <c:v>0</c:v>
                </c:pt>
              </c:numCache>
            </c:numRef>
          </c:val>
          <c:extLst>
            <c:ext xmlns:c16="http://schemas.microsoft.com/office/drawing/2014/chart" uri="{C3380CC4-5D6E-409C-BE32-E72D297353CC}">
              <c16:uniqueId val="{0000000C-2271-4FFC-BFE8-5B0DE168C1B3}"/>
            </c:ext>
          </c:extLst>
        </c:ser>
        <c:ser>
          <c:idx val="1"/>
          <c:order val="1"/>
          <c:tx>
            <c:strRef>
              <c:f>'8-year TO forecasts'!$BM$33</c:f>
              <c:strCache>
                <c:ptCount val="1"/>
                <c:pt idx="0">
                  <c:v>Forecast expenditure</c:v>
                </c:pt>
              </c:strCache>
            </c:strRef>
          </c:tx>
          <c:spPr>
            <a:solidFill>
              <a:schemeClr val="accent2"/>
            </a:solidFill>
            <a:ln>
              <a:noFill/>
            </a:ln>
            <a:effectLst/>
          </c:spPr>
          <c:invertIfNegative val="0"/>
          <c:dPt>
            <c:idx val="6"/>
            <c:invertIfNegative val="0"/>
            <c:bubble3D val="0"/>
            <c:spPr>
              <a:solidFill>
                <a:srgbClr val="A1ABA8"/>
              </a:solidFill>
              <a:ln>
                <a:noFill/>
              </a:ln>
              <a:effectLst/>
            </c:spPr>
            <c:extLst>
              <c:ext xmlns:c16="http://schemas.microsoft.com/office/drawing/2014/chart" uri="{C3380CC4-5D6E-409C-BE32-E72D297353CC}">
                <c16:uniqueId val="{0000000E-2271-4FFC-BFE8-5B0DE168C1B3}"/>
              </c:ext>
            </c:extLst>
          </c:dPt>
          <c:dPt>
            <c:idx val="7"/>
            <c:invertIfNegative val="0"/>
            <c:bubble3D val="0"/>
            <c:spPr>
              <a:solidFill>
                <a:srgbClr val="A28F5C"/>
              </a:solidFill>
              <a:ln>
                <a:noFill/>
              </a:ln>
              <a:effectLst/>
            </c:spPr>
            <c:extLst>
              <c:ext xmlns:c16="http://schemas.microsoft.com/office/drawing/2014/chart" uri="{C3380CC4-5D6E-409C-BE32-E72D297353CC}">
                <c16:uniqueId val="{00000010-2271-4FFC-BFE8-5B0DE168C1B3}"/>
              </c:ext>
            </c:extLst>
          </c:dPt>
          <c:cat>
            <c:numRef>
              <c:f>'8-year TO forecasts'!$AU$31:$BB$31</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forecasts'!$BN$60:$BU$60</c:f>
              <c:numCache>
                <c:formatCode>0</c:formatCode>
                <c:ptCount val="8"/>
                <c:pt idx="0">
                  <c:v>0</c:v>
                </c:pt>
                <c:pt idx="1">
                  <c:v>0</c:v>
                </c:pt>
                <c:pt idx="2">
                  <c:v>0</c:v>
                </c:pt>
                <c:pt idx="3">
                  <c:v>0</c:v>
                </c:pt>
                <c:pt idx="4">
                  <c:v>0</c:v>
                </c:pt>
                <c:pt idx="5">
                  <c:v>0</c:v>
                </c:pt>
                <c:pt idx="6">
                  <c:v>2015.0282389988336</c:v>
                </c:pt>
                <c:pt idx="7">
                  <c:v>2674.553870599424</c:v>
                </c:pt>
              </c:numCache>
            </c:numRef>
          </c:val>
          <c:extLst>
            <c:ext xmlns:c16="http://schemas.microsoft.com/office/drawing/2014/chart" uri="{C3380CC4-5D6E-409C-BE32-E72D297353CC}">
              <c16:uniqueId val="{00000011-2271-4FFC-BFE8-5B0DE168C1B3}"/>
            </c:ext>
          </c:extLst>
        </c:ser>
        <c:dLbls>
          <c:showLegendKey val="0"/>
          <c:showVal val="0"/>
          <c:showCatName val="0"/>
          <c:showSerName val="0"/>
          <c:showPercent val="0"/>
          <c:showBubbleSize val="0"/>
        </c:dLbls>
        <c:gapWidth val="219"/>
        <c:overlap val="-27"/>
        <c:axId val="813276416"/>
        <c:axId val="813278384"/>
      </c:barChart>
      <c:lineChart>
        <c:grouping val="standard"/>
        <c:varyColors val="0"/>
        <c:ser>
          <c:idx val="2"/>
          <c:order val="2"/>
          <c:tx>
            <c:strRef>
              <c:f>'8-year TO forecasts'!$AT$34</c:f>
              <c:strCache>
                <c:ptCount val="1"/>
                <c:pt idx="0">
                  <c:v>Forecast adjusted allowance</c:v>
                </c:pt>
              </c:strCache>
            </c:strRef>
          </c:tx>
          <c:spPr>
            <a:ln w="28575" cap="rnd">
              <a:solidFill>
                <a:schemeClr val="tx1"/>
              </a:solidFill>
              <a:round/>
            </a:ln>
            <a:effectLst/>
          </c:spPr>
          <c:marker>
            <c:symbol val="none"/>
          </c:marker>
          <c:cat>
            <c:numRef>
              <c:f>'8-year TO forecasts'!$AU$31:$BB$31</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forecasts'!$BN$61:$BU$61</c:f>
              <c:numCache>
                <c:formatCode>0</c:formatCode>
                <c:ptCount val="8"/>
                <c:pt idx="0">
                  <c:v>2769.7389285287254</c:v>
                </c:pt>
                <c:pt idx="1">
                  <c:v>2779.8583548474226</c:v>
                </c:pt>
                <c:pt idx="2">
                  <c:v>2763.0379835398826</c:v>
                </c:pt>
                <c:pt idx="3">
                  <c:v>2311.4804155067441</c:v>
                </c:pt>
                <c:pt idx="4">
                  <c:v>2109.2498914064795</c:v>
                </c:pt>
                <c:pt idx="5">
                  <c:v>2183.9725698028183</c:v>
                </c:pt>
                <c:pt idx="6">
                  <c:v>2118.7829442562543</c:v>
                </c:pt>
                <c:pt idx="7">
                  <c:v>2414.0538588038185</c:v>
                </c:pt>
              </c:numCache>
            </c:numRef>
          </c:val>
          <c:smooth val="0"/>
          <c:extLst>
            <c:ext xmlns:c16="http://schemas.microsoft.com/office/drawing/2014/chart" uri="{C3380CC4-5D6E-409C-BE32-E72D297353CC}">
              <c16:uniqueId val="{00000012-2271-4FFC-BFE8-5B0DE168C1B3}"/>
            </c:ext>
          </c:extLst>
        </c:ser>
        <c:dLbls>
          <c:showLegendKey val="0"/>
          <c:showVal val="0"/>
          <c:showCatName val="0"/>
          <c:showSerName val="0"/>
          <c:showPercent val="0"/>
          <c:showBubbleSize val="0"/>
        </c:dLbls>
        <c:marker val="1"/>
        <c:smooth val="0"/>
        <c:axId val="813276416"/>
        <c:axId val="813278384"/>
      </c:lineChart>
      <c:catAx>
        <c:axId val="81327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78384"/>
        <c:crosses val="autoZero"/>
        <c:auto val="1"/>
        <c:lblAlgn val="ctr"/>
        <c:lblOffset val="100"/>
        <c:noMultiLvlLbl val="0"/>
      </c:catAx>
      <c:valAx>
        <c:axId val="813278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 2018/19 prices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3276416"/>
        <c:crosses val="autoZero"/>
        <c:crossBetween val="between"/>
      </c:valAx>
      <c:spPr>
        <a:noFill/>
        <a:ln>
          <a:noFill/>
        </a:ln>
        <a:effectLst/>
      </c:spPr>
    </c:plotArea>
    <c:legend>
      <c:legendPos val="b"/>
      <c:layout>
        <c:manualLayout>
          <c:xMode val="edge"/>
          <c:yMode val="edge"/>
          <c:x val="2.8064017963911139E-2"/>
          <c:y val="0.9093793410848473"/>
          <c:w val="0.70689279254619408"/>
          <c:h val="7.325631952572109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NGET 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'NGET SO totex performance'!$B$6</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0-6333-4668-A186-9369AB968027}"/>
              </c:ext>
            </c:extLst>
          </c:dPt>
          <c:dPt>
            <c:idx val="1"/>
            <c:invertIfNegative val="0"/>
            <c:bubble3D val="0"/>
            <c:spPr>
              <a:solidFill>
                <a:srgbClr val="45216F"/>
              </a:solidFill>
              <a:ln>
                <a:noFill/>
              </a:ln>
              <a:effectLst/>
            </c:spPr>
            <c:extLst>
              <c:ext xmlns:c16="http://schemas.microsoft.com/office/drawing/2014/chart" uri="{C3380CC4-5D6E-409C-BE32-E72D297353CC}">
                <c16:uniqueId val="{00000001-6333-4668-A186-9369AB968027}"/>
              </c:ext>
            </c:extLst>
          </c:dPt>
          <c:dPt>
            <c:idx val="2"/>
            <c:invertIfNegative val="0"/>
            <c:bubble3D val="0"/>
            <c:spPr>
              <a:solidFill>
                <a:srgbClr val="D0B00E"/>
              </a:solidFill>
              <a:ln>
                <a:noFill/>
              </a:ln>
              <a:effectLst/>
            </c:spPr>
            <c:extLst>
              <c:ext xmlns:c16="http://schemas.microsoft.com/office/drawing/2014/chart" uri="{C3380CC4-5D6E-409C-BE32-E72D297353CC}">
                <c16:uniqueId val="{00000002-6333-4668-A186-9369AB968027}"/>
              </c:ext>
            </c:extLst>
          </c:dPt>
          <c:dPt>
            <c:idx val="3"/>
            <c:invertIfNegative val="0"/>
            <c:bubble3D val="0"/>
            <c:spPr>
              <a:solidFill>
                <a:srgbClr val="CD151B"/>
              </a:solidFill>
              <a:ln>
                <a:noFill/>
              </a:ln>
              <a:effectLst/>
            </c:spPr>
            <c:extLst>
              <c:ext xmlns:c16="http://schemas.microsoft.com/office/drawing/2014/chart" uri="{C3380CC4-5D6E-409C-BE32-E72D297353CC}">
                <c16:uniqueId val="{00000003-6333-4668-A186-9369AB968027}"/>
              </c:ext>
            </c:extLst>
          </c:dPt>
          <c:dPt>
            <c:idx val="4"/>
            <c:invertIfNegative val="0"/>
            <c:bubble3D val="0"/>
            <c:spPr>
              <a:solidFill>
                <a:srgbClr val="2062AF"/>
              </a:solidFill>
              <a:ln>
                <a:noFill/>
              </a:ln>
              <a:effectLst/>
            </c:spPr>
            <c:extLst>
              <c:ext xmlns:c16="http://schemas.microsoft.com/office/drawing/2014/chart" uri="{C3380CC4-5D6E-409C-BE32-E72D297353CC}">
                <c16:uniqueId val="{00000004-6333-4668-A186-9369AB968027}"/>
              </c:ext>
            </c:extLst>
          </c:dPt>
          <c:dPt>
            <c:idx val="5"/>
            <c:invertIfNegative val="0"/>
            <c:bubble3D val="0"/>
            <c:spPr>
              <a:solidFill>
                <a:srgbClr val="00B2BF"/>
              </a:solidFill>
              <a:ln>
                <a:noFill/>
              </a:ln>
              <a:effectLst/>
            </c:spPr>
            <c:extLst>
              <c:ext xmlns:c16="http://schemas.microsoft.com/office/drawing/2014/chart" uri="{C3380CC4-5D6E-409C-BE32-E72D297353CC}">
                <c16:uniqueId val="{00000005-6333-4668-A186-9369AB968027}"/>
              </c:ext>
            </c:extLst>
          </c:dPt>
          <c:cat>
            <c:numRef>
              <c:f>'NGET SO totex performance'!$C$5:$J$5</c:f>
              <c:numCache>
                <c:formatCode>General</c:formatCode>
                <c:ptCount val="8"/>
                <c:pt idx="0">
                  <c:v>2014</c:v>
                </c:pt>
                <c:pt idx="1">
                  <c:v>2015</c:v>
                </c:pt>
                <c:pt idx="2">
                  <c:v>2016</c:v>
                </c:pt>
                <c:pt idx="3">
                  <c:v>2017</c:v>
                </c:pt>
                <c:pt idx="4">
                  <c:v>2018</c:v>
                </c:pt>
                <c:pt idx="5">
                  <c:v>2019</c:v>
                </c:pt>
                <c:pt idx="6">
                  <c:v>2020</c:v>
                </c:pt>
                <c:pt idx="7">
                  <c:v>2021</c:v>
                </c:pt>
              </c:numCache>
            </c:numRef>
          </c:cat>
          <c:val>
            <c:numRef>
              <c:f>'NGET SO totex performance'!$C$6:$J$6</c:f>
              <c:numCache>
                <c:formatCode>0</c:formatCode>
                <c:ptCount val="8"/>
                <c:pt idx="0">
                  <c:v>149.96588499166586</c:v>
                </c:pt>
                <c:pt idx="1">
                  <c:v>149.35686792278801</c:v>
                </c:pt>
                <c:pt idx="2">
                  <c:v>152.16541367869513</c:v>
                </c:pt>
                <c:pt idx="3">
                  <c:v>173.72254883229834</c:v>
                </c:pt>
                <c:pt idx="4">
                  <c:v>186.28898819171769</c:v>
                </c:pt>
                <c:pt idx="5">
                  <c:v>219.25232736065911</c:v>
                </c:pt>
              </c:numCache>
            </c:numRef>
          </c:val>
          <c:extLst>
            <c:ext xmlns:c16="http://schemas.microsoft.com/office/drawing/2014/chart" uri="{C3380CC4-5D6E-409C-BE32-E72D297353CC}">
              <c16:uniqueId val="{00000000-36B8-446A-BCD7-5A1EE5B9777B}"/>
            </c:ext>
          </c:extLst>
        </c:ser>
        <c:ser>
          <c:idx val="1"/>
          <c:order val="1"/>
          <c:tx>
            <c:strRef>
              <c:f>'NGET SO totex performance'!$B$7</c:f>
              <c:strCache>
                <c:ptCount val="1"/>
                <c:pt idx="0">
                  <c:v>Forecast expenditure</c:v>
                </c:pt>
              </c:strCache>
            </c:strRef>
          </c:tx>
          <c:spPr>
            <a:solidFill>
              <a:schemeClr val="accent2"/>
            </a:solidFill>
            <a:ln>
              <a:noFill/>
            </a:ln>
            <a:effectLst/>
          </c:spPr>
          <c:invertIfNegative val="0"/>
          <c:dPt>
            <c:idx val="6"/>
            <c:invertIfNegative val="0"/>
            <c:bubble3D val="0"/>
            <c:spPr>
              <a:solidFill>
                <a:srgbClr val="A1ABA8"/>
              </a:solidFill>
              <a:ln>
                <a:noFill/>
              </a:ln>
              <a:effectLst/>
            </c:spPr>
            <c:extLst>
              <c:ext xmlns:c16="http://schemas.microsoft.com/office/drawing/2014/chart" uri="{C3380CC4-5D6E-409C-BE32-E72D297353CC}">
                <c16:uniqueId val="{00000006-6333-4668-A186-9369AB968027}"/>
              </c:ext>
            </c:extLst>
          </c:dPt>
          <c:dPt>
            <c:idx val="7"/>
            <c:invertIfNegative val="0"/>
            <c:bubble3D val="0"/>
            <c:spPr>
              <a:solidFill>
                <a:srgbClr val="A28F5C"/>
              </a:solidFill>
              <a:ln>
                <a:noFill/>
              </a:ln>
              <a:effectLst/>
            </c:spPr>
            <c:extLst>
              <c:ext xmlns:c16="http://schemas.microsoft.com/office/drawing/2014/chart" uri="{C3380CC4-5D6E-409C-BE32-E72D297353CC}">
                <c16:uniqueId val="{00000007-6333-4668-A186-9369AB968027}"/>
              </c:ext>
            </c:extLst>
          </c:dPt>
          <c:cat>
            <c:numRef>
              <c:f>'NGET SO totex performance'!$C$5:$J$5</c:f>
              <c:numCache>
                <c:formatCode>General</c:formatCode>
                <c:ptCount val="8"/>
                <c:pt idx="0">
                  <c:v>2014</c:v>
                </c:pt>
                <c:pt idx="1">
                  <c:v>2015</c:v>
                </c:pt>
                <c:pt idx="2">
                  <c:v>2016</c:v>
                </c:pt>
                <c:pt idx="3">
                  <c:v>2017</c:v>
                </c:pt>
                <c:pt idx="4">
                  <c:v>2018</c:v>
                </c:pt>
                <c:pt idx="5">
                  <c:v>2019</c:v>
                </c:pt>
                <c:pt idx="6">
                  <c:v>2020</c:v>
                </c:pt>
                <c:pt idx="7">
                  <c:v>2021</c:v>
                </c:pt>
              </c:numCache>
            </c:numRef>
          </c:cat>
          <c:val>
            <c:numRef>
              <c:f>'NGET SO totex performance'!$C$7:$J$7</c:f>
              <c:numCache>
                <c:formatCode>General</c:formatCode>
                <c:ptCount val="8"/>
                <c:pt idx="6" formatCode="#,##0.0;[Red]\(#,##0.0\)">
                  <c:v>206.95633527091059</c:v>
                </c:pt>
                <c:pt idx="7" formatCode="#,##0.0;[Red]\(#,##0.0\)">
                  <c:v>169.96032590520235</c:v>
                </c:pt>
              </c:numCache>
            </c:numRef>
          </c:val>
          <c:extLst>
            <c:ext xmlns:c16="http://schemas.microsoft.com/office/drawing/2014/chart" uri="{C3380CC4-5D6E-409C-BE32-E72D297353CC}">
              <c16:uniqueId val="{00000001-36B8-446A-BCD7-5A1EE5B9777B}"/>
            </c:ext>
          </c:extLst>
        </c:ser>
        <c:dLbls>
          <c:showLegendKey val="0"/>
          <c:showVal val="0"/>
          <c:showCatName val="0"/>
          <c:showSerName val="0"/>
          <c:showPercent val="0"/>
          <c:showBubbleSize val="0"/>
        </c:dLbls>
        <c:gapWidth val="150"/>
        <c:axId val="991193480"/>
        <c:axId val="991189872"/>
      </c:barChart>
      <c:lineChart>
        <c:grouping val="standard"/>
        <c:varyColors val="0"/>
        <c:ser>
          <c:idx val="2"/>
          <c:order val="2"/>
          <c:tx>
            <c:strRef>
              <c:f>'NGET SO totex performance'!$B$8</c:f>
              <c:strCache>
                <c:ptCount val="1"/>
                <c:pt idx="0">
                  <c:v>Forecast adjusted allowance</c:v>
                </c:pt>
              </c:strCache>
            </c:strRef>
          </c:tx>
          <c:spPr>
            <a:ln w="28575" cap="rnd">
              <a:solidFill>
                <a:schemeClr val="tx1"/>
              </a:solidFill>
              <a:round/>
            </a:ln>
            <a:effectLst/>
          </c:spPr>
          <c:marker>
            <c:symbol val="none"/>
          </c:marker>
          <c:cat>
            <c:numRef>
              <c:f>'NGET SO totex performance'!$C$5:$J$5</c:f>
              <c:numCache>
                <c:formatCode>General</c:formatCode>
                <c:ptCount val="8"/>
                <c:pt idx="0">
                  <c:v>2014</c:v>
                </c:pt>
                <c:pt idx="1">
                  <c:v>2015</c:v>
                </c:pt>
                <c:pt idx="2">
                  <c:v>2016</c:v>
                </c:pt>
                <c:pt idx="3">
                  <c:v>2017</c:v>
                </c:pt>
                <c:pt idx="4">
                  <c:v>2018</c:v>
                </c:pt>
                <c:pt idx="5">
                  <c:v>2019</c:v>
                </c:pt>
                <c:pt idx="6">
                  <c:v>2020</c:v>
                </c:pt>
                <c:pt idx="7">
                  <c:v>2021</c:v>
                </c:pt>
              </c:numCache>
            </c:numRef>
          </c:cat>
          <c:val>
            <c:numRef>
              <c:f>'NGET SO totex performance'!$C$8:$J$8</c:f>
              <c:numCache>
                <c:formatCode>0.0</c:formatCode>
                <c:ptCount val="8"/>
                <c:pt idx="0">
                  <c:v>165.60413115735906</c:v>
                </c:pt>
                <c:pt idx="1">
                  <c:v>150.37512129119048</c:v>
                </c:pt>
                <c:pt idx="2">
                  <c:v>157.67512751928032</c:v>
                </c:pt>
                <c:pt idx="3">
                  <c:v>168.75762775159515</c:v>
                </c:pt>
                <c:pt idx="4">
                  <c:v>181.14992593331286</c:v>
                </c:pt>
                <c:pt idx="5">
                  <c:v>211.19322387348268</c:v>
                </c:pt>
                <c:pt idx="6">
                  <c:v>182.3960582779556</c:v>
                </c:pt>
                <c:pt idx="7">
                  <c:v>183.69003697123657</c:v>
                </c:pt>
              </c:numCache>
            </c:numRef>
          </c:val>
          <c:smooth val="0"/>
          <c:extLst>
            <c:ext xmlns:c16="http://schemas.microsoft.com/office/drawing/2014/chart" uri="{C3380CC4-5D6E-409C-BE32-E72D297353CC}">
              <c16:uniqueId val="{00000002-36B8-446A-BCD7-5A1EE5B9777B}"/>
            </c:ext>
          </c:extLst>
        </c:ser>
        <c:dLbls>
          <c:showLegendKey val="0"/>
          <c:showVal val="0"/>
          <c:showCatName val="0"/>
          <c:showSerName val="0"/>
          <c:showPercent val="0"/>
          <c:showBubbleSize val="0"/>
        </c:dLbls>
        <c:marker val="1"/>
        <c:smooth val="0"/>
        <c:axId val="991193480"/>
        <c:axId val="991189872"/>
      </c:lineChart>
      <c:catAx>
        <c:axId val="991193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1189872"/>
        <c:crosses val="autoZero"/>
        <c:auto val="1"/>
        <c:lblAlgn val="ctr"/>
        <c:lblOffset val="100"/>
        <c:noMultiLvlLbl val="0"/>
      </c:catAx>
      <c:valAx>
        <c:axId val="991189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a:t>
                </a:r>
                <a:r>
                  <a:rPr lang="en-GB" baseline="0"/>
                  <a:t> 2018/19 prices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1193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RORE!$H$7</c:f>
              <c:strCache>
                <c:ptCount val="1"/>
                <c:pt idx="0">
                  <c:v>Allowed Equity Return + IQI</c:v>
                </c:pt>
              </c:strCache>
            </c:strRef>
          </c:tx>
          <c:spPr>
            <a:solidFill>
              <a:srgbClr val="45216F"/>
            </a:solidFill>
            <a:ln>
              <a:noFill/>
            </a:ln>
            <a:effectLst/>
          </c:spPr>
          <c:invertIfNegative val="0"/>
          <c:cat>
            <c:multiLvlStrRef>
              <c:f>RORE!$I$5:$N$6</c:f>
              <c:multiLvlStrCache>
                <c:ptCount val="6"/>
                <c:lvl>
                  <c:pt idx="0">
                    <c:v>2018</c:v>
                  </c:pt>
                  <c:pt idx="1">
                    <c:v>2019</c:v>
                  </c:pt>
                  <c:pt idx="2">
                    <c:v>2018</c:v>
                  </c:pt>
                  <c:pt idx="3">
                    <c:v>2019</c:v>
                  </c:pt>
                  <c:pt idx="4">
                    <c:v>2018</c:v>
                  </c:pt>
                  <c:pt idx="5">
                    <c:v>2019</c:v>
                  </c:pt>
                </c:lvl>
                <c:lvl>
                  <c:pt idx="0">
                    <c:v>NGET (TO)</c:v>
                  </c:pt>
                  <c:pt idx="2">
                    <c:v>SPT</c:v>
                  </c:pt>
                  <c:pt idx="4">
                    <c:v>SHET</c:v>
                  </c:pt>
                </c:lvl>
              </c:multiLvlStrCache>
            </c:multiLvlStrRef>
          </c:cat>
          <c:val>
            <c:numRef>
              <c:f>RORE!$I$7:$N$7</c:f>
              <c:numCache>
                <c:formatCode>0%</c:formatCode>
                <c:ptCount val="6"/>
                <c:pt idx="0">
                  <c:v>7.2830000000000006E-2</c:v>
                </c:pt>
                <c:pt idx="1">
                  <c:v>7.2849999999999998E-2</c:v>
                </c:pt>
                <c:pt idx="2">
                  <c:v>7.9766000000000004E-2</c:v>
                </c:pt>
                <c:pt idx="3">
                  <c:v>7.9769000000000007E-2</c:v>
                </c:pt>
                <c:pt idx="4">
                  <c:v>7.4385000000000007E-2</c:v>
                </c:pt>
                <c:pt idx="5">
                  <c:v>7.4439000000000005E-2</c:v>
                </c:pt>
              </c:numCache>
            </c:numRef>
          </c:val>
          <c:extLst>
            <c:ext xmlns:c16="http://schemas.microsoft.com/office/drawing/2014/chart" uri="{C3380CC4-5D6E-409C-BE32-E72D297353CC}">
              <c16:uniqueId val="{00000000-0DA6-4A53-89AD-FA718590DA59}"/>
            </c:ext>
          </c:extLst>
        </c:ser>
        <c:ser>
          <c:idx val="1"/>
          <c:order val="1"/>
          <c:tx>
            <c:strRef>
              <c:f>RORE!$H$8</c:f>
              <c:strCache>
                <c:ptCount val="1"/>
                <c:pt idx="0">
                  <c:v>Operational performance - Totex</c:v>
                </c:pt>
              </c:strCache>
            </c:strRef>
          </c:tx>
          <c:spPr>
            <a:solidFill>
              <a:srgbClr val="FFC000"/>
            </a:solidFill>
            <a:ln>
              <a:noFill/>
            </a:ln>
            <a:effectLst/>
          </c:spPr>
          <c:invertIfNegative val="0"/>
          <c:cat>
            <c:multiLvlStrRef>
              <c:f>RORE!$I$5:$N$6</c:f>
              <c:multiLvlStrCache>
                <c:ptCount val="6"/>
                <c:lvl>
                  <c:pt idx="0">
                    <c:v>2018</c:v>
                  </c:pt>
                  <c:pt idx="1">
                    <c:v>2019</c:v>
                  </c:pt>
                  <c:pt idx="2">
                    <c:v>2018</c:v>
                  </c:pt>
                  <c:pt idx="3">
                    <c:v>2019</c:v>
                  </c:pt>
                  <c:pt idx="4">
                    <c:v>2018</c:v>
                  </c:pt>
                  <c:pt idx="5">
                    <c:v>2019</c:v>
                  </c:pt>
                </c:lvl>
                <c:lvl>
                  <c:pt idx="0">
                    <c:v>NGET (TO)</c:v>
                  </c:pt>
                  <c:pt idx="2">
                    <c:v>SPT</c:v>
                  </c:pt>
                  <c:pt idx="4">
                    <c:v>SHET</c:v>
                  </c:pt>
                </c:lvl>
              </c:multiLvlStrCache>
            </c:multiLvlStrRef>
          </c:cat>
          <c:val>
            <c:numRef>
              <c:f>RORE!$I$8:$N$8</c:f>
              <c:numCache>
                <c:formatCode>0%</c:formatCode>
                <c:ptCount val="6"/>
                <c:pt idx="0">
                  <c:v>1.8325000000000001E-2</c:v>
                </c:pt>
                <c:pt idx="1">
                  <c:v>1.9400000000000001E-2</c:v>
                </c:pt>
                <c:pt idx="2">
                  <c:v>3.5630000000000002E-3</c:v>
                </c:pt>
                <c:pt idx="3">
                  <c:v>5.0480000000000004E-3</c:v>
                </c:pt>
                <c:pt idx="4">
                  <c:v>1.5910000000000001E-2</c:v>
                </c:pt>
                <c:pt idx="5">
                  <c:v>1.1794000000000001E-2</c:v>
                </c:pt>
              </c:numCache>
            </c:numRef>
          </c:val>
          <c:extLst>
            <c:ext xmlns:c16="http://schemas.microsoft.com/office/drawing/2014/chart" uri="{C3380CC4-5D6E-409C-BE32-E72D297353CC}">
              <c16:uniqueId val="{00000001-0DA6-4A53-89AD-FA718590DA59}"/>
            </c:ext>
          </c:extLst>
        </c:ser>
        <c:ser>
          <c:idx val="2"/>
          <c:order val="2"/>
          <c:tx>
            <c:strRef>
              <c:f>RORE!$H$9</c:f>
              <c:strCache>
                <c:ptCount val="1"/>
                <c:pt idx="0">
                  <c:v>Operational performance - other</c:v>
                </c:pt>
              </c:strCache>
            </c:strRef>
          </c:tx>
          <c:spPr>
            <a:solidFill>
              <a:srgbClr val="CD151B"/>
            </a:solidFill>
            <a:ln>
              <a:noFill/>
            </a:ln>
            <a:effectLst/>
          </c:spPr>
          <c:invertIfNegative val="0"/>
          <c:cat>
            <c:multiLvlStrRef>
              <c:f>RORE!$I$5:$N$6</c:f>
              <c:multiLvlStrCache>
                <c:ptCount val="6"/>
                <c:lvl>
                  <c:pt idx="0">
                    <c:v>2018</c:v>
                  </c:pt>
                  <c:pt idx="1">
                    <c:v>2019</c:v>
                  </c:pt>
                  <c:pt idx="2">
                    <c:v>2018</c:v>
                  </c:pt>
                  <c:pt idx="3">
                    <c:v>2019</c:v>
                  </c:pt>
                  <c:pt idx="4">
                    <c:v>2018</c:v>
                  </c:pt>
                  <c:pt idx="5">
                    <c:v>2019</c:v>
                  </c:pt>
                </c:lvl>
                <c:lvl>
                  <c:pt idx="0">
                    <c:v>NGET (TO)</c:v>
                  </c:pt>
                  <c:pt idx="2">
                    <c:v>SPT</c:v>
                  </c:pt>
                  <c:pt idx="4">
                    <c:v>SHET</c:v>
                  </c:pt>
                </c:lvl>
              </c:multiLvlStrCache>
            </c:multiLvlStrRef>
          </c:cat>
          <c:val>
            <c:numRef>
              <c:f>RORE!$I$9:$N$9</c:f>
              <c:numCache>
                <c:formatCode>0%</c:formatCode>
                <c:ptCount val="6"/>
                <c:pt idx="0">
                  <c:v>1.964E-3</c:v>
                </c:pt>
                <c:pt idx="1">
                  <c:v>2.2799999999999999E-3</c:v>
                </c:pt>
                <c:pt idx="2">
                  <c:v>3.8760000000000001E-3</c:v>
                </c:pt>
                <c:pt idx="3">
                  <c:v>4.0819999999999997E-3</c:v>
                </c:pt>
                <c:pt idx="4">
                  <c:v>1.516E-3</c:v>
                </c:pt>
                <c:pt idx="5">
                  <c:v>2.3939999999999999E-3</c:v>
                </c:pt>
              </c:numCache>
            </c:numRef>
          </c:val>
          <c:extLst>
            <c:ext xmlns:c16="http://schemas.microsoft.com/office/drawing/2014/chart" uri="{C3380CC4-5D6E-409C-BE32-E72D297353CC}">
              <c16:uniqueId val="{00000002-0DA6-4A53-89AD-FA718590DA59}"/>
            </c:ext>
          </c:extLst>
        </c:ser>
        <c:ser>
          <c:idx val="4"/>
          <c:order val="4"/>
          <c:tx>
            <c:strRef>
              <c:f>RORE!$H$11</c:f>
              <c:strCache>
                <c:ptCount val="1"/>
                <c:pt idx="0">
                  <c:v>Financing and tax performance</c:v>
                </c:pt>
              </c:strCache>
            </c:strRef>
          </c:tx>
          <c:spPr>
            <a:solidFill>
              <a:srgbClr val="F57F29"/>
            </a:solidFill>
            <a:ln>
              <a:noFill/>
            </a:ln>
            <a:effectLst/>
          </c:spPr>
          <c:invertIfNegative val="0"/>
          <c:cat>
            <c:multiLvlStrRef>
              <c:f>RORE!$I$5:$N$6</c:f>
              <c:multiLvlStrCache>
                <c:ptCount val="6"/>
                <c:lvl>
                  <c:pt idx="0">
                    <c:v>2018</c:v>
                  </c:pt>
                  <c:pt idx="1">
                    <c:v>2019</c:v>
                  </c:pt>
                  <c:pt idx="2">
                    <c:v>2018</c:v>
                  </c:pt>
                  <c:pt idx="3">
                    <c:v>2019</c:v>
                  </c:pt>
                  <c:pt idx="4">
                    <c:v>2018</c:v>
                  </c:pt>
                  <c:pt idx="5">
                    <c:v>2019</c:v>
                  </c:pt>
                </c:lvl>
                <c:lvl>
                  <c:pt idx="0">
                    <c:v>NGET (TO)</c:v>
                  </c:pt>
                  <c:pt idx="2">
                    <c:v>SPT</c:v>
                  </c:pt>
                  <c:pt idx="4">
                    <c:v>SHET</c:v>
                  </c:pt>
                </c:lvl>
              </c:multiLvlStrCache>
            </c:multiLvlStrRef>
          </c:cat>
          <c:val>
            <c:numRef>
              <c:f>RORE!$I$11:$N$11</c:f>
              <c:numCache>
                <c:formatCode>0%</c:formatCode>
                <c:ptCount val="6"/>
                <c:pt idx="0">
                  <c:v>1.0942385146689902E-2</c:v>
                </c:pt>
                <c:pt idx="1">
                  <c:v>1.0639648694885961E-2</c:v>
                </c:pt>
                <c:pt idx="2">
                  <c:v>1.6843462882764199E-2</c:v>
                </c:pt>
                <c:pt idx="3">
                  <c:v>1.9726744208118357E-2</c:v>
                </c:pt>
                <c:pt idx="4">
                  <c:v>-1.1434551253278642E-2</c:v>
                </c:pt>
                <c:pt idx="5">
                  <c:v>2.6404698348117834E-3</c:v>
                </c:pt>
              </c:numCache>
            </c:numRef>
          </c:val>
          <c:extLst>
            <c:ext xmlns:c16="http://schemas.microsoft.com/office/drawing/2014/chart" uri="{C3380CC4-5D6E-409C-BE32-E72D297353CC}">
              <c16:uniqueId val="{00000003-0DA6-4A53-89AD-FA718590DA59}"/>
            </c:ext>
          </c:extLst>
        </c:ser>
        <c:dLbls>
          <c:showLegendKey val="0"/>
          <c:showVal val="0"/>
          <c:showCatName val="0"/>
          <c:showSerName val="0"/>
          <c:showPercent val="0"/>
          <c:showBubbleSize val="0"/>
        </c:dLbls>
        <c:gapWidth val="219"/>
        <c:overlap val="100"/>
        <c:axId val="1590444511"/>
        <c:axId val="1590443263"/>
      </c:barChart>
      <c:lineChart>
        <c:grouping val="standard"/>
        <c:varyColors val="0"/>
        <c:ser>
          <c:idx val="3"/>
          <c:order val="3"/>
          <c:tx>
            <c:strRef>
              <c:f>RORE!$H$10</c:f>
              <c:strCache>
                <c:ptCount val="1"/>
                <c:pt idx="0">
                  <c:v>Operational RoRE</c:v>
                </c:pt>
              </c:strCache>
            </c:strRef>
          </c:tx>
          <c:spPr>
            <a:ln w="28575" cap="rnd">
              <a:solidFill>
                <a:srgbClr val="00B2BF"/>
              </a:solidFill>
              <a:round/>
            </a:ln>
            <a:effectLst/>
          </c:spPr>
          <c:marker>
            <c:symbol val="circle"/>
            <c:size val="5"/>
            <c:spPr>
              <a:solidFill>
                <a:srgbClr val="00B2BF"/>
              </a:solidFill>
              <a:ln w="9525">
                <a:solidFill>
                  <a:schemeClr val="accent4"/>
                </a:solidFill>
              </a:ln>
              <a:effectLst/>
            </c:spPr>
          </c:marker>
          <c:cat>
            <c:multiLvlStrRef>
              <c:f>'[6]RoRE comparison 1718 -1819'!$C$44:$H$45</c:f>
              <c:multiLvlStrCache>
                <c:ptCount val="6"/>
                <c:lvl>
                  <c:pt idx="0">
                    <c:v>2018</c:v>
                  </c:pt>
                  <c:pt idx="1">
                    <c:v>2019</c:v>
                  </c:pt>
                  <c:pt idx="2">
                    <c:v>2018</c:v>
                  </c:pt>
                  <c:pt idx="3">
                    <c:v>2019</c:v>
                  </c:pt>
                  <c:pt idx="4">
                    <c:v>2018</c:v>
                  </c:pt>
                  <c:pt idx="5">
                    <c:v>2019</c:v>
                  </c:pt>
                </c:lvl>
                <c:lvl>
                  <c:pt idx="0">
                    <c:v>NGET (TO)</c:v>
                  </c:pt>
                  <c:pt idx="2">
                    <c:v>SPT</c:v>
                  </c:pt>
                  <c:pt idx="4">
                    <c:v>SHET</c:v>
                  </c:pt>
                </c:lvl>
              </c:multiLvlStrCache>
            </c:multiLvlStrRef>
          </c:cat>
          <c:val>
            <c:numRef>
              <c:f>RORE!$I$10:$N$10</c:f>
              <c:numCache>
                <c:formatCode>0.0%</c:formatCode>
                <c:ptCount val="6"/>
                <c:pt idx="0">
                  <c:v>9.3119000000000007E-2</c:v>
                </c:pt>
                <c:pt idx="1">
                  <c:v>9.4530000000000003E-2</c:v>
                </c:pt>
                <c:pt idx="2">
                  <c:v>8.7205000000000005E-2</c:v>
                </c:pt>
                <c:pt idx="3">
                  <c:v>8.8899000000000006E-2</c:v>
                </c:pt>
                <c:pt idx="4">
                  <c:v>9.1811000000000018E-2</c:v>
                </c:pt>
                <c:pt idx="5">
                  <c:v>8.8626999999999997E-2</c:v>
                </c:pt>
              </c:numCache>
            </c:numRef>
          </c:val>
          <c:smooth val="0"/>
          <c:extLst>
            <c:ext xmlns:c16="http://schemas.microsoft.com/office/drawing/2014/chart" uri="{C3380CC4-5D6E-409C-BE32-E72D297353CC}">
              <c16:uniqueId val="{00000004-0DA6-4A53-89AD-FA718590DA59}"/>
            </c:ext>
          </c:extLst>
        </c:ser>
        <c:ser>
          <c:idx val="5"/>
          <c:order val="5"/>
          <c:tx>
            <c:strRef>
              <c:f>RORE!$H$12</c:f>
              <c:strCache>
                <c:ptCount val="1"/>
                <c:pt idx="0">
                  <c:v>Total RoRE - with financing and tax</c:v>
                </c:pt>
              </c:strCache>
            </c:strRef>
          </c:tx>
          <c:spPr>
            <a:ln w="28575" cap="rnd">
              <a:solidFill>
                <a:srgbClr val="2062AF"/>
              </a:solidFill>
              <a:round/>
            </a:ln>
            <a:effectLst/>
          </c:spPr>
          <c:marker>
            <c:symbol val="circle"/>
            <c:size val="5"/>
            <c:spPr>
              <a:solidFill>
                <a:srgbClr val="2062AF"/>
              </a:solidFill>
              <a:ln w="9525">
                <a:solidFill>
                  <a:schemeClr val="accent6"/>
                </a:solidFill>
              </a:ln>
              <a:effectLst/>
            </c:spPr>
          </c:marker>
          <c:cat>
            <c:multiLvlStrRef>
              <c:f>'[6]RoRE comparison 1718 -1819'!$C$44:$H$45</c:f>
              <c:multiLvlStrCache>
                <c:ptCount val="6"/>
                <c:lvl>
                  <c:pt idx="0">
                    <c:v>2018</c:v>
                  </c:pt>
                  <c:pt idx="1">
                    <c:v>2019</c:v>
                  </c:pt>
                  <c:pt idx="2">
                    <c:v>2018</c:v>
                  </c:pt>
                  <c:pt idx="3">
                    <c:v>2019</c:v>
                  </c:pt>
                  <c:pt idx="4">
                    <c:v>2018</c:v>
                  </c:pt>
                  <c:pt idx="5">
                    <c:v>2019</c:v>
                  </c:pt>
                </c:lvl>
                <c:lvl>
                  <c:pt idx="0">
                    <c:v>NGET (TO)</c:v>
                  </c:pt>
                  <c:pt idx="2">
                    <c:v>SPT</c:v>
                  </c:pt>
                  <c:pt idx="4">
                    <c:v>SHET</c:v>
                  </c:pt>
                </c:lvl>
              </c:multiLvlStrCache>
            </c:multiLvlStrRef>
          </c:cat>
          <c:val>
            <c:numRef>
              <c:f>RORE!$I$12:$N$12</c:f>
              <c:numCache>
                <c:formatCode>0.0%</c:formatCode>
                <c:ptCount val="6"/>
                <c:pt idx="0">
                  <c:v>0.10406138514668992</c:v>
                </c:pt>
                <c:pt idx="1">
                  <c:v>0.10516964869488596</c:v>
                </c:pt>
                <c:pt idx="2">
                  <c:v>0.1040484628827642</c:v>
                </c:pt>
                <c:pt idx="3">
                  <c:v>0.10862574420811837</c:v>
                </c:pt>
                <c:pt idx="4">
                  <c:v>8.0376448746721368E-2</c:v>
                </c:pt>
                <c:pt idx="5">
                  <c:v>9.1267469834811779E-2</c:v>
                </c:pt>
              </c:numCache>
            </c:numRef>
          </c:val>
          <c:smooth val="0"/>
          <c:extLst>
            <c:ext xmlns:c16="http://schemas.microsoft.com/office/drawing/2014/chart" uri="{C3380CC4-5D6E-409C-BE32-E72D297353CC}">
              <c16:uniqueId val="{00000005-0DA6-4A53-89AD-FA718590DA59}"/>
            </c:ext>
          </c:extLst>
        </c:ser>
        <c:dLbls>
          <c:showLegendKey val="0"/>
          <c:showVal val="0"/>
          <c:showCatName val="0"/>
          <c:showSerName val="0"/>
          <c:showPercent val="0"/>
          <c:showBubbleSize val="0"/>
        </c:dLbls>
        <c:marker val="1"/>
        <c:smooth val="0"/>
        <c:axId val="1590444511"/>
        <c:axId val="1590443263"/>
      </c:lineChart>
      <c:catAx>
        <c:axId val="1590444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590443263"/>
        <c:crosses val="autoZero"/>
        <c:auto val="1"/>
        <c:lblAlgn val="ctr"/>
        <c:lblOffset val="100"/>
        <c:noMultiLvlLbl val="0"/>
      </c:catAx>
      <c:valAx>
        <c:axId val="1590443263"/>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590444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GB" sz="1400" b="1" i="0" baseline="0">
                <a:solidFill>
                  <a:schemeClr val="tx1"/>
                </a:solidFill>
                <a:effectLst/>
              </a:rPr>
              <a:t>SF6 leakage: SPT and SHET</a:t>
            </a:r>
            <a:endParaRPr lang="en-GB" sz="1400" b="1">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'Incentives - charts '!$B$50</c:f>
              <c:strCache>
                <c:ptCount val="1"/>
                <c:pt idx="0">
                  <c:v>2013-14</c:v>
                </c:pt>
              </c:strCache>
            </c:strRef>
          </c:tx>
          <c:spPr>
            <a:solidFill>
              <a:srgbClr val="F57F29"/>
            </a:solidFill>
            <a:ln>
              <a:noFill/>
            </a:ln>
            <a:effectLst/>
          </c:spPr>
          <c:invertIfNegative val="0"/>
          <c:cat>
            <c:strRef>
              <c:f>'Incentives - charts '!$C$49:$D$49</c:f>
              <c:strCache>
                <c:ptCount val="2"/>
                <c:pt idx="0">
                  <c:v>SPT</c:v>
                </c:pt>
                <c:pt idx="1">
                  <c:v>SHET</c:v>
                </c:pt>
              </c:strCache>
            </c:strRef>
          </c:cat>
          <c:val>
            <c:numRef>
              <c:f>'Incentives - charts '!$C$50:$D$50</c:f>
              <c:numCache>
                <c:formatCode>General</c:formatCode>
                <c:ptCount val="2"/>
                <c:pt idx="0">
                  <c:v>156.23130000000003</c:v>
                </c:pt>
                <c:pt idx="1">
                  <c:v>184.57</c:v>
                </c:pt>
              </c:numCache>
            </c:numRef>
          </c:val>
          <c:extLst>
            <c:ext xmlns:c16="http://schemas.microsoft.com/office/drawing/2014/chart" uri="{C3380CC4-5D6E-409C-BE32-E72D297353CC}">
              <c16:uniqueId val="{00000000-7AD0-4109-A9F4-5CD971C6EA05}"/>
            </c:ext>
          </c:extLst>
        </c:ser>
        <c:ser>
          <c:idx val="1"/>
          <c:order val="1"/>
          <c:tx>
            <c:strRef>
              <c:f>'Incentives - charts '!$B$51</c:f>
              <c:strCache>
                <c:ptCount val="1"/>
                <c:pt idx="0">
                  <c:v>2014-15</c:v>
                </c:pt>
              </c:strCache>
            </c:strRef>
          </c:tx>
          <c:spPr>
            <a:solidFill>
              <a:srgbClr val="45216F"/>
            </a:solidFill>
            <a:ln>
              <a:noFill/>
            </a:ln>
            <a:effectLst/>
          </c:spPr>
          <c:invertIfNegative val="0"/>
          <c:cat>
            <c:strRef>
              <c:f>'Incentives - charts '!$C$49:$D$49</c:f>
              <c:strCache>
                <c:ptCount val="2"/>
                <c:pt idx="0">
                  <c:v>SPT</c:v>
                </c:pt>
                <c:pt idx="1">
                  <c:v>SHET</c:v>
                </c:pt>
              </c:strCache>
            </c:strRef>
          </c:cat>
          <c:val>
            <c:numRef>
              <c:f>'Incentives - charts '!$C$51:$D$51</c:f>
              <c:numCache>
                <c:formatCode>General</c:formatCode>
                <c:ptCount val="2"/>
                <c:pt idx="0">
                  <c:v>-97.171374999999898</c:v>
                </c:pt>
                <c:pt idx="1">
                  <c:v>166.1</c:v>
                </c:pt>
              </c:numCache>
            </c:numRef>
          </c:val>
          <c:extLst>
            <c:ext xmlns:c16="http://schemas.microsoft.com/office/drawing/2014/chart" uri="{C3380CC4-5D6E-409C-BE32-E72D297353CC}">
              <c16:uniqueId val="{00000001-7AD0-4109-A9F4-5CD971C6EA05}"/>
            </c:ext>
          </c:extLst>
        </c:ser>
        <c:ser>
          <c:idx val="2"/>
          <c:order val="2"/>
          <c:tx>
            <c:strRef>
              <c:f>'Incentives - charts '!$B$52</c:f>
              <c:strCache>
                <c:ptCount val="1"/>
                <c:pt idx="0">
                  <c:v>2015-16</c:v>
                </c:pt>
              </c:strCache>
            </c:strRef>
          </c:tx>
          <c:spPr>
            <a:solidFill>
              <a:srgbClr val="D0B00E"/>
            </a:solidFill>
            <a:ln>
              <a:noFill/>
            </a:ln>
            <a:effectLst/>
          </c:spPr>
          <c:invertIfNegative val="0"/>
          <c:cat>
            <c:strRef>
              <c:f>'Incentives - charts '!$C$49:$D$49</c:f>
              <c:strCache>
                <c:ptCount val="2"/>
                <c:pt idx="0">
                  <c:v>SPT</c:v>
                </c:pt>
                <c:pt idx="1">
                  <c:v>SHET</c:v>
                </c:pt>
              </c:strCache>
            </c:strRef>
          </c:cat>
          <c:val>
            <c:numRef>
              <c:f>'Incentives - charts '!$C$52:$D$52</c:f>
              <c:numCache>
                <c:formatCode>General</c:formatCode>
                <c:ptCount val="2"/>
                <c:pt idx="0">
                  <c:v>-177.86715000000004</c:v>
                </c:pt>
                <c:pt idx="1">
                  <c:v>48.574000000000012</c:v>
                </c:pt>
              </c:numCache>
            </c:numRef>
          </c:val>
          <c:extLst>
            <c:ext xmlns:c16="http://schemas.microsoft.com/office/drawing/2014/chart" uri="{C3380CC4-5D6E-409C-BE32-E72D297353CC}">
              <c16:uniqueId val="{00000002-7AD0-4109-A9F4-5CD971C6EA05}"/>
            </c:ext>
          </c:extLst>
        </c:ser>
        <c:ser>
          <c:idx val="3"/>
          <c:order val="3"/>
          <c:tx>
            <c:strRef>
              <c:f>'Incentives - charts '!$B$53</c:f>
              <c:strCache>
                <c:ptCount val="1"/>
                <c:pt idx="0">
                  <c:v>2016-17</c:v>
                </c:pt>
              </c:strCache>
            </c:strRef>
          </c:tx>
          <c:spPr>
            <a:solidFill>
              <a:srgbClr val="CD1543"/>
            </a:solidFill>
            <a:ln>
              <a:noFill/>
            </a:ln>
            <a:effectLst/>
          </c:spPr>
          <c:invertIfNegative val="0"/>
          <c:cat>
            <c:strRef>
              <c:f>'Incentives - charts '!$C$49:$D$49</c:f>
              <c:strCache>
                <c:ptCount val="2"/>
                <c:pt idx="0">
                  <c:v>SPT</c:v>
                </c:pt>
                <c:pt idx="1">
                  <c:v>SHET</c:v>
                </c:pt>
              </c:strCache>
            </c:strRef>
          </c:cat>
          <c:val>
            <c:numRef>
              <c:f>'Incentives - charts '!$C$53:$D$53</c:f>
              <c:numCache>
                <c:formatCode>General</c:formatCode>
                <c:ptCount val="2"/>
                <c:pt idx="0">
                  <c:v>-319.30882500000007</c:v>
                </c:pt>
                <c:pt idx="1">
                  <c:v>7.9000000000007731E-2</c:v>
                </c:pt>
              </c:numCache>
            </c:numRef>
          </c:val>
          <c:extLst>
            <c:ext xmlns:c16="http://schemas.microsoft.com/office/drawing/2014/chart" uri="{C3380CC4-5D6E-409C-BE32-E72D297353CC}">
              <c16:uniqueId val="{00000000-4890-4076-B0B8-A2299F7A36EC}"/>
            </c:ext>
          </c:extLst>
        </c:ser>
        <c:ser>
          <c:idx val="4"/>
          <c:order val="4"/>
          <c:tx>
            <c:strRef>
              <c:f>'Incentives - charts '!$B$54</c:f>
              <c:strCache>
                <c:ptCount val="1"/>
                <c:pt idx="0">
                  <c:v>2017-18</c:v>
                </c:pt>
              </c:strCache>
            </c:strRef>
          </c:tx>
          <c:spPr>
            <a:solidFill>
              <a:srgbClr val="2062AF"/>
            </a:solidFill>
            <a:ln>
              <a:noFill/>
            </a:ln>
            <a:effectLst/>
          </c:spPr>
          <c:invertIfNegative val="0"/>
          <c:cat>
            <c:strRef>
              <c:f>'Incentives - charts '!$C$49:$D$49</c:f>
              <c:strCache>
                <c:ptCount val="2"/>
                <c:pt idx="0">
                  <c:v>SPT</c:v>
                </c:pt>
                <c:pt idx="1">
                  <c:v>SHET</c:v>
                </c:pt>
              </c:strCache>
            </c:strRef>
          </c:cat>
          <c:val>
            <c:numRef>
              <c:f>'Incentives - charts '!$C$54:$D$54</c:f>
              <c:numCache>
                <c:formatCode>General</c:formatCode>
                <c:ptCount val="2"/>
                <c:pt idx="0">
                  <c:v>-322.09209999999996</c:v>
                </c:pt>
                <c:pt idx="1">
                  <c:v>-13.31475000000006</c:v>
                </c:pt>
              </c:numCache>
            </c:numRef>
          </c:val>
          <c:extLst>
            <c:ext xmlns:c16="http://schemas.microsoft.com/office/drawing/2014/chart" uri="{C3380CC4-5D6E-409C-BE32-E72D297353CC}">
              <c16:uniqueId val="{00000001-4890-4076-B0B8-A2299F7A36EC}"/>
            </c:ext>
          </c:extLst>
        </c:ser>
        <c:ser>
          <c:idx val="5"/>
          <c:order val="5"/>
          <c:tx>
            <c:strRef>
              <c:f>'Incentives - charts '!$B$55</c:f>
              <c:strCache>
                <c:ptCount val="1"/>
                <c:pt idx="0">
                  <c:v>2018-19</c:v>
                </c:pt>
              </c:strCache>
            </c:strRef>
          </c:tx>
          <c:spPr>
            <a:solidFill>
              <a:srgbClr val="00B2BF"/>
            </a:solidFill>
            <a:ln>
              <a:noFill/>
            </a:ln>
            <a:effectLst/>
          </c:spPr>
          <c:invertIfNegative val="0"/>
          <c:cat>
            <c:strRef>
              <c:f>'Incentives - charts '!$C$49:$D$49</c:f>
              <c:strCache>
                <c:ptCount val="2"/>
                <c:pt idx="0">
                  <c:v>SPT</c:v>
                </c:pt>
                <c:pt idx="1">
                  <c:v>SHET</c:v>
                </c:pt>
              </c:strCache>
            </c:strRef>
          </c:cat>
          <c:val>
            <c:numRef>
              <c:f>'Incentives - charts '!$C$55:$D$55</c:f>
              <c:numCache>
                <c:formatCode>General</c:formatCode>
                <c:ptCount val="2"/>
                <c:pt idx="0">
                  <c:v>-92.708150000000046</c:v>
                </c:pt>
                <c:pt idx="1">
                  <c:v>-5.0717500000000086</c:v>
                </c:pt>
              </c:numCache>
            </c:numRef>
          </c:val>
          <c:extLst>
            <c:ext xmlns:c16="http://schemas.microsoft.com/office/drawing/2014/chart" uri="{C3380CC4-5D6E-409C-BE32-E72D297353CC}">
              <c16:uniqueId val="{00000002-4890-4076-B0B8-A2299F7A36EC}"/>
            </c:ext>
          </c:extLst>
        </c:ser>
        <c:dLbls>
          <c:showLegendKey val="0"/>
          <c:showVal val="0"/>
          <c:showCatName val="0"/>
          <c:showSerName val="0"/>
          <c:showPercent val="0"/>
          <c:showBubbleSize val="0"/>
        </c:dLbls>
        <c:gapWidth val="219"/>
        <c:overlap val="-27"/>
        <c:axId val="861874448"/>
        <c:axId val="861873792"/>
      </c:barChart>
      <c:catAx>
        <c:axId val="86187444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861873792"/>
        <c:crosses val="autoZero"/>
        <c:auto val="1"/>
        <c:lblAlgn val="ctr"/>
        <c:lblOffset val="100"/>
        <c:noMultiLvlLbl val="0"/>
      </c:catAx>
      <c:valAx>
        <c:axId val="861873792"/>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Annual leakage kg</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6187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GB" sz="1400" b="1" i="0" baseline="0">
                <a:solidFill>
                  <a:schemeClr val="tx1"/>
                </a:solidFill>
                <a:effectLst/>
              </a:rPr>
              <a:t>BCF: SPT and SHET</a:t>
            </a:r>
            <a:endParaRPr lang="en-GB" sz="1400" b="1">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188817626417407"/>
          <c:y val="0.1584453798393442"/>
          <c:w val="0.87501471469366321"/>
          <c:h val="0.62448406223856456"/>
        </c:manualLayout>
      </c:layout>
      <c:barChart>
        <c:barDir val="col"/>
        <c:grouping val="clustered"/>
        <c:varyColors val="0"/>
        <c:ser>
          <c:idx val="1"/>
          <c:order val="0"/>
          <c:tx>
            <c:strRef>
              <c:f>'Incentives - charts '!$B$69</c:f>
              <c:strCache>
                <c:ptCount val="1"/>
                <c:pt idx="0">
                  <c:v>2013-14</c:v>
                </c:pt>
              </c:strCache>
            </c:strRef>
          </c:tx>
          <c:spPr>
            <a:solidFill>
              <a:srgbClr val="F57F29"/>
            </a:solidFill>
            <a:ln>
              <a:noFill/>
            </a:ln>
            <a:effectLst/>
          </c:spPr>
          <c:invertIfNegative val="0"/>
          <c:cat>
            <c:strRef>
              <c:f>'Incentives - charts '!$D$68:$E$68</c:f>
              <c:strCache>
                <c:ptCount val="2"/>
                <c:pt idx="0">
                  <c:v>SHET</c:v>
                </c:pt>
                <c:pt idx="1">
                  <c:v>SPT</c:v>
                </c:pt>
              </c:strCache>
            </c:strRef>
          </c:cat>
          <c:val>
            <c:numRef>
              <c:f>'Incentives - charts '!$D$69:$E$69</c:f>
              <c:numCache>
                <c:formatCode>_-* #,##0_-;\-* #,##0_-;_-* "-"??_-;_-@_-</c:formatCode>
                <c:ptCount val="2"/>
                <c:pt idx="0">
                  <c:v>26384</c:v>
                </c:pt>
                <c:pt idx="1">
                  <c:v>189616.81615909899</c:v>
                </c:pt>
              </c:numCache>
            </c:numRef>
          </c:val>
          <c:extLst>
            <c:ext xmlns:c16="http://schemas.microsoft.com/office/drawing/2014/chart" uri="{C3380CC4-5D6E-409C-BE32-E72D297353CC}">
              <c16:uniqueId val="{00000001-0C90-4922-9F40-DFB6E6E28519}"/>
            </c:ext>
          </c:extLst>
        </c:ser>
        <c:ser>
          <c:idx val="2"/>
          <c:order val="1"/>
          <c:tx>
            <c:strRef>
              <c:f>'Incentives - charts '!$B$70</c:f>
              <c:strCache>
                <c:ptCount val="1"/>
                <c:pt idx="0">
                  <c:v>2014-15</c:v>
                </c:pt>
              </c:strCache>
            </c:strRef>
          </c:tx>
          <c:spPr>
            <a:solidFill>
              <a:srgbClr val="45216F"/>
            </a:solidFill>
            <a:ln>
              <a:noFill/>
            </a:ln>
            <a:effectLst/>
          </c:spPr>
          <c:invertIfNegative val="0"/>
          <c:cat>
            <c:strRef>
              <c:f>'Incentives - charts '!$D$68:$E$68</c:f>
              <c:strCache>
                <c:ptCount val="2"/>
                <c:pt idx="0">
                  <c:v>SHET</c:v>
                </c:pt>
                <c:pt idx="1">
                  <c:v>SPT</c:v>
                </c:pt>
              </c:strCache>
            </c:strRef>
          </c:cat>
          <c:val>
            <c:numRef>
              <c:f>'Incentives - charts '!$D$70:$E$70</c:f>
              <c:numCache>
                <c:formatCode>_-* #,##0_-;\-* #,##0_-;_-* "-"??_-;_-@_-</c:formatCode>
                <c:ptCount val="2"/>
                <c:pt idx="0">
                  <c:v>346176</c:v>
                </c:pt>
                <c:pt idx="1">
                  <c:v>258498.06617693813</c:v>
                </c:pt>
              </c:numCache>
            </c:numRef>
          </c:val>
          <c:extLst>
            <c:ext xmlns:c16="http://schemas.microsoft.com/office/drawing/2014/chart" uri="{C3380CC4-5D6E-409C-BE32-E72D297353CC}">
              <c16:uniqueId val="{00000002-822B-4170-B4B2-664CE27231C2}"/>
            </c:ext>
          </c:extLst>
        </c:ser>
        <c:ser>
          <c:idx val="0"/>
          <c:order val="2"/>
          <c:tx>
            <c:strRef>
              <c:f>'Incentives - charts '!$B$71</c:f>
              <c:strCache>
                <c:ptCount val="1"/>
                <c:pt idx="0">
                  <c:v>2015-16</c:v>
                </c:pt>
              </c:strCache>
            </c:strRef>
          </c:tx>
          <c:spPr>
            <a:solidFill>
              <a:srgbClr val="D0B00E"/>
            </a:solidFill>
            <a:ln>
              <a:noFill/>
            </a:ln>
            <a:effectLst/>
          </c:spPr>
          <c:invertIfNegative val="0"/>
          <c:cat>
            <c:strRef>
              <c:f>'Incentives - charts '!$D$68:$E$68</c:f>
              <c:strCache>
                <c:ptCount val="2"/>
                <c:pt idx="0">
                  <c:v>SHET</c:v>
                </c:pt>
                <c:pt idx="1">
                  <c:v>SPT</c:v>
                </c:pt>
              </c:strCache>
            </c:strRef>
          </c:cat>
          <c:val>
            <c:numRef>
              <c:f>'Incentives - charts '!$D$71:$E$71</c:f>
              <c:numCache>
                <c:formatCode>_-* #,##0_-;\-* #,##0_-;_-* "-"??_-;_-@_-</c:formatCode>
                <c:ptCount val="2"/>
                <c:pt idx="0">
                  <c:v>306158</c:v>
                </c:pt>
                <c:pt idx="1">
                  <c:v>210090.54150672312</c:v>
                </c:pt>
              </c:numCache>
            </c:numRef>
          </c:val>
          <c:extLst>
            <c:ext xmlns:c16="http://schemas.microsoft.com/office/drawing/2014/chart" uri="{C3380CC4-5D6E-409C-BE32-E72D297353CC}">
              <c16:uniqueId val="{00000000-5239-4141-9C98-B2AB34976ADA}"/>
            </c:ext>
          </c:extLst>
        </c:ser>
        <c:ser>
          <c:idx val="3"/>
          <c:order val="3"/>
          <c:tx>
            <c:strRef>
              <c:f>'Incentives - charts '!$B$72</c:f>
              <c:strCache>
                <c:ptCount val="1"/>
                <c:pt idx="0">
                  <c:v>2016-17</c:v>
                </c:pt>
              </c:strCache>
            </c:strRef>
          </c:tx>
          <c:spPr>
            <a:solidFill>
              <a:srgbClr val="CD1543"/>
            </a:solidFill>
            <a:ln>
              <a:noFill/>
            </a:ln>
            <a:effectLst/>
          </c:spPr>
          <c:invertIfNegative val="0"/>
          <c:cat>
            <c:strRef>
              <c:f>'Incentives - charts '!$D$68:$E$68</c:f>
              <c:strCache>
                <c:ptCount val="2"/>
                <c:pt idx="0">
                  <c:v>SHET</c:v>
                </c:pt>
                <c:pt idx="1">
                  <c:v>SPT</c:v>
                </c:pt>
              </c:strCache>
            </c:strRef>
          </c:cat>
          <c:val>
            <c:numRef>
              <c:f>'Incentives - charts '!$D$72:$E$72</c:f>
              <c:numCache>
                <c:formatCode>_-* #,##0_-;\-* #,##0_-;_-* "-"??_-;_-@_-</c:formatCode>
                <c:ptCount val="2"/>
                <c:pt idx="0">
                  <c:v>124173</c:v>
                </c:pt>
                <c:pt idx="1">
                  <c:v>278778.14340608648</c:v>
                </c:pt>
              </c:numCache>
            </c:numRef>
          </c:val>
          <c:extLst>
            <c:ext xmlns:c16="http://schemas.microsoft.com/office/drawing/2014/chart" uri="{C3380CC4-5D6E-409C-BE32-E72D297353CC}">
              <c16:uniqueId val="{00000001-5239-4141-9C98-B2AB34976ADA}"/>
            </c:ext>
          </c:extLst>
        </c:ser>
        <c:ser>
          <c:idx val="4"/>
          <c:order val="4"/>
          <c:tx>
            <c:strRef>
              <c:f>'Incentives - charts '!$B$73</c:f>
              <c:strCache>
                <c:ptCount val="1"/>
                <c:pt idx="0">
                  <c:v>2017-18</c:v>
                </c:pt>
              </c:strCache>
            </c:strRef>
          </c:tx>
          <c:spPr>
            <a:solidFill>
              <a:srgbClr val="2062AF"/>
            </a:solidFill>
            <a:ln>
              <a:noFill/>
            </a:ln>
            <a:effectLst/>
          </c:spPr>
          <c:invertIfNegative val="0"/>
          <c:cat>
            <c:strRef>
              <c:f>'Incentives - charts '!$D$68:$E$68</c:f>
              <c:strCache>
                <c:ptCount val="2"/>
                <c:pt idx="0">
                  <c:v>SHET</c:v>
                </c:pt>
                <c:pt idx="1">
                  <c:v>SPT</c:v>
                </c:pt>
              </c:strCache>
            </c:strRef>
          </c:cat>
          <c:val>
            <c:numRef>
              <c:f>'Incentives - charts '!$D$73:$E$73</c:f>
              <c:numCache>
                <c:formatCode>_-* #,##0_-;\-* #,##0_-;_-* "-"??_-;_-@_-</c:formatCode>
                <c:ptCount val="2"/>
                <c:pt idx="0">
                  <c:v>112643</c:v>
                </c:pt>
                <c:pt idx="1">
                  <c:v>203164.27696665018</c:v>
                </c:pt>
              </c:numCache>
            </c:numRef>
          </c:val>
          <c:extLst>
            <c:ext xmlns:c16="http://schemas.microsoft.com/office/drawing/2014/chart" uri="{C3380CC4-5D6E-409C-BE32-E72D297353CC}">
              <c16:uniqueId val="{00000002-5239-4141-9C98-B2AB34976ADA}"/>
            </c:ext>
          </c:extLst>
        </c:ser>
        <c:ser>
          <c:idx val="5"/>
          <c:order val="5"/>
          <c:tx>
            <c:strRef>
              <c:f>'Incentives - charts '!$B$74</c:f>
              <c:strCache>
                <c:ptCount val="1"/>
                <c:pt idx="0">
                  <c:v>2018-19</c:v>
                </c:pt>
              </c:strCache>
            </c:strRef>
          </c:tx>
          <c:spPr>
            <a:solidFill>
              <a:srgbClr val="00B2BF"/>
            </a:solidFill>
            <a:ln>
              <a:noFill/>
            </a:ln>
            <a:effectLst/>
          </c:spPr>
          <c:invertIfNegative val="0"/>
          <c:cat>
            <c:strRef>
              <c:f>'Incentives - charts '!$D$68:$E$68</c:f>
              <c:strCache>
                <c:ptCount val="2"/>
                <c:pt idx="0">
                  <c:v>SHET</c:v>
                </c:pt>
                <c:pt idx="1">
                  <c:v>SPT</c:v>
                </c:pt>
              </c:strCache>
            </c:strRef>
          </c:cat>
          <c:val>
            <c:numRef>
              <c:f>'Incentives - charts '!$D$74:$E$74</c:f>
              <c:numCache>
                <c:formatCode>_-* #,##0_-;\-* #,##0_-;_-* "-"??_-;_-@_-</c:formatCode>
                <c:ptCount val="2"/>
                <c:pt idx="0">
                  <c:v>9637.1057793652471</c:v>
                </c:pt>
                <c:pt idx="1">
                  <c:v>225588.52340744235</c:v>
                </c:pt>
              </c:numCache>
            </c:numRef>
          </c:val>
          <c:extLst>
            <c:ext xmlns:c16="http://schemas.microsoft.com/office/drawing/2014/chart" uri="{C3380CC4-5D6E-409C-BE32-E72D297353CC}">
              <c16:uniqueId val="{00000003-5239-4141-9C98-B2AB34976ADA}"/>
            </c:ext>
          </c:extLst>
        </c:ser>
        <c:dLbls>
          <c:showLegendKey val="0"/>
          <c:showVal val="0"/>
          <c:showCatName val="0"/>
          <c:showSerName val="0"/>
          <c:showPercent val="0"/>
          <c:showBubbleSize val="0"/>
        </c:dLbls>
        <c:gapWidth val="219"/>
        <c:overlap val="-27"/>
        <c:axId val="861874448"/>
        <c:axId val="861873792"/>
      </c:barChart>
      <c:catAx>
        <c:axId val="86187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861873792"/>
        <c:crosses val="autoZero"/>
        <c:auto val="1"/>
        <c:lblAlgn val="ctr"/>
        <c:lblOffset val="100"/>
        <c:noMultiLvlLbl val="0"/>
      </c:catAx>
      <c:valAx>
        <c:axId val="861873792"/>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6187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'Incentives - charts '!$B$27</c:f>
              <c:strCache>
                <c:ptCount val="1"/>
                <c:pt idx="0">
                  <c:v>2013-14</c:v>
                </c:pt>
              </c:strCache>
            </c:strRef>
          </c:tx>
          <c:spPr>
            <a:solidFill>
              <a:srgbClr val="F57F29"/>
            </a:solidFill>
            <a:ln>
              <a:noFill/>
            </a:ln>
            <a:effectLst/>
          </c:spPr>
          <c:invertIfNegative val="0"/>
          <c:cat>
            <c:strRef>
              <c:f>'Incentives - charts '!$C$26:$E$26</c:f>
              <c:strCache>
                <c:ptCount val="3"/>
                <c:pt idx="0">
                  <c:v>SPT</c:v>
                </c:pt>
                <c:pt idx="1">
                  <c:v>SHET</c:v>
                </c:pt>
                <c:pt idx="2">
                  <c:v>NGET</c:v>
                </c:pt>
              </c:strCache>
            </c:strRef>
          </c:cat>
          <c:val>
            <c:numRef>
              <c:f>'Incentives - charts '!$C$27:$E$27</c:f>
              <c:numCache>
                <c:formatCode>0.0</c:formatCode>
                <c:ptCount val="3"/>
                <c:pt idx="0" formatCode="0">
                  <c:v>42.199999999999996</c:v>
                </c:pt>
                <c:pt idx="1">
                  <c:v>35.6</c:v>
                </c:pt>
                <c:pt idx="2" formatCode="0">
                  <c:v>135</c:v>
                </c:pt>
              </c:numCache>
            </c:numRef>
          </c:val>
          <c:extLst>
            <c:ext xmlns:c16="http://schemas.microsoft.com/office/drawing/2014/chart" uri="{C3380CC4-5D6E-409C-BE32-E72D297353CC}">
              <c16:uniqueId val="{00000000-A177-414C-B0A3-8866CACB5798}"/>
            </c:ext>
          </c:extLst>
        </c:ser>
        <c:ser>
          <c:idx val="1"/>
          <c:order val="1"/>
          <c:tx>
            <c:strRef>
              <c:f>'Incentives - charts '!$B$28</c:f>
              <c:strCache>
                <c:ptCount val="1"/>
                <c:pt idx="0">
                  <c:v>2014-15</c:v>
                </c:pt>
              </c:strCache>
            </c:strRef>
          </c:tx>
          <c:spPr>
            <a:solidFill>
              <a:srgbClr val="45216F"/>
            </a:solidFill>
            <a:ln>
              <a:noFill/>
            </a:ln>
            <a:effectLst/>
          </c:spPr>
          <c:invertIfNegative val="0"/>
          <c:cat>
            <c:strRef>
              <c:f>'Incentives - charts '!$C$26:$E$26</c:f>
              <c:strCache>
                <c:ptCount val="3"/>
                <c:pt idx="0">
                  <c:v>SPT</c:v>
                </c:pt>
                <c:pt idx="1">
                  <c:v>SHET</c:v>
                </c:pt>
                <c:pt idx="2">
                  <c:v>NGET</c:v>
                </c:pt>
              </c:strCache>
            </c:strRef>
          </c:cat>
          <c:val>
            <c:numRef>
              <c:f>'Incentives - charts '!$C$28:$E$28</c:f>
              <c:numCache>
                <c:formatCode>0.00</c:formatCode>
                <c:ptCount val="3"/>
                <c:pt idx="0" formatCode="0">
                  <c:v>2.8</c:v>
                </c:pt>
                <c:pt idx="1">
                  <c:v>106.1</c:v>
                </c:pt>
                <c:pt idx="2" formatCode="0">
                  <c:v>8.6999999999999993</c:v>
                </c:pt>
              </c:numCache>
            </c:numRef>
          </c:val>
          <c:extLst>
            <c:ext xmlns:c16="http://schemas.microsoft.com/office/drawing/2014/chart" uri="{C3380CC4-5D6E-409C-BE32-E72D297353CC}">
              <c16:uniqueId val="{00000001-A177-414C-B0A3-8866CACB5798}"/>
            </c:ext>
          </c:extLst>
        </c:ser>
        <c:ser>
          <c:idx val="2"/>
          <c:order val="2"/>
          <c:tx>
            <c:strRef>
              <c:f>'Incentives - charts '!$B$29</c:f>
              <c:strCache>
                <c:ptCount val="1"/>
                <c:pt idx="0">
                  <c:v>2015-16</c:v>
                </c:pt>
              </c:strCache>
            </c:strRef>
          </c:tx>
          <c:spPr>
            <a:solidFill>
              <a:srgbClr val="D0B00E"/>
            </a:solidFill>
            <a:ln>
              <a:noFill/>
            </a:ln>
            <a:effectLst/>
          </c:spPr>
          <c:invertIfNegative val="0"/>
          <c:cat>
            <c:strRef>
              <c:f>'Incentives - charts '!$C$26:$E$26</c:f>
              <c:strCache>
                <c:ptCount val="3"/>
                <c:pt idx="0">
                  <c:v>SPT</c:v>
                </c:pt>
                <c:pt idx="1">
                  <c:v>SHET</c:v>
                </c:pt>
                <c:pt idx="2">
                  <c:v>NGET</c:v>
                </c:pt>
              </c:strCache>
            </c:strRef>
          </c:cat>
          <c:val>
            <c:numRef>
              <c:f>'Incentives - charts '!$C$29:$E$29</c:f>
              <c:numCache>
                <c:formatCode>0.00</c:formatCode>
                <c:ptCount val="3"/>
                <c:pt idx="0" formatCode="0">
                  <c:v>13.879999999999999</c:v>
                </c:pt>
                <c:pt idx="1">
                  <c:v>0</c:v>
                </c:pt>
                <c:pt idx="2" formatCode="0">
                  <c:v>4.5</c:v>
                </c:pt>
              </c:numCache>
            </c:numRef>
          </c:val>
          <c:extLst>
            <c:ext xmlns:c16="http://schemas.microsoft.com/office/drawing/2014/chart" uri="{C3380CC4-5D6E-409C-BE32-E72D297353CC}">
              <c16:uniqueId val="{00000002-A177-414C-B0A3-8866CACB5798}"/>
            </c:ext>
          </c:extLst>
        </c:ser>
        <c:ser>
          <c:idx val="3"/>
          <c:order val="3"/>
          <c:tx>
            <c:strRef>
              <c:f>'Incentives - charts '!$B$30</c:f>
              <c:strCache>
                <c:ptCount val="1"/>
                <c:pt idx="0">
                  <c:v>2016-17</c:v>
                </c:pt>
              </c:strCache>
            </c:strRef>
          </c:tx>
          <c:spPr>
            <a:solidFill>
              <a:srgbClr val="CD1543"/>
            </a:solidFill>
            <a:ln>
              <a:noFill/>
            </a:ln>
            <a:effectLst/>
          </c:spPr>
          <c:invertIfNegative val="0"/>
          <c:cat>
            <c:strRef>
              <c:f>'Incentives - charts '!$C$26:$E$26</c:f>
              <c:strCache>
                <c:ptCount val="3"/>
                <c:pt idx="0">
                  <c:v>SPT</c:v>
                </c:pt>
                <c:pt idx="1">
                  <c:v>SHET</c:v>
                </c:pt>
                <c:pt idx="2">
                  <c:v>NGET</c:v>
                </c:pt>
              </c:strCache>
            </c:strRef>
          </c:cat>
          <c:val>
            <c:numRef>
              <c:f>'Incentives - charts '!$C$30:$E$30</c:f>
              <c:numCache>
                <c:formatCode>0.00</c:formatCode>
                <c:ptCount val="3"/>
                <c:pt idx="0" formatCode="0">
                  <c:v>10.315693333333332</c:v>
                </c:pt>
                <c:pt idx="1">
                  <c:v>4.4000000000000004</c:v>
                </c:pt>
                <c:pt idx="2" formatCode="0">
                  <c:v>6.8</c:v>
                </c:pt>
              </c:numCache>
            </c:numRef>
          </c:val>
          <c:extLst>
            <c:ext xmlns:c16="http://schemas.microsoft.com/office/drawing/2014/chart" uri="{C3380CC4-5D6E-409C-BE32-E72D297353CC}">
              <c16:uniqueId val="{00000000-5F64-4CED-A6F9-8B40CBB28717}"/>
            </c:ext>
          </c:extLst>
        </c:ser>
        <c:ser>
          <c:idx val="4"/>
          <c:order val="4"/>
          <c:tx>
            <c:strRef>
              <c:f>'Incentives - charts '!$B$31</c:f>
              <c:strCache>
                <c:ptCount val="1"/>
                <c:pt idx="0">
                  <c:v>2017-18</c:v>
                </c:pt>
              </c:strCache>
            </c:strRef>
          </c:tx>
          <c:spPr>
            <a:solidFill>
              <a:srgbClr val="2062AF"/>
            </a:solidFill>
            <a:ln>
              <a:noFill/>
            </a:ln>
            <a:effectLst/>
          </c:spPr>
          <c:invertIfNegative val="0"/>
          <c:cat>
            <c:strRef>
              <c:f>'Incentives - charts '!$C$26:$E$26</c:f>
              <c:strCache>
                <c:ptCount val="3"/>
                <c:pt idx="0">
                  <c:v>SPT</c:v>
                </c:pt>
                <c:pt idx="1">
                  <c:v>SHET</c:v>
                </c:pt>
                <c:pt idx="2">
                  <c:v>NGET</c:v>
                </c:pt>
              </c:strCache>
            </c:strRef>
          </c:cat>
          <c:val>
            <c:numRef>
              <c:f>'Incentives - charts '!$C$31:$E$31</c:f>
              <c:numCache>
                <c:formatCode>0.00</c:formatCode>
                <c:ptCount val="3"/>
                <c:pt idx="0" formatCode="0">
                  <c:v>3.04</c:v>
                </c:pt>
                <c:pt idx="1">
                  <c:v>24.3</c:v>
                </c:pt>
                <c:pt idx="2" formatCode="0">
                  <c:v>39.700000000000003</c:v>
                </c:pt>
              </c:numCache>
            </c:numRef>
          </c:val>
          <c:extLst>
            <c:ext xmlns:c16="http://schemas.microsoft.com/office/drawing/2014/chart" uri="{C3380CC4-5D6E-409C-BE32-E72D297353CC}">
              <c16:uniqueId val="{00000001-5F64-4CED-A6F9-8B40CBB28717}"/>
            </c:ext>
          </c:extLst>
        </c:ser>
        <c:ser>
          <c:idx val="5"/>
          <c:order val="5"/>
          <c:tx>
            <c:strRef>
              <c:f>'Incentives - charts '!$B$32</c:f>
              <c:strCache>
                <c:ptCount val="1"/>
                <c:pt idx="0">
                  <c:v>2018-19</c:v>
                </c:pt>
              </c:strCache>
            </c:strRef>
          </c:tx>
          <c:spPr>
            <a:solidFill>
              <a:srgbClr val="00B2BF"/>
            </a:solidFill>
            <a:ln>
              <a:noFill/>
            </a:ln>
            <a:effectLst/>
          </c:spPr>
          <c:invertIfNegative val="0"/>
          <c:cat>
            <c:strRef>
              <c:f>'Incentives - charts '!$C$26:$E$26</c:f>
              <c:strCache>
                <c:ptCount val="3"/>
                <c:pt idx="0">
                  <c:v>SPT</c:v>
                </c:pt>
                <c:pt idx="1">
                  <c:v>SHET</c:v>
                </c:pt>
                <c:pt idx="2">
                  <c:v>NGET</c:v>
                </c:pt>
              </c:strCache>
            </c:strRef>
          </c:cat>
          <c:val>
            <c:numRef>
              <c:f>'Incentives - charts '!$C$32:$E$32</c:f>
              <c:numCache>
                <c:formatCode>0.0</c:formatCode>
                <c:ptCount val="3"/>
                <c:pt idx="0" formatCode="0">
                  <c:v>39.086958335678325</c:v>
                </c:pt>
                <c:pt idx="1">
                  <c:v>0</c:v>
                </c:pt>
                <c:pt idx="2" formatCode="0">
                  <c:v>12</c:v>
                </c:pt>
              </c:numCache>
            </c:numRef>
          </c:val>
          <c:extLst>
            <c:ext xmlns:c16="http://schemas.microsoft.com/office/drawing/2014/chart" uri="{C3380CC4-5D6E-409C-BE32-E72D297353CC}">
              <c16:uniqueId val="{00000002-5F64-4CED-A6F9-8B40CBB28717}"/>
            </c:ext>
          </c:extLst>
        </c:ser>
        <c:dLbls>
          <c:showLegendKey val="0"/>
          <c:showVal val="0"/>
          <c:showCatName val="0"/>
          <c:showSerName val="0"/>
          <c:showPercent val="0"/>
          <c:showBubbleSize val="0"/>
        </c:dLbls>
        <c:gapWidth val="219"/>
        <c:overlap val="-27"/>
        <c:axId val="861874448"/>
        <c:axId val="861873792"/>
      </c:barChart>
      <c:catAx>
        <c:axId val="86187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861873792"/>
        <c:crosses val="autoZero"/>
        <c:auto val="1"/>
        <c:lblAlgn val="ctr"/>
        <c:lblOffset val="100"/>
        <c:noMultiLvlLbl val="0"/>
      </c:catAx>
      <c:valAx>
        <c:axId val="861873792"/>
        <c:scaling>
          <c:orientation val="minMax"/>
          <c:max val="14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MWh</a:t>
                </a:r>
                <a:r>
                  <a:rPr lang="en-US" baseline="0"/>
                  <a:t> lost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187444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GB" sz="1400" b="1" i="0" baseline="0">
                <a:solidFill>
                  <a:schemeClr val="tx1"/>
                </a:solidFill>
                <a:effectLst/>
              </a:rPr>
              <a:t>SF6 leakage: NGET TO</a:t>
            </a:r>
            <a:endParaRPr lang="en-GB" sz="1400" b="1">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'Incentives - charts '!$F$50</c:f>
              <c:strCache>
                <c:ptCount val="1"/>
                <c:pt idx="0">
                  <c:v>2013-14</c:v>
                </c:pt>
              </c:strCache>
            </c:strRef>
          </c:tx>
          <c:spPr>
            <a:solidFill>
              <a:srgbClr val="F57F29"/>
            </a:solidFill>
            <a:ln>
              <a:noFill/>
            </a:ln>
            <a:effectLst/>
          </c:spPr>
          <c:invertIfNegative val="0"/>
          <c:cat>
            <c:numRef>
              <c:f>'Incentives - charts '!$G$49</c:f>
              <c:numCache>
                <c:formatCode>General</c:formatCode>
                <c:ptCount val="1"/>
              </c:numCache>
            </c:numRef>
          </c:cat>
          <c:val>
            <c:numRef>
              <c:f>'Incentives - charts '!$G$50</c:f>
              <c:numCache>
                <c:formatCode>General</c:formatCode>
                <c:ptCount val="1"/>
                <c:pt idx="0">
                  <c:v>-1941.8351325000003</c:v>
                </c:pt>
              </c:numCache>
            </c:numRef>
          </c:val>
          <c:extLst>
            <c:ext xmlns:c16="http://schemas.microsoft.com/office/drawing/2014/chart" uri="{C3380CC4-5D6E-409C-BE32-E72D297353CC}">
              <c16:uniqueId val="{00000000-D137-444D-BFBD-CCF2966B73A2}"/>
            </c:ext>
          </c:extLst>
        </c:ser>
        <c:ser>
          <c:idx val="1"/>
          <c:order val="1"/>
          <c:tx>
            <c:strRef>
              <c:f>'Incentives - charts '!$F$51</c:f>
              <c:strCache>
                <c:ptCount val="1"/>
                <c:pt idx="0">
                  <c:v>2014-15</c:v>
                </c:pt>
              </c:strCache>
            </c:strRef>
          </c:tx>
          <c:spPr>
            <a:solidFill>
              <a:srgbClr val="45216F"/>
            </a:solidFill>
            <a:ln>
              <a:noFill/>
            </a:ln>
            <a:effectLst/>
          </c:spPr>
          <c:invertIfNegative val="0"/>
          <c:cat>
            <c:numRef>
              <c:f>'Incentives - charts '!$G$49</c:f>
              <c:numCache>
                <c:formatCode>General</c:formatCode>
                <c:ptCount val="1"/>
              </c:numCache>
            </c:numRef>
          </c:cat>
          <c:val>
            <c:numRef>
              <c:f>'Incentives - charts '!$G$51</c:f>
              <c:numCache>
                <c:formatCode>General</c:formatCode>
                <c:ptCount val="1"/>
                <c:pt idx="0">
                  <c:v>-2612.0640250000015</c:v>
                </c:pt>
              </c:numCache>
            </c:numRef>
          </c:val>
          <c:extLst>
            <c:ext xmlns:c16="http://schemas.microsoft.com/office/drawing/2014/chart" uri="{C3380CC4-5D6E-409C-BE32-E72D297353CC}">
              <c16:uniqueId val="{00000006-B006-44A4-84EA-913FBB8A06BA}"/>
            </c:ext>
          </c:extLst>
        </c:ser>
        <c:ser>
          <c:idx val="2"/>
          <c:order val="2"/>
          <c:tx>
            <c:strRef>
              <c:f>'Incentives - charts '!$F$52</c:f>
              <c:strCache>
                <c:ptCount val="1"/>
                <c:pt idx="0">
                  <c:v>2015-16</c:v>
                </c:pt>
              </c:strCache>
            </c:strRef>
          </c:tx>
          <c:spPr>
            <a:solidFill>
              <a:srgbClr val="D0B00E"/>
            </a:solidFill>
            <a:ln>
              <a:noFill/>
            </a:ln>
            <a:effectLst/>
          </c:spPr>
          <c:invertIfNegative val="0"/>
          <c:cat>
            <c:numRef>
              <c:f>'Incentives - charts '!$G$49</c:f>
              <c:numCache>
                <c:formatCode>General</c:formatCode>
                <c:ptCount val="1"/>
              </c:numCache>
            </c:numRef>
          </c:cat>
          <c:val>
            <c:numRef>
              <c:f>'Incentives - charts '!$G$52</c:f>
              <c:numCache>
                <c:formatCode>General</c:formatCode>
                <c:ptCount val="1"/>
                <c:pt idx="0">
                  <c:v>-2554.9022800000021</c:v>
                </c:pt>
              </c:numCache>
            </c:numRef>
          </c:val>
          <c:extLst>
            <c:ext xmlns:c16="http://schemas.microsoft.com/office/drawing/2014/chart" uri="{C3380CC4-5D6E-409C-BE32-E72D297353CC}">
              <c16:uniqueId val="{00000007-B006-44A4-84EA-913FBB8A06BA}"/>
            </c:ext>
          </c:extLst>
        </c:ser>
        <c:ser>
          <c:idx val="3"/>
          <c:order val="3"/>
          <c:tx>
            <c:strRef>
              <c:f>'Incentives - charts '!$F$53</c:f>
              <c:strCache>
                <c:ptCount val="1"/>
                <c:pt idx="0">
                  <c:v>2016-17</c:v>
                </c:pt>
              </c:strCache>
            </c:strRef>
          </c:tx>
          <c:spPr>
            <a:solidFill>
              <a:srgbClr val="CD3D1B"/>
            </a:solidFill>
            <a:ln>
              <a:noFill/>
            </a:ln>
            <a:effectLst/>
          </c:spPr>
          <c:invertIfNegative val="0"/>
          <c:dPt>
            <c:idx val="0"/>
            <c:invertIfNegative val="0"/>
            <c:bubble3D val="0"/>
            <c:spPr>
              <a:solidFill>
                <a:srgbClr val="CD1543"/>
              </a:solidFill>
              <a:ln>
                <a:noFill/>
              </a:ln>
              <a:effectLst/>
            </c:spPr>
            <c:extLst>
              <c:ext xmlns:c16="http://schemas.microsoft.com/office/drawing/2014/chart" uri="{C3380CC4-5D6E-409C-BE32-E72D297353CC}">
                <c16:uniqueId val="{0000000C-B006-44A4-84EA-913FBB8A06BA}"/>
              </c:ext>
            </c:extLst>
          </c:dPt>
          <c:cat>
            <c:numRef>
              <c:f>'Incentives - charts '!$G$49</c:f>
              <c:numCache>
                <c:formatCode>General</c:formatCode>
                <c:ptCount val="1"/>
              </c:numCache>
            </c:numRef>
          </c:cat>
          <c:val>
            <c:numRef>
              <c:f>'Incentives - charts '!$G$53</c:f>
              <c:numCache>
                <c:formatCode>General</c:formatCode>
                <c:ptCount val="1"/>
                <c:pt idx="0">
                  <c:v>-1349.3835600000002</c:v>
                </c:pt>
              </c:numCache>
            </c:numRef>
          </c:val>
          <c:extLst>
            <c:ext xmlns:c16="http://schemas.microsoft.com/office/drawing/2014/chart" uri="{C3380CC4-5D6E-409C-BE32-E72D297353CC}">
              <c16:uniqueId val="{00000008-B006-44A4-84EA-913FBB8A06BA}"/>
            </c:ext>
          </c:extLst>
        </c:ser>
        <c:ser>
          <c:idx val="4"/>
          <c:order val="4"/>
          <c:tx>
            <c:strRef>
              <c:f>'Incentives - charts '!$F$54</c:f>
              <c:strCache>
                <c:ptCount val="1"/>
                <c:pt idx="0">
                  <c:v>2017-18</c:v>
                </c:pt>
              </c:strCache>
            </c:strRef>
          </c:tx>
          <c:spPr>
            <a:solidFill>
              <a:srgbClr val="2062AF"/>
            </a:solidFill>
            <a:ln>
              <a:noFill/>
            </a:ln>
            <a:effectLst/>
          </c:spPr>
          <c:invertIfNegative val="0"/>
          <c:cat>
            <c:numRef>
              <c:f>'Incentives - charts '!$G$49</c:f>
              <c:numCache>
                <c:formatCode>General</c:formatCode>
                <c:ptCount val="1"/>
              </c:numCache>
            </c:numRef>
          </c:cat>
          <c:val>
            <c:numRef>
              <c:f>'Incentives - charts '!$G$54</c:f>
              <c:numCache>
                <c:formatCode>General</c:formatCode>
                <c:ptCount val="1"/>
                <c:pt idx="0">
                  <c:v>-2833.9530325000014</c:v>
                </c:pt>
              </c:numCache>
            </c:numRef>
          </c:val>
          <c:extLst>
            <c:ext xmlns:c16="http://schemas.microsoft.com/office/drawing/2014/chart" uri="{C3380CC4-5D6E-409C-BE32-E72D297353CC}">
              <c16:uniqueId val="{00000009-B006-44A4-84EA-913FBB8A06BA}"/>
            </c:ext>
          </c:extLst>
        </c:ser>
        <c:ser>
          <c:idx val="5"/>
          <c:order val="5"/>
          <c:tx>
            <c:strRef>
              <c:f>'Incentives - charts '!$F$55</c:f>
              <c:strCache>
                <c:ptCount val="1"/>
                <c:pt idx="0">
                  <c:v>2018-19</c:v>
                </c:pt>
              </c:strCache>
            </c:strRef>
          </c:tx>
          <c:spPr>
            <a:solidFill>
              <a:srgbClr val="00B2BF"/>
            </a:solidFill>
            <a:ln>
              <a:noFill/>
            </a:ln>
            <a:effectLst/>
          </c:spPr>
          <c:invertIfNegative val="0"/>
          <c:cat>
            <c:numRef>
              <c:f>'Incentives - charts '!$G$49</c:f>
              <c:numCache>
                <c:formatCode>General</c:formatCode>
                <c:ptCount val="1"/>
              </c:numCache>
            </c:numRef>
          </c:cat>
          <c:val>
            <c:numRef>
              <c:f>'Incentives - charts '!$G$55</c:f>
              <c:numCache>
                <c:formatCode>General</c:formatCode>
                <c:ptCount val="1"/>
                <c:pt idx="0">
                  <c:v>-550.59738000000107</c:v>
                </c:pt>
              </c:numCache>
            </c:numRef>
          </c:val>
          <c:extLst>
            <c:ext xmlns:c16="http://schemas.microsoft.com/office/drawing/2014/chart" uri="{C3380CC4-5D6E-409C-BE32-E72D297353CC}">
              <c16:uniqueId val="{0000000A-B006-44A4-84EA-913FBB8A06BA}"/>
            </c:ext>
          </c:extLst>
        </c:ser>
        <c:dLbls>
          <c:showLegendKey val="0"/>
          <c:showVal val="0"/>
          <c:showCatName val="0"/>
          <c:showSerName val="0"/>
          <c:showPercent val="0"/>
          <c:showBubbleSize val="0"/>
        </c:dLbls>
        <c:gapWidth val="120"/>
        <c:overlap val="-100"/>
        <c:axId val="861874448"/>
        <c:axId val="861873792"/>
      </c:barChart>
      <c:catAx>
        <c:axId val="86187444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861873792"/>
        <c:crosses val="autoZero"/>
        <c:auto val="1"/>
        <c:lblAlgn val="ctr"/>
        <c:lblOffset val="100"/>
        <c:noMultiLvlLbl val="0"/>
      </c:catAx>
      <c:valAx>
        <c:axId val="861873792"/>
        <c:scaling>
          <c:orientation val="minMax"/>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Annual leakage kg</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6187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GB" sz="1400" b="1" i="0" baseline="0">
                <a:solidFill>
                  <a:schemeClr val="tx1"/>
                </a:solidFill>
                <a:effectLst/>
              </a:rPr>
              <a:t>BCF: NGET</a:t>
            </a:r>
            <a:endParaRPr lang="en-GB" sz="1400" b="1">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'Incentives - charts '!$B$69</c:f>
              <c:strCache>
                <c:ptCount val="1"/>
                <c:pt idx="0">
                  <c:v>2013-14</c:v>
                </c:pt>
              </c:strCache>
            </c:strRef>
          </c:tx>
          <c:spPr>
            <a:solidFill>
              <a:srgbClr val="F57F29"/>
            </a:solidFill>
            <a:ln>
              <a:noFill/>
            </a:ln>
            <a:effectLst/>
          </c:spPr>
          <c:invertIfNegative val="0"/>
          <c:cat>
            <c:strRef>
              <c:f>'Incentives - charts '!$C$68</c:f>
              <c:strCache>
                <c:ptCount val="1"/>
                <c:pt idx="0">
                  <c:v>NGET TO</c:v>
                </c:pt>
              </c:strCache>
            </c:strRef>
          </c:cat>
          <c:val>
            <c:numRef>
              <c:f>'Incentives - charts '!$C$69</c:f>
              <c:numCache>
                <c:formatCode>_-* #,##0_-;\-* #,##0_-;_-* "-"??_-;_-@_-</c:formatCode>
                <c:ptCount val="1"/>
                <c:pt idx="0">
                  <c:v>2233421</c:v>
                </c:pt>
              </c:numCache>
            </c:numRef>
          </c:val>
          <c:extLst>
            <c:ext xmlns:c16="http://schemas.microsoft.com/office/drawing/2014/chart" uri="{C3380CC4-5D6E-409C-BE32-E72D297353CC}">
              <c16:uniqueId val="{00000000-7886-4156-93D7-DF51C3BF6CD6}"/>
            </c:ext>
          </c:extLst>
        </c:ser>
        <c:ser>
          <c:idx val="1"/>
          <c:order val="1"/>
          <c:tx>
            <c:strRef>
              <c:f>'Incentives - charts '!$B$70</c:f>
              <c:strCache>
                <c:ptCount val="1"/>
                <c:pt idx="0">
                  <c:v>2014-15</c:v>
                </c:pt>
              </c:strCache>
            </c:strRef>
          </c:tx>
          <c:spPr>
            <a:solidFill>
              <a:srgbClr val="45216F"/>
            </a:solidFill>
            <a:ln>
              <a:noFill/>
            </a:ln>
            <a:effectLst/>
          </c:spPr>
          <c:invertIfNegative val="0"/>
          <c:cat>
            <c:strRef>
              <c:f>'Incentives - charts '!$C$68</c:f>
              <c:strCache>
                <c:ptCount val="1"/>
                <c:pt idx="0">
                  <c:v>NGET TO</c:v>
                </c:pt>
              </c:strCache>
            </c:strRef>
          </c:cat>
          <c:val>
            <c:numRef>
              <c:f>'Incentives - charts '!$C$70</c:f>
              <c:numCache>
                <c:formatCode>_-* #,##0_-;\-* #,##0_-;_-* "-"??_-;_-@_-</c:formatCode>
                <c:ptCount val="1"/>
                <c:pt idx="0">
                  <c:v>2552420</c:v>
                </c:pt>
              </c:numCache>
            </c:numRef>
          </c:val>
          <c:extLst>
            <c:ext xmlns:c16="http://schemas.microsoft.com/office/drawing/2014/chart" uri="{C3380CC4-5D6E-409C-BE32-E72D297353CC}">
              <c16:uniqueId val="{00000000-E1DE-46D6-9227-339129D1859D}"/>
            </c:ext>
          </c:extLst>
        </c:ser>
        <c:ser>
          <c:idx val="2"/>
          <c:order val="2"/>
          <c:tx>
            <c:strRef>
              <c:f>'Incentives - charts '!$B$71</c:f>
              <c:strCache>
                <c:ptCount val="1"/>
                <c:pt idx="0">
                  <c:v>2015-16</c:v>
                </c:pt>
              </c:strCache>
            </c:strRef>
          </c:tx>
          <c:spPr>
            <a:solidFill>
              <a:srgbClr val="D0B00E"/>
            </a:solidFill>
            <a:ln>
              <a:noFill/>
            </a:ln>
            <a:effectLst/>
          </c:spPr>
          <c:invertIfNegative val="0"/>
          <c:cat>
            <c:strRef>
              <c:f>'Incentives - charts '!$C$68</c:f>
              <c:strCache>
                <c:ptCount val="1"/>
                <c:pt idx="0">
                  <c:v>NGET TO</c:v>
                </c:pt>
              </c:strCache>
            </c:strRef>
          </c:cat>
          <c:val>
            <c:numRef>
              <c:f>'Incentives - charts '!$C$71</c:f>
              <c:numCache>
                <c:formatCode>_-* #,##0_-;\-* #,##0_-;_-* "-"??_-;_-@_-</c:formatCode>
                <c:ptCount val="1"/>
                <c:pt idx="0">
                  <c:v>2400267</c:v>
                </c:pt>
              </c:numCache>
            </c:numRef>
          </c:val>
          <c:extLst>
            <c:ext xmlns:c16="http://schemas.microsoft.com/office/drawing/2014/chart" uri="{C3380CC4-5D6E-409C-BE32-E72D297353CC}">
              <c16:uniqueId val="{00000001-E1DE-46D6-9227-339129D1859D}"/>
            </c:ext>
          </c:extLst>
        </c:ser>
        <c:ser>
          <c:idx val="3"/>
          <c:order val="3"/>
          <c:tx>
            <c:strRef>
              <c:f>'Incentives - charts '!$B$72</c:f>
              <c:strCache>
                <c:ptCount val="1"/>
                <c:pt idx="0">
                  <c:v>2016-17</c:v>
                </c:pt>
              </c:strCache>
            </c:strRef>
          </c:tx>
          <c:spPr>
            <a:solidFill>
              <a:srgbClr val="CD1543"/>
            </a:solidFill>
            <a:ln>
              <a:noFill/>
            </a:ln>
            <a:effectLst/>
          </c:spPr>
          <c:invertIfNegative val="0"/>
          <c:cat>
            <c:strRef>
              <c:f>'Incentives - charts '!$C$68</c:f>
              <c:strCache>
                <c:ptCount val="1"/>
                <c:pt idx="0">
                  <c:v>NGET TO</c:v>
                </c:pt>
              </c:strCache>
            </c:strRef>
          </c:cat>
          <c:val>
            <c:numRef>
              <c:f>'Incentives - charts '!$C$72</c:f>
              <c:numCache>
                <c:formatCode>_-* #,##0_-;\-* #,##0_-;_-* "-"??_-;_-@_-</c:formatCode>
                <c:ptCount val="1"/>
                <c:pt idx="0">
                  <c:v>1986349</c:v>
                </c:pt>
              </c:numCache>
            </c:numRef>
          </c:val>
          <c:extLst>
            <c:ext xmlns:c16="http://schemas.microsoft.com/office/drawing/2014/chart" uri="{C3380CC4-5D6E-409C-BE32-E72D297353CC}">
              <c16:uniqueId val="{00000002-E1DE-46D6-9227-339129D1859D}"/>
            </c:ext>
          </c:extLst>
        </c:ser>
        <c:ser>
          <c:idx val="4"/>
          <c:order val="4"/>
          <c:tx>
            <c:strRef>
              <c:f>'Incentives - charts '!$B$73</c:f>
              <c:strCache>
                <c:ptCount val="1"/>
                <c:pt idx="0">
                  <c:v>2017-18</c:v>
                </c:pt>
              </c:strCache>
            </c:strRef>
          </c:tx>
          <c:spPr>
            <a:solidFill>
              <a:srgbClr val="2062AF"/>
            </a:solidFill>
            <a:ln>
              <a:noFill/>
            </a:ln>
            <a:effectLst/>
          </c:spPr>
          <c:invertIfNegative val="0"/>
          <c:cat>
            <c:strRef>
              <c:f>'Incentives - charts '!$C$68</c:f>
              <c:strCache>
                <c:ptCount val="1"/>
                <c:pt idx="0">
                  <c:v>NGET TO</c:v>
                </c:pt>
              </c:strCache>
            </c:strRef>
          </c:cat>
          <c:val>
            <c:numRef>
              <c:f>'Incentives - charts '!$C$73</c:f>
              <c:numCache>
                <c:formatCode>_-* #,##0_-;\-* #,##0_-;_-* "-"??_-;_-@_-</c:formatCode>
                <c:ptCount val="1"/>
                <c:pt idx="0">
                  <c:v>1886503</c:v>
                </c:pt>
              </c:numCache>
            </c:numRef>
          </c:val>
          <c:extLst>
            <c:ext xmlns:c16="http://schemas.microsoft.com/office/drawing/2014/chart" uri="{C3380CC4-5D6E-409C-BE32-E72D297353CC}">
              <c16:uniqueId val="{00000003-E1DE-46D6-9227-339129D1859D}"/>
            </c:ext>
          </c:extLst>
        </c:ser>
        <c:ser>
          <c:idx val="5"/>
          <c:order val="5"/>
          <c:tx>
            <c:strRef>
              <c:f>'Incentives - charts '!$B$74</c:f>
              <c:strCache>
                <c:ptCount val="1"/>
                <c:pt idx="0">
                  <c:v>2018-19</c:v>
                </c:pt>
              </c:strCache>
            </c:strRef>
          </c:tx>
          <c:spPr>
            <a:solidFill>
              <a:srgbClr val="00B2BF"/>
            </a:solidFill>
            <a:ln>
              <a:noFill/>
            </a:ln>
            <a:effectLst/>
          </c:spPr>
          <c:invertIfNegative val="0"/>
          <c:cat>
            <c:strRef>
              <c:f>'Incentives - charts '!$C$68</c:f>
              <c:strCache>
                <c:ptCount val="1"/>
                <c:pt idx="0">
                  <c:v>NGET TO</c:v>
                </c:pt>
              </c:strCache>
            </c:strRef>
          </c:cat>
          <c:val>
            <c:numRef>
              <c:f>'Incentives - charts '!$C$74</c:f>
              <c:numCache>
                <c:formatCode>_-* #,##0_-;\-* #,##0_-;_-* "-"??_-;_-@_-</c:formatCode>
                <c:ptCount val="1"/>
                <c:pt idx="0">
                  <c:v>1594730.6738931057</c:v>
                </c:pt>
              </c:numCache>
            </c:numRef>
          </c:val>
          <c:extLst>
            <c:ext xmlns:c16="http://schemas.microsoft.com/office/drawing/2014/chart" uri="{C3380CC4-5D6E-409C-BE32-E72D297353CC}">
              <c16:uniqueId val="{00000004-E1DE-46D6-9227-339129D1859D}"/>
            </c:ext>
          </c:extLst>
        </c:ser>
        <c:dLbls>
          <c:showLegendKey val="0"/>
          <c:showVal val="0"/>
          <c:showCatName val="0"/>
          <c:showSerName val="0"/>
          <c:showPercent val="0"/>
          <c:showBubbleSize val="0"/>
        </c:dLbls>
        <c:gapWidth val="219"/>
        <c:overlap val="-27"/>
        <c:axId val="861874448"/>
        <c:axId val="861873792"/>
      </c:barChart>
      <c:catAx>
        <c:axId val="861874448"/>
        <c:scaling>
          <c:orientation val="minMax"/>
        </c:scaling>
        <c:delete val="1"/>
        <c:axPos val="b"/>
        <c:numFmt formatCode="General" sourceLinked="1"/>
        <c:majorTickMark val="none"/>
        <c:minorTickMark val="none"/>
        <c:tickLblPos val="nextTo"/>
        <c:crossAx val="861873792"/>
        <c:crosses val="autoZero"/>
        <c:auto val="1"/>
        <c:lblAlgn val="ctr"/>
        <c:lblOffset val="100"/>
        <c:noMultiLvlLbl val="0"/>
      </c:catAx>
      <c:valAx>
        <c:axId val="861873792"/>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61874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sz="1400" b="1" i="0" baseline="0">
                <a:solidFill>
                  <a:schemeClr val="tx1"/>
                </a:solidFill>
                <a:effectLst/>
              </a:rPr>
              <a:t>Customer survey: NGET only</a:t>
            </a:r>
            <a:endParaRPr lang="en-US" sz="1400" b="1">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619107403275419E-2"/>
          <c:y val="0.16747624207095543"/>
          <c:w val="0.87630862808815568"/>
          <c:h val="0.62448392872634395"/>
        </c:manualLayout>
      </c:layout>
      <c:barChart>
        <c:barDir val="col"/>
        <c:grouping val="clustered"/>
        <c:varyColors val="0"/>
        <c:ser>
          <c:idx val="0"/>
          <c:order val="0"/>
          <c:tx>
            <c:strRef>
              <c:f>'Incentives - charts '!$R$6</c:f>
              <c:strCache>
                <c:ptCount val="1"/>
                <c:pt idx="0">
                  <c:v>2013-14</c:v>
                </c:pt>
              </c:strCache>
            </c:strRef>
          </c:tx>
          <c:spPr>
            <a:solidFill>
              <a:schemeClr val="accent2"/>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0-9D3E-4C22-893F-210E88C993FF}"/>
              </c:ext>
            </c:extLst>
          </c:dPt>
          <c:dPt>
            <c:idx val="1"/>
            <c:invertIfNegative val="0"/>
            <c:bubble3D val="0"/>
            <c:spPr>
              <a:solidFill>
                <a:srgbClr val="45216F"/>
              </a:solidFill>
              <a:ln>
                <a:noFill/>
              </a:ln>
              <a:effectLst/>
            </c:spPr>
            <c:extLst>
              <c:ext xmlns:c16="http://schemas.microsoft.com/office/drawing/2014/chart" uri="{C3380CC4-5D6E-409C-BE32-E72D297353CC}">
                <c16:uniqueId val="{00000001-9D3E-4C22-893F-210E88C993FF}"/>
              </c:ext>
            </c:extLst>
          </c:dPt>
          <c:dPt>
            <c:idx val="2"/>
            <c:invertIfNegative val="0"/>
            <c:bubble3D val="0"/>
            <c:spPr>
              <a:solidFill>
                <a:srgbClr val="D0B00E"/>
              </a:solidFill>
              <a:ln>
                <a:noFill/>
              </a:ln>
              <a:effectLst/>
            </c:spPr>
            <c:extLst>
              <c:ext xmlns:c16="http://schemas.microsoft.com/office/drawing/2014/chart" uri="{C3380CC4-5D6E-409C-BE32-E72D297353CC}">
                <c16:uniqueId val="{00000002-9D3E-4C22-893F-210E88C993FF}"/>
              </c:ext>
            </c:extLst>
          </c:dPt>
          <c:dPt>
            <c:idx val="3"/>
            <c:invertIfNegative val="0"/>
            <c:bubble3D val="0"/>
            <c:spPr>
              <a:solidFill>
                <a:srgbClr val="CD1543"/>
              </a:solidFill>
              <a:ln>
                <a:noFill/>
              </a:ln>
              <a:effectLst/>
            </c:spPr>
            <c:extLst>
              <c:ext xmlns:c16="http://schemas.microsoft.com/office/drawing/2014/chart" uri="{C3380CC4-5D6E-409C-BE32-E72D297353CC}">
                <c16:uniqueId val="{00000003-9D3E-4C22-893F-210E88C993FF}"/>
              </c:ext>
            </c:extLst>
          </c:dPt>
          <c:dPt>
            <c:idx val="4"/>
            <c:invertIfNegative val="0"/>
            <c:bubble3D val="0"/>
            <c:spPr>
              <a:solidFill>
                <a:srgbClr val="2062AF"/>
              </a:solidFill>
              <a:ln>
                <a:noFill/>
              </a:ln>
              <a:effectLst/>
            </c:spPr>
            <c:extLst>
              <c:ext xmlns:c16="http://schemas.microsoft.com/office/drawing/2014/chart" uri="{C3380CC4-5D6E-409C-BE32-E72D297353CC}">
                <c16:uniqueId val="{00000004-9D3E-4C22-893F-210E88C993FF}"/>
              </c:ext>
            </c:extLst>
          </c:dPt>
          <c:dPt>
            <c:idx val="5"/>
            <c:invertIfNegative val="0"/>
            <c:bubble3D val="0"/>
            <c:spPr>
              <a:solidFill>
                <a:srgbClr val="00B2BF"/>
              </a:solidFill>
              <a:ln>
                <a:noFill/>
              </a:ln>
              <a:effectLst/>
            </c:spPr>
            <c:extLst>
              <c:ext xmlns:c16="http://schemas.microsoft.com/office/drawing/2014/chart" uri="{C3380CC4-5D6E-409C-BE32-E72D297353CC}">
                <c16:uniqueId val="{00000005-9D3E-4C22-893F-210E88C993FF}"/>
              </c:ext>
            </c:extLst>
          </c:dPt>
          <c:cat>
            <c:strRef>
              <c:f>'Incentives - charts '!$S$5</c:f>
              <c:strCache>
                <c:ptCount val="1"/>
                <c:pt idx="0">
                  <c:v>NGET</c:v>
                </c:pt>
              </c:strCache>
            </c:strRef>
          </c:cat>
          <c:val>
            <c:numRef>
              <c:f>'Incentives - charts '!$S$6</c:f>
              <c:numCache>
                <c:formatCode>0.0</c:formatCode>
                <c:ptCount val="1"/>
                <c:pt idx="0">
                  <c:v>7.4089999999999998</c:v>
                </c:pt>
              </c:numCache>
            </c:numRef>
          </c:val>
          <c:extLst>
            <c:ext xmlns:c16="http://schemas.microsoft.com/office/drawing/2014/chart" uri="{C3380CC4-5D6E-409C-BE32-E72D297353CC}">
              <c16:uniqueId val="{00000000-0D14-4296-8DB1-2745E94FDC88}"/>
            </c:ext>
          </c:extLst>
        </c:ser>
        <c:ser>
          <c:idx val="1"/>
          <c:order val="1"/>
          <c:tx>
            <c:strRef>
              <c:f>'Incentives - charts '!$R$7</c:f>
              <c:strCache>
                <c:ptCount val="1"/>
                <c:pt idx="0">
                  <c:v>2014-15</c:v>
                </c:pt>
              </c:strCache>
            </c:strRef>
          </c:tx>
          <c:spPr>
            <a:solidFill>
              <a:srgbClr val="45216F"/>
            </a:solidFill>
            <a:ln>
              <a:noFill/>
            </a:ln>
            <a:effectLst/>
          </c:spPr>
          <c:invertIfNegative val="0"/>
          <c:cat>
            <c:strRef>
              <c:f>'Incentives - charts '!$S$5</c:f>
              <c:strCache>
                <c:ptCount val="1"/>
                <c:pt idx="0">
                  <c:v>NGET</c:v>
                </c:pt>
              </c:strCache>
            </c:strRef>
          </c:cat>
          <c:val>
            <c:numRef>
              <c:f>'Incentives - charts '!$S$7</c:f>
              <c:numCache>
                <c:formatCode>0.0</c:formatCode>
                <c:ptCount val="1"/>
                <c:pt idx="0">
                  <c:v>7.4009999999999998</c:v>
                </c:pt>
              </c:numCache>
            </c:numRef>
          </c:val>
          <c:extLst>
            <c:ext xmlns:c16="http://schemas.microsoft.com/office/drawing/2014/chart" uri="{C3380CC4-5D6E-409C-BE32-E72D297353CC}">
              <c16:uniqueId val="{00000006-9D3E-4C22-893F-210E88C993FF}"/>
            </c:ext>
          </c:extLst>
        </c:ser>
        <c:ser>
          <c:idx val="2"/>
          <c:order val="2"/>
          <c:tx>
            <c:strRef>
              <c:f>'Incentives - charts '!$R$8</c:f>
              <c:strCache>
                <c:ptCount val="1"/>
                <c:pt idx="0">
                  <c:v>2015-16</c:v>
                </c:pt>
              </c:strCache>
            </c:strRef>
          </c:tx>
          <c:spPr>
            <a:solidFill>
              <a:srgbClr val="D0B00E"/>
            </a:solidFill>
            <a:ln>
              <a:noFill/>
            </a:ln>
            <a:effectLst/>
          </c:spPr>
          <c:invertIfNegative val="0"/>
          <c:cat>
            <c:strRef>
              <c:f>'Incentives - charts '!$S$5</c:f>
              <c:strCache>
                <c:ptCount val="1"/>
                <c:pt idx="0">
                  <c:v>NGET</c:v>
                </c:pt>
              </c:strCache>
            </c:strRef>
          </c:cat>
          <c:val>
            <c:numRef>
              <c:f>'Incentives - charts '!$S$8</c:f>
              <c:numCache>
                <c:formatCode>0.0</c:formatCode>
                <c:ptCount val="1"/>
                <c:pt idx="0">
                  <c:v>7.5380000000000003</c:v>
                </c:pt>
              </c:numCache>
            </c:numRef>
          </c:val>
          <c:extLst>
            <c:ext xmlns:c16="http://schemas.microsoft.com/office/drawing/2014/chart" uri="{C3380CC4-5D6E-409C-BE32-E72D297353CC}">
              <c16:uniqueId val="{00000007-9D3E-4C22-893F-210E88C993FF}"/>
            </c:ext>
          </c:extLst>
        </c:ser>
        <c:ser>
          <c:idx val="3"/>
          <c:order val="3"/>
          <c:tx>
            <c:strRef>
              <c:f>'Incentives - charts '!$R$9</c:f>
              <c:strCache>
                <c:ptCount val="1"/>
                <c:pt idx="0">
                  <c:v>2016-17</c:v>
                </c:pt>
              </c:strCache>
            </c:strRef>
          </c:tx>
          <c:spPr>
            <a:solidFill>
              <a:srgbClr val="CD1543"/>
            </a:solidFill>
            <a:ln>
              <a:noFill/>
            </a:ln>
            <a:effectLst/>
          </c:spPr>
          <c:invertIfNegative val="0"/>
          <c:cat>
            <c:strRef>
              <c:f>'Incentives - charts '!$S$5</c:f>
              <c:strCache>
                <c:ptCount val="1"/>
                <c:pt idx="0">
                  <c:v>NGET</c:v>
                </c:pt>
              </c:strCache>
            </c:strRef>
          </c:cat>
          <c:val>
            <c:numRef>
              <c:f>'Incentives - charts '!$S$9</c:f>
              <c:numCache>
                <c:formatCode>0.0</c:formatCode>
                <c:ptCount val="1"/>
                <c:pt idx="0">
                  <c:v>7.41</c:v>
                </c:pt>
              </c:numCache>
            </c:numRef>
          </c:val>
          <c:extLst>
            <c:ext xmlns:c16="http://schemas.microsoft.com/office/drawing/2014/chart" uri="{C3380CC4-5D6E-409C-BE32-E72D297353CC}">
              <c16:uniqueId val="{00000008-9D3E-4C22-893F-210E88C993FF}"/>
            </c:ext>
          </c:extLst>
        </c:ser>
        <c:ser>
          <c:idx val="4"/>
          <c:order val="4"/>
          <c:tx>
            <c:strRef>
              <c:f>'Incentives - charts '!$R$10</c:f>
              <c:strCache>
                <c:ptCount val="1"/>
                <c:pt idx="0">
                  <c:v>2017-18</c:v>
                </c:pt>
              </c:strCache>
            </c:strRef>
          </c:tx>
          <c:spPr>
            <a:solidFill>
              <a:srgbClr val="2062AF"/>
            </a:solidFill>
            <a:ln>
              <a:noFill/>
            </a:ln>
            <a:effectLst/>
          </c:spPr>
          <c:invertIfNegative val="0"/>
          <c:cat>
            <c:strRef>
              <c:f>'Incentives - charts '!$S$5</c:f>
              <c:strCache>
                <c:ptCount val="1"/>
                <c:pt idx="0">
                  <c:v>NGET</c:v>
                </c:pt>
              </c:strCache>
            </c:strRef>
          </c:cat>
          <c:val>
            <c:numRef>
              <c:f>'Incentives - charts '!$S$10</c:f>
              <c:numCache>
                <c:formatCode>0.0</c:formatCode>
                <c:ptCount val="1"/>
                <c:pt idx="0">
                  <c:v>7.7430000000000003</c:v>
                </c:pt>
              </c:numCache>
            </c:numRef>
          </c:val>
          <c:extLst>
            <c:ext xmlns:c16="http://schemas.microsoft.com/office/drawing/2014/chart" uri="{C3380CC4-5D6E-409C-BE32-E72D297353CC}">
              <c16:uniqueId val="{00000009-9D3E-4C22-893F-210E88C993FF}"/>
            </c:ext>
          </c:extLst>
        </c:ser>
        <c:ser>
          <c:idx val="5"/>
          <c:order val="5"/>
          <c:tx>
            <c:strRef>
              <c:f>'Incentives - charts '!$R$11</c:f>
              <c:strCache>
                <c:ptCount val="1"/>
                <c:pt idx="0">
                  <c:v>2018-19</c:v>
                </c:pt>
              </c:strCache>
            </c:strRef>
          </c:tx>
          <c:spPr>
            <a:solidFill>
              <a:srgbClr val="00B2BF"/>
            </a:solidFill>
            <a:ln>
              <a:noFill/>
            </a:ln>
            <a:effectLst/>
          </c:spPr>
          <c:invertIfNegative val="0"/>
          <c:cat>
            <c:strRef>
              <c:f>'Incentives - charts '!$S$5</c:f>
              <c:strCache>
                <c:ptCount val="1"/>
                <c:pt idx="0">
                  <c:v>NGET</c:v>
                </c:pt>
              </c:strCache>
            </c:strRef>
          </c:cat>
          <c:val>
            <c:numRef>
              <c:f>'Incentives - charts '!$S$11</c:f>
              <c:numCache>
                <c:formatCode>0.0</c:formatCode>
                <c:ptCount val="1"/>
                <c:pt idx="0">
                  <c:v>7.9240000000000004</c:v>
                </c:pt>
              </c:numCache>
            </c:numRef>
          </c:val>
          <c:extLst>
            <c:ext xmlns:c16="http://schemas.microsoft.com/office/drawing/2014/chart" uri="{C3380CC4-5D6E-409C-BE32-E72D297353CC}">
              <c16:uniqueId val="{0000000A-9D3E-4C22-893F-210E88C993FF}"/>
            </c:ext>
          </c:extLst>
        </c:ser>
        <c:dLbls>
          <c:showLegendKey val="0"/>
          <c:showVal val="0"/>
          <c:showCatName val="0"/>
          <c:showSerName val="0"/>
          <c:showPercent val="0"/>
          <c:showBubbleSize val="0"/>
        </c:dLbls>
        <c:gapWidth val="219"/>
        <c:overlap val="-100"/>
        <c:axId val="861874448"/>
        <c:axId val="861873792"/>
      </c:barChart>
      <c:catAx>
        <c:axId val="861874448"/>
        <c:scaling>
          <c:orientation val="minMax"/>
        </c:scaling>
        <c:delete val="1"/>
        <c:axPos val="b"/>
        <c:numFmt formatCode="General" sourceLinked="1"/>
        <c:majorTickMark val="none"/>
        <c:minorTickMark val="none"/>
        <c:tickLblPos val="nextTo"/>
        <c:crossAx val="861873792"/>
        <c:crosses val="autoZero"/>
        <c:auto val="1"/>
        <c:lblAlgn val="ctr"/>
        <c:lblOffset val="100"/>
        <c:noMultiLvlLbl val="0"/>
      </c:catAx>
      <c:valAx>
        <c:axId val="861873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Score out of 10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1874448"/>
        <c:crosses val="autoZero"/>
        <c:crossBetween val="between"/>
      </c:valAx>
      <c:spPr>
        <a:noFill/>
        <a:ln w="0">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NGET 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'8-year TO forecasts'!$R$6</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0-F8E9-4895-B2E3-85BE6B84A134}"/>
              </c:ext>
            </c:extLst>
          </c:dPt>
          <c:dPt>
            <c:idx val="1"/>
            <c:invertIfNegative val="0"/>
            <c:bubble3D val="0"/>
            <c:spPr>
              <a:solidFill>
                <a:srgbClr val="45216F"/>
              </a:solidFill>
              <a:ln>
                <a:noFill/>
              </a:ln>
              <a:effectLst/>
            </c:spPr>
            <c:extLst>
              <c:ext xmlns:c16="http://schemas.microsoft.com/office/drawing/2014/chart" uri="{C3380CC4-5D6E-409C-BE32-E72D297353CC}">
                <c16:uniqueId val="{00000001-F8E9-4895-B2E3-85BE6B84A134}"/>
              </c:ext>
            </c:extLst>
          </c:dPt>
          <c:dPt>
            <c:idx val="2"/>
            <c:invertIfNegative val="0"/>
            <c:bubble3D val="0"/>
            <c:spPr>
              <a:solidFill>
                <a:srgbClr val="D0B00E"/>
              </a:solidFill>
              <a:ln>
                <a:noFill/>
              </a:ln>
              <a:effectLst/>
            </c:spPr>
            <c:extLst>
              <c:ext xmlns:c16="http://schemas.microsoft.com/office/drawing/2014/chart" uri="{C3380CC4-5D6E-409C-BE32-E72D297353CC}">
                <c16:uniqueId val="{00000002-F8E9-4895-B2E3-85BE6B84A134}"/>
              </c:ext>
            </c:extLst>
          </c:dPt>
          <c:dPt>
            <c:idx val="3"/>
            <c:invertIfNegative val="0"/>
            <c:bubble3D val="0"/>
            <c:spPr>
              <a:solidFill>
                <a:srgbClr val="CD1543"/>
              </a:solidFill>
              <a:ln>
                <a:noFill/>
              </a:ln>
              <a:effectLst/>
            </c:spPr>
            <c:extLst>
              <c:ext xmlns:c16="http://schemas.microsoft.com/office/drawing/2014/chart" uri="{C3380CC4-5D6E-409C-BE32-E72D297353CC}">
                <c16:uniqueId val="{00000003-F8E9-4895-B2E3-85BE6B84A134}"/>
              </c:ext>
            </c:extLst>
          </c:dPt>
          <c:dPt>
            <c:idx val="4"/>
            <c:invertIfNegative val="0"/>
            <c:bubble3D val="0"/>
            <c:spPr>
              <a:solidFill>
                <a:srgbClr val="2062AF"/>
              </a:solidFill>
              <a:ln>
                <a:noFill/>
              </a:ln>
              <a:effectLst/>
            </c:spPr>
            <c:extLst>
              <c:ext xmlns:c16="http://schemas.microsoft.com/office/drawing/2014/chart" uri="{C3380CC4-5D6E-409C-BE32-E72D297353CC}">
                <c16:uniqueId val="{00000004-F8E9-4895-B2E3-85BE6B84A134}"/>
              </c:ext>
            </c:extLst>
          </c:dPt>
          <c:dPt>
            <c:idx val="5"/>
            <c:invertIfNegative val="0"/>
            <c:bubble3D val="0"/>
            <c:spPr>
              <a:solidFill>
                <a:srgbClr val="00B2BF"/>
              </a:solidFill>
              <a:ln>
                <a:noFill/>
              </a:ln>
              <a:effectLst/>
            </c:spPr>
            <c:extLst>
              <c:ext xmlns:c16="http://schemas.microsoft.com/office/drawing/2014/chart" uri="{C3380CC4-5D6E-409C-BE32-E72D297353CC}">
                <c16:uniqueId val="{00000005-F8E9-4895-B2E3-85BE6B84A134}"/>
              </c:ext>
            </c:extLst>
          </c:dPt>
          <c:cat>
            <c:numRef>
              <c:f>'8-year TO forecasts'!$S$5:$Z$5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forecasts'!$S$6:$Z$6</c:f>
              <c:numCache>
                <c:formatCode>0</c:formatCode>
                <c:ptCount val="8"/>
                <c:pt idx="0">
                  <c:v>1581.8214727820698</c:v>
                </c:pt>
                <c:pt idx="1">
                  <c:v>1187.7046068056329</c:v>
                </c:pt>
                <c:pt idx="2">
                  <c:v>1276.2471462518715</c:v>
                </c:pt>
                <c:pt idx="3">
                  <c:v>1194.5817555178405</c:v>
                </c:pt>
                <c:pt idx="4">
                  <c:v>1099.5827748855545</c:v>
                </c:pt>
                <c:pt idx="5">
                  <c:v>1056.1570156520302</c:v>
                </c:pt>
              </c:numCache>
            </c:numRef>
          </c:val>
          <c:extLst>
            <c:ext xmlns:c16="http://schemas.microsoft.com/office/drawing/2014/chart" uri="{C3380CC4-5D6E-409C-BE32-E72D297353CC}">
              <c16:uniqueId val="{00000000-1CB0-432F-8964-EEC19F5C8F4D}"/>
            </c:ext>
          </c:extLst>
        </c:ser>
        <c:ser>
          <c:idx val="1"/>
          <c:order val="1"/>
          <c:tx>
            <c:strRef>
              <c:f>'8-year TO forecasts'!$R$7</c:f>
              <c:strCache>
                <c:ptCount val="1"/>
                <c:pt idx="0">
                  <c:v>Forecast expenditure</c:v>
                </c:pt>
              </c:strCache>
            </c:strRef>
          </c:tx>
          <c:spPr>
            <a:solidFill>
              <a:schemeClr val="accent2"/>
            </a:solidFill>
            <a:ln>
              <a:noFill/>
            </a:ln>
            <a:effectLst/>
          </c:spPr>
          <c:invertIfNegative val="0"/>
          <c:dPt>
            <c:idx val="6"/>
            <c:invertIfNegative val="0"/>
            <c:bubble3D val="0"/>
            <c:spPr>
              <a:solidFill>
                <a:srgbClr val="A1ABA8"/>
              </a:solidFill>
              <a:ln>
                <a:noFill/>
              </a:ln>
              <a:effectLst/>
            </c:spPr>
            <c:extLst>
              <c:ext xmlns:c16="http://schemas.microsoft.com/office/drawing/2014/chart" uri="{C3380CC4-5D6E-409C-BE32-E72D297353CC}">
                <c16:uniqueId val="{00000006-F8E9-4895-B2E3-85BE6B84A134}"/>
              </c:ext>
            </c:extLst>
          </c:dPt>
          <c:dPt>
            <c:idx val="7"/>
            <c:invertIfNegative val="0"/>
            <c:bubble3D val="0"/>
            <c:spPr>
              <a:solidFill>
                <a:srgbClr val="A28F5C"/>
              </a:solidFill>
              <a:ln>
                <a:noFill/>
              </a:ln>
              <a:effectLst/>
            </c:spPr>
            <c:extLst>
              <c:ext xmlns:c16="http://schemas.microsoft.com/office/drawing/2014/chart" uri="{C3380CC4-5D6E-409C-BE32-E72D297353CC}">
                <c16:uniqueId val="{00000007-F8E9-4895-B2E3-85BE6B84A134}"/>
              </c:ext>
            </c:extLst>
          </c:dPt>
          <c:cat>
            <c:numRef>
              <c:f>'8-year TO forecasts'!$S$5:$Z$5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forecasts'!$S$7:$Z$7</c:f>
              <c:numCache>
                <c:formatCode>General</c:formatCode>
                <c:ptCount val="8"/>
                <c:pt idx="6" formatCode="#,##0;[Red]\(#,##0\)">
                  <c:v>1344.5226171314412</c:v>
                </c:pt>
                <c:pt idx="7" formatCode="#,##0;[Red]\(#,##0\)">
                  <c:v>1503.5468066039048</c:v>
                </c:pt>
              </c:numCache>
            </c:numRef>
          </c:val>
          <c:extLst>
            <c:ext xmlns:c16="http://schemas.microsoft.com/office/drawing/2014/chart" uri="{C3380CC4-5D6E-409C-BE32-E72D297353CC}">
              <c16:uniqueId val="{00000001-1CB0-432F-8964-EEC19F5C8F4D}"/>
            </c:ext>
          </c:extLst>
        </c:ser>
        <c:dLbls>
          <c:showLegendKey val="0"/>
          <c:showVal val="0"/>
          <c:showCatName val="0"/>
          <c:showSerName val="0"/>
          <c:showPercent val="0"/>
          <c:showBubbleSize val="0"/>
        </c:dLbls>
        <c:gapWidth val="150"/>
        <c:axId val="957554680"/>
        <c:axId val="957555008"/>
      </c:barChart>
      <c:lineChart>
        <c:grouping val="standard"/>
        <c:varyColors val="0"/>
        <c:ser>
          <c:idx val="2"/>
          <c:order val="2"/>
          <c:tx>
            <c:strRef>
              <c:f>'8-year TO forecasts'!$R$8</c:f>
              <c:strCache>
                <c:ptCount val="1"/>
                <c:pt idx="0">
                  <c:v>Forecast adjusted allowance</c:v>
                </c:pt>
              </c:strCache>
            </c:strRef>
          </c:tx>
          <c:spPr>
            <a:ln w="28575" cap="rnd">
              <a:solidFill>
                <a:schemeClr val="tx1"/>
              </a:solidFill>
              <a:round/>
            </a:ln>
            <a:effectLst/>
          </c:spPr>
          <c:marker>
            <c:symbol val="none"/>
          </c:marker>
          <c:cat>
            <c:numRef>
              <c:f>'8-year TO forecasts'!$S$5:$Z$5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forecasts'!$S$8:$Z$8</c:f>
              <c:numCache>
                <c:formatCode>0</c:formatCode>
                <c:ptCount val="8"/>
                <c:pt idx="0">
                  <c:v>2095.6808562910433</c:v>
                </c:pt>
                <c:pt idx="1">
                  <c:v>1803.1647644106956</c:v>
                </c:pt>
                <c:pt idx="2">
                  <c:v>1499.9408546911934</c:v>
                </c:pt>
                <c:pt idx="3">
                  <c:v>1379.4069257081771</c:v>
                </c:pt>
                <c:pt idx="4">
                  <c:v>1375.4459885033509</c:v>
                </c:pt>
                <c:pt idx="5">
                  <c:v>1644.5208822239645</c:v>
                </c:pt>
                <c:pt idx="6">
                  <c:v>1614.0310764743006</c:v>
                </c:pt>
                <c:pt idx="7">
                  <c:v>1628.2060808660917</c:v>
                </c:pt>
              </c:numCache>
            </c:numRef>
          </c:val>
          <c:smooth val="0"/>
          <c:extLst>
            <c:ext xmlns:c16="http://schemas.microsoft.com/office/drawing/2014/chart" uri="{C3380CC4-5D6E-409C-BE32-E72D297353CC}">
              <c16:uniqueId val="{00000002-1CB0-432F-8964-EEC19F5C8F4D}"/>
            </c:ext>
          </c:extLst>
        </c:ser>
        <c:dLbls>
          <c:showLegendKey val="0"/>
          <c:showVal val="0"/>
          <c:showCatName val="0"/>
          <c:showSerName val="0"/>
          <c:showPercent val="0"/>
          <c:showBubbleSize val="0"/>
        </c:dLbls>
        <c:marker val="1"/>
        <c:smooth val="0"/>
        <c:axId val="957554680"/>
        <c:axId val="957555008"/>
      </c:lineChart>
      <c:catAx>
        <c:axId val="957554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555008"/>
        <c:crosses val="autoZero"/>
        <c:auto val="1"/>
        <c:lblAlgn val="ctr"/>
        <c:lblOffset val="100"/>
        <c:noMultiLvlLbl val="0"/>
      </c:catAx>
      <c:valAx>
        <c:axId val="957555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a:t>
                </a:r>
                <a:r>
                  <a:rPr lang="en-GB" baseline="0"/>
                  <a:t> 2018/19 prices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554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SPT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'8-year TO forecasts'!$AE$6</c:f>
              <c:strCache>
                <c:ptCount val="1"/>
                <c:pt idx="0">
                  <c:v>Actual expenditure</c:v>
                </c:pt>
              </c:strCache>
            </c:strRef>
          </c:tx>
          <c:spPr>
            <a:solidFill>
              <a:schemeClr val="accent1"/>
            </a:solidFill>
            <a:ln>
              <a:noFill/>
            </a:ln>
            <a:effectLst/>
          </c:spPr>
          <c:invertIfNegative val="0"/>
          <c:dPt>
            <c:idx val="0"/>
            <c:invertIfNegative val="0"/>
            <c:bubble3D val="0"/>
            <c:spPr>
              <a:solidFill>
                <a:srgbClr val="F57F29"/>
              </a:solidFill>
              <a:ln>
                <a:noFill/>
              </a:ln>
              <a:effectLst/>
            </c:spPr>
            <c:extLst>
              <c:ext xmlns:c16="http://schemas.microsoft.com/office/drawing/2014/chart" uri="{C3380CC4-5D6E-409C-BE32-E72D297353CC}">
                <c16:uniqueId val="{00000000-1C82-4D70-80FD-35F179105A5D}"/>
              </c:ext>
            </c:extLst>
          </c:dPt>
          <c:dPt>
            <c:idx val="1"/>
            <c:invertIfNegative val="0"/>
            <c:bubble3D val="0"/>
            <c:spPr>
              <a:solidFill>
                <a:srgbClr val="45216F"/>
              </a:solidFill>
              <a:ln>
                <a:noFill/>
              </a:ln>
              <a:effectLst/>
            </c:spPr>
            <c:extLst>
              <c:ext xmlns:c16="http://schemas.microsoft.com/office/drawing/2014/chart" uri="{C3380CC4-5D6E-409C-BE32-E72D297353CC}">
                <c16:uniqueId val="{00000001-1C82-4D70-80FD-35F179105A5D}"/>
              </c:ext>
            </c:extLst>
          </c:dPt>
          <c:dPt>
            <c:idx val="2"/>
            <c:invertIfNegative val="0"/>
            <c:bubble3D val="0"/>
            <c:spPr>
              <a:solidFill>
                <a:srgbClr val="D0B00E"/>
              </a:solidFill>
              <a:ln>
                <a:noFill/>
              </a:ln>
              <a:effectLst/>
            </c:spPr>
            <c:extLst>
              <c:ext xmlns:c16="http://schemas.microsoft.com/office/drawing/2014/chart" uri="{C3380CC4-5D6E-409C-BE32-E72D297353CC}">
                <c16:uniqueId val="{00000002-1C82-4D70-80FD-35F179105A5D}"/>
              </c:ext>
            </c:extLst>
          </c:dPt>
          <c:dPt>
            <c:idx val="3"/>
            <c:invertIfNegative val="0"/>
            <c:bubble3D val="0"/>
            <c:spPr>
              <a:solidFill>
                <a:srgbClr val="CD1543"/>
              </a:solidFill>
              <a:ln>
                <a:noFill/>
              </a:ln>
              <a:effectLst/>
            </c:spPr>
            <c:extLst>
              <c:ext xmlns:c16="http://schemas.microsoft.com/office/drawing/2014/chart" uri="{C3380CC4-5D6E-409C-BE32-E72D297353CC}">
                <c16:uniqueId val="{00000003-1C82-4D70-80FD-35F179105A5D}"/>
              </c:ext>
            </c:extLst>
          </c:dPt>
          <c:dPt>
            <c:idx val="4"/>
            <c:invertIfNegative val="0"/>
            <c:bubble3D val="0"/>
            <c:spPr>
              <a:solidFill>
                <a:srgbClr val="2062AF"/>
              </a:solidFill>
              <a:ln>
                <a:noFill/>
              </a:ln>
              <a:effectLst/>
            </c:spPr>
            <c:extLst>
              <c:ext xmlns:c16="http://schemas.microsoft.com/office/drawing/2014/chart" uri="{C3380CC4-5D6E-409C-BE32-E72D297353CC}">
                <c16:uniqueId val="{00000004-1C82-4D70-80FD-35F179105A5D}"/>
              </c:ext>
            </c:extLst>
          </c:dPt>
          <c:dPt>
            <c:idx val="5"/>
            <c:invertIfNegative val="0"/>
            <c:bubble3D val="0"/>
            <c:spPr>
              <a:solidFill>
                <a:srgbClr val="00B2BF"/>
              </a:solidFill>
              <a:ln>
                <a:noFill/>
              </a:ln>
              <a:effectLst/>
            </c:spPr>
            <c:extLst>
              <c:ext xmlns:c16="http://schemas.microsoft.com/office/drawing/2014/chart" uri="{C3380CC4-5D6E-409C-BE32-E72D297353CC}">
                <c16:uniqueId val="{00000005-1C82-4D70-80FD-35F179105A5D}"/>
              </c:ext>
            </c:extLst>
          </c:dPt>
          <c:cat>
            <c:numRef>
              <c:f>'8-year TO forecasts'!$AF$5:$AM$5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forecasts'!$AF$6:$AM$6</c:f>
              <c:numCache>
                <c:formatCode>0</c:formatCode>
                <c:ptCount val="8"/>
                <c:pt idx="0">
                  <c:v>269.63348326714441</c:v>
                </c:pt>
                <c:pt idx="1">
                  <c:v>308.8593873617931</c:v>
                </c:pt>
                <c:pt idx="2">
                  <c:v>388.32248587064237</c:v>
                </c:pt>
                <c:pt idx="3">
                  <c:v>369.5383897770127</c:v>
                </c:pt>
                <c:pt idx="4">
                  <c:v>246.09413700613075</c:v>
                </c:pt>
                <c:pt idx="5">
                  <c:v>187.68735826867479</c:v>
                </c:pt>
              </c:numCache>
            </c:numRef>
          </c:val>
          <c:extLst>
            <c:ext xmlns:c16="http://schemas.microsoft.com/office/drawing/2014/chart" uri="{C3380CC4-5D6E-409C-BE32-E72D297353CC}">
              <c16:uniqueId val="{00000000-25DD-4D55-B7ED-8675F40AFB19}"/>
            </c:ext>
          </c:extLst>
        </c:ser>
        <c:ser>
          <c:idx val="1"/>
          <c:order val="1"/>
          <c:tx>
            <c:strRef>
              <c:f>'8-year TO forecasts'!$AE$7</c:f>
              <c:strCache>
                <c:ptCount val="1"/>
                <c:pt idx="0">
                  <c:v>Forecast expenditure</c:v>
                </c:pt>
              </c:strCache>
            </c:strRef>
          </c:tx>
          <c:spPr>
            <a:solidFill>
              <a:srgbClr val="A1ABA8"/>
            </a:solidFill>
            <a:ln>
              <a:noFill/>
            </a:ln>
            <a:effectLst/>
          </c:spPr>
          <c:invertIfNegative val="0"/>
          <c:dPt>
            <c:idx val="7"/>
            <c:invertIfNegative val="0"/>
            <c:bubble3D val="0"/>
            <c:spPr>
              <a:solidFill>
                <a:srgbClr val="A28F5C"/>
              </a:solidFill>
              <a:ln>
                <a:noFill/>
              </a:ln>
              <a:effectLst/>
            </c:spPr>
            <c:extLst>
              <c:ext xmlns:c16="http://schemas.microsoft.com/office/drawing/2014/chart" uri="{C3380CC4-5D6E-409C-BE32-E72D297353CC}">
                <c16:uniqueId val="{00000006-1C82-4D70-80FD-35F179105A5D}"/>
              </c:ext>
            </c:extLst>
          </c:dPt>
          <c:cat>
            <c:numRef>
              <c:f>'8-year TO forecasts'!$AF$5:$AM$5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forecasts'!$AF$7:$AM$7</c:f>
              <c:numCache>
                <c:formatCode>General</c:formatCode>
                <c:ptCount val="8"/>
                <c:pt idx="6" formatCode="#,##0.0;[Red]\(#,##0.0\)">
                  <c:v>249.84020619195201</c:v>
                </c:pt>
                <c:pt idx="7" formatCode="#,##0.0;[Red]\(#,##0.0\)">
                  <c:v>266.26464891216381</c:v>
                </c:pt>
              </c:numCache>
            </c:numRef>
          </c:val>
          <c:extLst>
            <c:ext xmlns:c16="http://schemas.microsoft.com/office/drawing/2014/chart" uri="{C3380CC4-5D6E-409C-BE32-E72D297353CC}">
              <c16:uniqueId val="{00000001-25DD-4D55-B7ED-8675F40AFB19}"/>
            </c:ext>
          </c:extLst>
        </c:ser>
        <c:dLbls>
          <c:showLegendKey val="0"/>
          <c:showVal val="0"/>
          <c:showCatName val="0"/>
          <c:showSerName val="0"/>
          <c:showPercent val="0"/>
          <c:showBubbleSize val="0"/>
        </c:dLbls>
        <c:gapWidth val="150"/>
        <c:axId val="957593712"/>
        <c:axId val="957597976"/>
      </c:barChart>
      <c:lineChart>
        <c:grouping val="standard"/>
        <c:varyColors val="0"/>
        <c:ser>
          <c:idx val="2"/>
          <c:order val="2"/>
          <c:tx>
            <c:strRef>
              <c:f>'8-year TO forecasts'!$AE$8</c:f>
              <c:strCache>
                <c:ptCount val="1"/>
                <c:pt idx="0">
                  <c:v>Forecast adjusted allowance</c:v>
                </c:pt>
              </c:strCache>
            </c:strRef>
          </c:tx>
          <c:spPr>
            <a:ln w="28575" cap="rnd">
              <a:solidFill>
                <a:schemeClr val="tx1"/>
              </a:solidFill>
              <a:round/>
            </a:ln>
            <a:effectLst/>
          </c:spPr>
          <c:marker>
            <c:symbol val="none"/>
          </c:marker>
          <c:cat>
            <c:numRef>
              <c:f>'8-year TO forecasts'!$AF$5:$AM$5</c:f>
              <c:numCache>
                <c:formatCode>General</c:formatCode>
                <c:ptCount val="8"/>
                <c:pt idx="0">
                  <c:v>2014</c:v>
                </c:pt>
                <c:pt idx="1">
                  <c:v>2015</c:v>
                </c:pt>
                <c:pt idx="2">
                  <c:v>2016</c:v>
                </c:pt>
                <c:pt idx="3">
                  <c:v>2017</c:v>
                </c:pt>
                <c:pt idx="4">
                  <c:v>2018</c:v>
                </c:pt>
                <c:pt idx="5">
                  <c:v>2019</c:v>
                </c:pt>
                <c:pt idx="6">
                  <c:v>2020</c:v>
                </c:pt>
                <c:pt idx="7">
                  <c:v>2021</c:v>
                </c:pt>
              </c:numCache>
            </c:numRef>
          </c:cat>
          <c:val>
            <c:numRef>
              <c:f>'8-year TO forecasts'!$AF$8:$AM$8</c:f>
              <c:numCache>
                <c:formatCode>0.0</c:formatCode>
                <c:ptCount val="8"/>
                <c:pt idx="0">
                  <c:v>410.11873690495685</c:v>
                </c:pt>
                <c:pt idx="1">
                  <c:v>514.06635089381587</c:v>
                </c:pt>
                <c:pt idx="2">
                  <c:v>386.71182587195955</c:v>
                </c:pt>
                <c:pt idx="3">
                  <c:v>193.56355143232537</c:v>
                </c:pt>
                <c:pt idx="4">
                  <c:v>253.61852778465001</c:v>
                </c:pt>
                <c:pt idx="5">
                  <c:v>275.65967679128892</c:v>
                </c:pt>
                <c:pt idx="6">
                  <c:v>230.98324118333136</c:v>
                </c:pt>
                <c:pt idx="7">
                  <c:v>97.5490234339822</c:v>
                </c:pt>
              </c:numCache>
            </c:numRef>
          </c:val>
          <c:smooth val="0"/>
          <c:extLst>
            <c:ext xmlns:c16="http://schemas.microsoft.com/office/drawing/2014/chart" uri="{C3380CC4-5D6E-409C-BE32-E72D297353CC}">
              <c16:uniqueId val="{00000002-25DD-4D55-B7ED-8675F40AFB19}"/>
            </c:ext>
          </c:extLst>
        </c:ser>
        <c:dLbls>
          <c:showLegendKey val="0"/>
          <c:showVal val="0"/>
          <c:showCatName val="0"/>
          <c:showSerName val="0"/>
          <c:showPercent val="0"/>
          <c:showBubbleSize val="0"/>
        </c:dLbls>
        <c:marker val="1"/>
        <c:smooth val="0"/>
        <c:axId val="957593712"/>
        <c:axId val="957597976"/>
      </c:lineChart>
      <c:catAx>
        <c:axId val="95759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597976"/>
        <c:crosses val="autoZero"/>
        <c:auto val="1"/>
        <c:lblAlgn val="ctr"/>
        <c:lblOffset val="100"/>
        <c:noMultiLvlLbl val="0"/>
      </c:catAx>
      <c:valAx>
        <c:axId val="957597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a:t>
                </a:r>
                <a:r>
                  <a:rPr lang="en-GB" baseline="0"/>
                  <a:t> 2018/19 prices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593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editAs="oneCell">
    <xdr:from>
      <xdr:col>5</xdr:col>
      <xdr:colOff>179140</xdr:colOff>
      <xdr:row>0</xdr:row>
      <xdr:rowOff>183509</xdr:rowOff>
    </xdr:from>
    <xdr:to>
      <xdr:col>6</xdr:col>
      <xdr:colOff>358717</xdr:colOff>
      <xdr:row>3</xdr:row>
      <xdr:rowOff>45396</xdr:rowOff>
    </xdr:to>
    <xdr:pic>
      <xdr:nvPicPr>
        <xdr:cNvPr id="3" name="Picture 2" title="white box"/>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98640" y="183509"/>
          <a:ext cx="903477" cy="361950"/>
        </a:xfrm>
        <a:prstGeom prst="rect">
          <a:avLst/>
        </a:prstGeom>
      </xdr:spPr>
    </xdr:pic>
    <xdr:clientData/>
  </xdr:twoCellAnchor>
  <xdr:twoCellAnchor>
    <xdr:from>
      <xdr:col>3</xdr:col>
      <xdr:colOff>515574</xdr:colOff>
      <xdr:row>6</xdr:row>
      <xdr:rowOff>122340</xdr:rowOff>
    </xdr:from>
    <xdr:to>
      <xdr:col>19</xdr:col>
      <xdr:colOff>416718</xdr:colOff>
      <xdr:row>11</xdr:row>
      <xdr:rowOff>44863</xdr:rowOff>
    </xdr:to>
    <xdr:sp macro="" textlink="">
      <xdr:nvSpPr>
        <xdr:cNvPr id="4" name="TextBox 3"/>
        <xdr:cNvSpPr txBox="1"/>
      </xdr:nvSpPr>
      <xdr:spPr>
        <a:xfrm>
          <a:off x="2587262" y="1670153"/>
          <a:ext cx="10950144" cy="755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u="none">
              <a:latin typeface="Verdana" panose="020B0604030504040204" pitchFamily="34" charset="0"/>
              <a:ea typeface="Verdana" panose="020B0604030504040204" pitchFamily="34" charset="0"/>
              <a:cs typeface="Verdana" panose="020B0604030504040204" pitchFamily="34" charset="0"/>
            </a:rPr>
            <a:t>RIIO-ET1</a:t>
          </a:r>
          <a:r>
            <a:rPr lang="en-GB" sz="2400" u="none" baseline="0">
              <a:latin typeface="Verdana" panose="020B0604030504040204" pitchFamily="34" charset="0"/>
              <a:ea typeface="Verdana" panose="020B0604030504040204" pitchFamily="34" charset="0"/>
              <a:cs typeface="Verdana" panose="020B0604030504040204" pitchFamily="34" charset="0"/>
            </a:rPr>
            <a:t> </a:t>
          </a:r>
          <a:r>
            <a:rPr lang="en-GB" sz="2400" u="none">
              <a:latin typeface="Verdana" panose="020B0604030504040204" pitchFamily="34" charset="0"/>
              <a:ea typeface="Verdana" panose="020B0604030504040204" pitchFamily="34" charset="0"/>
              <a:cs typeface="Verdana" panose="020B0604030504040204" pitchFamily="34" charset="0"/>
            </a:rPr>
            <a:t>Performance</a:t>
          </a:r>
          <a:r>
            <a:rPr lang="en-GB" sz="2400" u="none" baseline="0">
              <a:latin typeface="Verdana" panose="020B0604030504040204" pitchFamily="34" charset="0"/>
              <a:ea typeface="Verdana" panose="020B0604030504040204" pitchFamily="34" charset="0"/>
              <a:cs typeface="Verdana" panose="020B0604030504040204" pitchFamily="34" charset="0"/>
            </a:rPr>
            <a:t> Summary </a:t>
          </a:r>
          <a:r>
            <a:rPr lang="en-GB" sz="2400" u="none">
              <a:latin typeface="Verdana" panose="020B0604030504040204" pitchFamily="34" charset="0"/>
              <a:ea typeface="Verdana" panose="020B0604030504040204" pitchFamily="34" charset="0"/>
              <a:cs typeface="Verdana" panose="020B0604030504040204" pitchFamily="34" charset="0"/>
            </a:rPr>
            <a:t>2018-19</a:t>
          </a:r>
          <a:r>
            <a:rPr lang="en-GB" sz="2400" u="none" baseline="0">
              <a:latin typeface="Verdana" panose="020B0604030504040204" pitchFamily="34" charset="0"/>
              <a:ea typeface="Verdana" panose="020B0604030504040204" pitchFamily="34" charset="0"/>
              <a:cs typeface="Verdana" panose="020B0604030504040204" pitchFamily="34" charset="0"/>
            </a:rPr>
            <a:t> Supplementary Data File </a:t>
          </a:r>
          <a:endParaRPr lang="en-GB" sz="2400" u="none">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0</xdr:colOff>
      <xdr:row>0</xdr:row>
      <xdr:rowOff>0</xdr:rowOff>
    </xdr:from>
    <xdr:to>
      <xdr:col>4</xdr:col>
      <xdr:colOff>78675</xdr:colOff>
      <xdr:row>0</xdr:row>
      <xdr:rowOff>716559</xdr:rowOff>
    </xdr:to>
    <xdr:pic>
      <xdr:nvPicPr>
        <xdr:cNvPr id="6" name="Picture 5" descr="Ofgem banner" title="Ofgem banne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017818" cy="7165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495300</xdr:colOff>
      <xdr:row>3</xdr:row>
      <xdr:rowOff>5442</xdr:rowOff>
    </xdr:from>
    <xdr:to>
      <xdr:col>15</xdr:col>
      <xdr:colOff>628650</xdr:colOff>
      <xdr:row>20</xdr:row>
      <xdr:rowOff>65314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152399</xdr:colOff>
      <xdr:row>45</xdr:row>
      <xdr:rowOff>123824</xdr:rowOff>
    </xdr:from>
    <xdr:to>
      <xdr:col>16</xdr:col>
      <xdr:colOff>285749</xdr:colOff>
      <xdr:row>63</xdr:row>
      <xdr:rowOff>2722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571500</xdr:colOff>
      <xdr:row>66</xdr:row>
      <xdr:rowOff>104775</xdr:rowOff>
    </xdr:from>
    <xdr:to>
      <xdr:col>16</xdr:col>
      <xdr:colOff>19050</xdr:colOff>
      <xdr:row>84</xdr:row>
      <xdr:rowOff>2722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457201</xdr:colOff>
      <xdr:row>23</xdr:row>
      <xdr:rowOff>133350</xdr:rowOff>
    </xdr:from>
    <xdr:to>
      <xdr:col>15</xdr:col>
      <xdr:colOff>443120</xdr:colOff>
      <xdr:row>36</xdr:row>
      <xdr:rowOff>136663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45</xdr:row>
      <xdr:rowOff>114300</xdr:rowOff>
    </xdr:from>
    <xdr:to>
      <xdr:col>25</xdr:col>
      <xdr:colOff>133350</xdr:colOff>
      <xdr:row>62</xdr:row>
      <xdr:rowOff>155122</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67</xdr:row>
      <xdr:rowOff>0</xdr:rowOff>
    </xdr:from>
    <xdr:to>
      <xdr:col>25</xdr:col>
      <xdr:colOff>133350</xdr:colOff>
      <xdr:row>84</xdr:row>
      <xdr:rowOff>59872</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0</xdr:colOff>
      <xdr:row>3</xdr:row>
      <xdr:rowOff>0</xdr:rowOff>
    </xdr:from>
    <xdr:to>
      <xdr:col>32</xdr:col>
      <xdr:colOff>133350</xdr:colOff>
      <xdr:row>20</xdr:row>
      <xdr:rowOff>59872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1658935</xdr:colOff>
      <xdr:row>11</xdr:row>
      <xdr:rowOff>95250</xdr:rowOff>
    </xdr:from>
    <xdr:to>
      <xdr:col>23</xdr:col>
      <xdr:colOff>333374</xdr:colOff>
      <xdr:row>30</xdr:row>
      <xdr:rowOff>127000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11338</xdr:colOff>
      <xdr:row>10</xdr:row>
      <xdr:rowOff>142192</xdr:rowOff>
    </xdr:from>
    <xdr:to>
      <xdr:col>38</xdr:col>
      <xdr:colOff>296520</xdr:colOff>
      <xdr:row>28</xdr:row>
      <xdr:rowOff>159883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45</xdr:col>
      <xdr:colOff>7939</xdr:colOff>
      <xdr:row>11</xdr:row>
      <xdr:rowOff>25396</xdr:rowOff>
    </xdr:from>
    <xdr:to>
      <xdr:col>51</xdr:col>
      <xdr:colOff>598713</xdr:colOff>
      <xdr:row>26</xdr:row>
      <xdr:rowOff>27214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90715</xdr:colOff>
      <xdr:row>43</xdr:row>
      <xdr:rowOff>144464</xdr:rowOff>
    </xdr:from>
    <xdr:to>
      <xdr:col>21</xdr:col>
      <xdr:colOff>902608</xdr:colOff>
      <xdr:row>69</xdr:row>
      <xdr:rowOff>51028</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45</xdr:col>
      <xdr:colOff>68035</xdr:colOff>
      <xdr:row>36</xdr:row>
      <xdr:rowOff>49214</xdr:rowOff>
    </xdr:from>
    <xdr:to>
      <xdr:col>51</xdr:col>
      <xdr:colOff>489857</xdr:colOff>
      <xdr:row>51</xdr:row>
      <xdr:rowOff>149679</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687161</xdr:colOff>
      <xdr:row>43</xdr:row>
      <xdr:rowOff>145598</xdr:rowOff>
    </xdr:from>
    <xdr:to>
      <xdr:col>36</xdr:col>
      <xdr:colOff>174626</xdr:colOff>
      <xdr:row>68</xdr:row>
      <xdr:rowOff>90716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64</xdr:col>
      <xdr:colOff>71440</xdr:colOff>
      <xdr:row>8</xdr:row>
      <xdr:rowOff>104771</xdr:rowOff>
    </xdr:from>
    <xdr:to>
      <xdr:col>71</xdr:col>
      <xdr:colOff>326571</xdr:colOff>
      <xdr:row>25</xdr:row>
      <xdr:rowOff>136071</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63</xdr:col>
      <xdr:colOff>653142</xdr:colOff>
      <xdr:row>35</xdr:row>
      <xdr:rowOff>43544</xdr:rowOff>
    </xdr:from>
    <xdr:to>
      <xdr:col>71</xdr:col>
      <xdr:colOff>253092</xdr:colOff>
      <xdr:row>52</xdr:row>
      <xdr:rowOff>68035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67</xdr:col>
      <xdr:colOff>204107</xdr:colOff>
      <xdr:row>8</xdr:row>
      <xdr:rowOff>108858</xdr:rowOff>
    </xdr:from>
    <xdr:to>
      <xdr:col>68</xdr:col>
      <xdr:colOff>737507</xdr:colOff>
      <xdr:row>11</xdr:row>
      <xdr:rowOff>122465</xdr:rowOff>
    </xdr:to>
    <xdr:sp macro="" textlink="">
      <xdr:nvSpPr>
        <xdr:cNvPr id="12" name="Text Box 2"/>
        <xdr:cNvSpPr txBox="1">
          <a:spLocks noChangeArrowheads="1"/>
        </xdr:cNvSpPr>
      </xdr:nvSpPr>
      <xdr:spPr bwMode="auto">
        <a:xfrm>
          <a:off x="65681678" y="1700894"/>
          <a:ext cx="1431472" cy="530678"/>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50000"/>
            </a:lnSpc>
            <a:spcAft>
              <a:spcPts val="0"/>
            </a:spcAft>
          </a:pPr>
          <a:r>
            <a:rPr lang="en-GB" sz="1000" b="1" u="none">
              <a:solidFill>
                <a:sysClr val="windowText" lastClr="000000"/>
              </a:solidFill>
              <a:effectLst/>
              <a:latin typeface="Verdana" panose="020B0604030504040204" pitchFamily="34" charset="0"/>
              <a:ea typeface="Times New Roman" panose="02020603050405020304" pitchFamily="18" charset="0"/>
              <a:cs typeface="Times New Roman" panose="02020603050405020304" pitchFamily="18" charset="0"/>
            </a:rPr>
            <a:t>Actual expenditure</a:t>
          </a:r>
        </a:p>
      </xdr:txBody>
    </xdr:sp>
    <xdr:clientData/>
  </xdr:twoCellAnchor>
  <xdr:twoCellAnchor>
    <xdr:from>
      <xdr:col>68</xdr:col>
      <xdr:colOff>745672</xdr:colOff>
      <xdr:row>8</xdr:row>
      <xdr:rowOff>123823</xdr:rowOff>
    </xdr:from>
    <xdr:to>
      <xdr:col>70</xdr:col>
      <xdr:colOff>136071</xdr:colOff>
      <xdr:row>12</xdr:row>
      <xdr:rowOff>0</xdr:rowOff>
    </xdr:to>
    <xdr:sp macro="" textlink="">
      <xdr:nvSpPr>
        <xdr:cNvPr id="14" name="Text Box 2"/>
        <xdr:cNvSpPr txBox="1">
          <a:spLocks noChangeArrowheads="1"/>
        </xdr:cNvSpPr>
      </xdr:nvSpPr>
      <xdr:spPr bwMode="auto">
        <a:xfrm>
          <a:off x="67121315" y="1715859"/>
          <a:ext cx="1077685" cy="570141"/>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50000"/>
            </a:lnSpc>
            <a:spcAft>
              <a:spcPts val="0"/>
            </a:spcAft>
          </a:pPr>
          <a:r>
            <a:rPr lang="en-GB" sz="1000" b="1" u="none">
              <a:solidFill>
                <a:sysClr val="windowText" lastClr="000000"/>
              </a:solidFill>
              <a:effectLst/>
              <a:latin typeface="Verdana" panose="020B0604030504040204" pitchFamily="34" charset="0"/>
              <a:ea typeface="Times New Roman" panose="02020603050405020304" pitchFamily="18" charset="0"/>
              <a:cs typeface="Times New Roman" panose="02020603050405020304" pitchFamily="18" charset="0"/>
            </a:rPr>
            <a:t>Forecast expenditure</a:t>
          </a:r>
        </a:p>
      </xdr:txBody>
    </xdr:sp>
    <xdr:clientData/>
  </xdr:twoCellAnchor>
  <xdr:twoCellAnchor>
    <xdr:from>
      <xdr:col>68</xdr:col>
      <xdr:colOff>693964</xdr:colOff>
      <xdr:row>8</xdr:row>
      <xdr:rowOff>122465</xdr:rowOff>
    </xdr:from>
    <xdr:to>
      <xdr:col>68</xdr:col>
      <xdr:colOff>721178</xdr:colOff>
      <xdr:row>25</xdr:row>
      <xdr:rowOff>95250</xdr:rowOff>
    </xdr:to>
    <xdr:cxnSp macro="">
      <xdr:nvCxnSpPr>
        <xdr:cNvPr id="7" name="Straight Connector 6"/>
        <xdr:cNvCxnSpPr/>
      </xdr:nvCxnSpPr>
      <xdr:spPr>
        <a:xfrm flipH="1" flipV="1">
          <a:off x="67069607" y="1714501"/>
          <a:ext cx="27214" cy="2843892"/>
        </a:xfrm>
        <a:prstGeom prst="line">
          <a:avLst/>
        </a:prstGeom>
        <a:ln w="254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587829</xdr:colOff>
      <xdr:row>35</xdr:row>
      <xdr:rowOff>51710</xdr:rowOff>
    </xdr:from>
    <xdr:to>
      <xdr:col>68</xdr:col>
      <xdr:colOff>612321</xdr:colOff>
      <xdr:row>52</xdr:row>
      <xdr:rowOff>95250</xdr:rowOff>
    </xdr:to>
    <xdr:cxnSp macro="">
      <xdr:nvCxnSpPr>
        <xdr:cNvPr id="15" name="Straight Connector 14"/>
        <xdr:cNvCxnSpPr/>
      </xdr:nvCxnSpPr>
      <xdr:spPr>
        <a:xfrm flipH="1" flipV="1">
          <a:off x="66963472" y="6487889"/>
          <a:ext cx="24492" cy="3091540"/>
        </a:xfrm>
        <a:prstGeom prst="line">
          <a:avLst/>
        </a:prstGeom>
        <a:ln w="254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830036</xdr:colOff>
      <xdr:row>35</xdr:row>
      <xdr:rowOff>141513</xdr:rowOff>
    </xdr:from>
    <xdr:to>
      <xdr:col>68</xdr:col>
      <xdr:colOff>517072</xdr:colOff>
      <xdr:row>38</xdr:row>
      <xdr:rowOff>42953</xdr:rowOff>
    </xdr:to>
    <xdr:sp macro="" textlink="">
      <xdr:nvSpPr>
        <xdr:cNvPr id="16" name="Text Box 2"/>
        <xdr:cNvSpPr txBox="1">
          <a:spLocks noChangeArrowheads="1"/>
        </xdr:cNvSpPr>
      </xdr:nvSpPr>
      <xdr:spPr bwMode="auto">
        <a:xfrm>
          <a:off x="65409536" y="6577692"/>
          <a:ext cx="1483179" cy="568190"/>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50000"/>
            </a:lnSpc>
            <a:spcAft>
              <a:spcPts val="0"/>
            </a:spcAft>
          </a:pPr>
          <a:r>
            <a:rPr lang="en-GB" sz="1000" b="1" u="none">
              <a:solidFill>
                <a:sysClr val="windowText" lastClr="000000"/>
              </a:solidFill>
              <a:effectLst/>
              <a:latin typeface="Verdana" panose="020B0604030504040204" pitchFamily="34" charset="0"/>
              <a:ea typeface="Times New Roman" panose="02020603050405020304" pitchFamily="18" charset="0"/>
              <a:cs typeface="Times New Roman" panose="02020603050405020304" pitchFamily="18" charset="0"/>
            </a:rPr>
            <a:t>Actual expenditure</a:t>
          </a:r>
        </a:p>
      </xdr:txBody>
    </xdr:sp>
    <xdr:clientData/>
  </xdr:twoCellAnchor>
  <xdr:twoCellAnchor>
    <xdr:from>
      <xdr:col>68</xdr:col>
      <xdr:colOff>696686</xdr:colOff>
      <xdr:row>35</xdr:row>
      <xdr:rowOff>81643</xdr:rowOff>
    </xdr:from>
    <xdr:to>
      <xdr:col>70</xdr:col>
      <xdr:colOff>244929</xdr:colOff>
      <xdr:row>37</xdr:row>
      <xdr:rowOff>146369</xdr:rowOff>
    </xdr:to>
    <xdr:sp macro="" textlink="">
      <xdr:nvSpPr>
        <xdr:cNvPr id="18" name="Text Box 2"/>
        <xdr:cNvSpPr txBox="1">
          <a:spLocks noChangeArrowheads="1"/>
        </xdr:cNvSpPr>
      </xdr:nvSpPr>
      <xdr:spPr bwMode="auto">
        <a:xfrm>
          <a:off x="67072329" y="6517822"/>
          <a:ext cx="1235529" cy="568190"/>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50000"/>
            </a:lnSpc>
            <a:spcAft>
              <a:spcPts val="0"/>
            </a:spcAft>
          </a:pPr>
          <a:r>
            <a:rPr lang="en-GB" sz="1000" b="1" u="none">
              <a:solidFill>
                <a:sysClr val="windowText" lastClr="000000"/>
              </a:solidFill>
              <a:effectLst/>
              <a:latin typeface="Verdana" panose="020B0604030504040204" pitchFamily="34" charset="0"/>
              <a:ea typeface="Times New Roman" panose="02020603050405020304" pitchFamily="18" charset="0"/>
              <a:cs typeface="Times New Roman" panose="02020603050405020304" pitchFamily="18" charset="0"/>
            </a:rPr>
            <a:t>Forecast expenditure</a:t>
          </a:r>
        </a:p>
      </xdr:txBody>
    </xdr:sp>
    <xdr:clientData/>
  </xdr:twoCellAnchor>
  <xdr:twoCellAnchor>
    <xdr:from>
      <xdr:col>64</xdr:col>
      <xdr:colOff>1006929</xdr:colOff>
      <xdr:row>23</xdr:row>
      <xdr:rowOff>158750</xdr:rowOff>
    </xdr:from>
    <xdr:to>
      <xdr:col>66</xdr:col>
      <xdr:colOff>693965</xdr:colOff>
      <xdr:row>25</xdr:row>
      <xdr:rowOff>119805</xdr:rowOff>
    </xdr:to>
    <xdr:sp macro="" textlink="">
      <xdr:nvSpPr>
        <xdr:cNvPr id="17" name="Text Box 2"/>
        <xdr:cNvSpPr txBox="1">
          <a:spLocks noChangeArrowheads="1"/>
        </xdr:cNvSpPr>
      </xdr:nvSpPr>
      <xdr:spPr bwMode="auto">
        <a:xfrm>
          <a:off x="62130215" y="4254500"/>
          <a:ext cx="3143250" cy="328448"/>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50000"/>
            </a:lnSpc>
            <a:spcAft>
              <a:spcPts val="0"/>
            </a:spcAft>
          </a:pPr>
          <a:r>
            <a:rPr lang="en-GB" sz="1000" b="1" u="none">
              <a:solidFill>
                <a:schemeClr val="bg1"/>
              </a:solidFill>
              <a:effectLst/>
              <a:latin typeface="Verdana" panose="020B0604030504040204" pitchFamily="34" charset="0"/>
              <a:ea typeface="Times New Roman" panose="02020603050405020304" pitchFamily="18" charset="0"/>
              <a:cs typeface="Times New Roman" panose="02020603050405020304" pitchFamily="18" charset="0"/>
            </a:rPr>
            <a:t>.</a:t>
          </a:r>
        </a:p>
      </xdr:txBody>
    </xdr:sp>
    <xdr:clientData/>
  </xdr:twoCellAnchor>
  <xdr:twoCellAnchor>
    <xdr:from>
      <xdr:col>64</xdr:col>
      <xdr:colOff>639536</xdr:colOff>
      <xdr:row>50</xdr:row>
      <xdr:rowOff>34018</xdr:rowOff>
    </xdr:from>
    <xdr:to>
      <xdr:col>66</xdr:col>
      <xdr:colOff>231322</xdr:colOff>
      <xdr:row>52</xdr:row>
      <xdr:rowOff>15483</xdr:rowOff>
    </xdr:to>
    <xdr:sp macro="" textlink="">
      <xdr:nvSpPr>
        <xdr:cNvPr id="19" name="Text Box 2"/>
        <xdr:cNvSpPr txBox="1">
          <a:spLocks noChangeArrowheads="1"/>
        </xdr:cNvSpPr>
      </xdr:nvSpPr>
      <xdr:spPr bwMode="auto">
        <a:xfrm>
          <a:off x="61762822" y="9164411"/>
          <a:ext cx="3048000" cy="335251"/>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50000"/>
            </a:lnSpc>
            <a:spcAft>
              <a:spcPts val="0"/>
            </a:spcAft>
          </a:pPr>
          <a:r>
            <a:rPr lang="en-GB" sz="1000" b="1" u="none">
              <a:solidFill>
                <a:schemeClr val="bg1"/>
              </a:solidFill>
              <a:effectLst/>
              <a:latin typeface="Verdana" panose="020B0604030504040204" pitchFamily="34" charset="0"/>
              <a:ea typeface="Times New Roman" panose="02020603050405020304" pitchFamily="18" charset="0"/>
              <a:cs typeface="Times New Roman" panose="02020603050405020304" pitchFamily="18" charset="0"/>
            </a:rPr>
            <a:t>.</a:t>
          </a:r>
        </a:p>
      </xdr:txBody>
    </xdr:sp>
    <xdr:clientData/>
  </xdr:twoCellAnchor>
  <xdr:twoCellAnchor>
    <xdr:from>
      <xdr:col>44</xdr:col>
      <xdr:colOff>312964</xdr:colOff>
      <xdr:row>70</xdr:row>
      <xdr:rowOff>136072</xdr:rowOff>
    </xdr:from>
    <xdr:to>
      <xdr:col>51</xdr:col>
      <xdr:colOff>653143</xdr:colOff>
      <xdr:row>87</xdr:row>
      <xdr:rowOff>54429</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64</xdr:col>
      <xdr:colOff>0</xdr:colOff>
      <xdr:row>62</xdr:row>
      <xdr:rowOff>1</xdr:rowOff>
    </xdr:from>
    <xdr:to>
      <xdr:col>70</xdr:col>
      <xdr:colOff>530678</xdr:colOff>
      <xdr:row>77</xdr:row>
      <xdr:rowOff>149680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68</xdr:col>
      <xdr:colOff>312964</xdr:colOff>
      <xdr:row>62</xdr:row>
      <xdr:rowOff>40822</xdr:rowOff>
    </xdr:from>
    <xdr:to>
      <xdr:col>68</xdr:col>
      <xdr:colOff>312964</xdr:colOff>
      <xdr:row>77</xdr:row>
      <xdr:rowOff>136072</xdr:rowOff>
    </xdr:to>
    <xdr:cxnSp macro="">
      <xdr:nvCxnSpPr>
        <xdr:cNvPr id="24" name="Straight Connector 23"/>
        <xdr:cNvCxnSpPr/>
      </xdr:nvCxnSpPr>
      <xdr:spPr>
        <a:xfrm flipV="1">
          <a:off x="66688607" y="11212286"/>
          <a:ext cx="0" cy="2871107"/>
        </a:xfrm>
        <a:prstGeom prst="line">
          <a:avLst/>
        </a:prstGeom>
        <a:ln w="254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27215</xdr:colOff>
      <xdr:row>62</xdr:row>
      <xdr:rowOff>13608</xdr:rowOff>
    </xdr:from>
    <xdr:to>
      <xdr:col>68</xdr:col>
      <xdr:colOff>176893</xdr:colOff>
      <xdr:row>65</xdr:row>
      <xdr:rowOff>78333</xdr:rowOff>
    </xdr:to>
    <xdr:sp macro="" textlink="">
      <xdr:nvSpPr>
        <xdr:cNvPr id="26" name="Text Box 2"/>
        <xdr:cNvSpPr txBox="1">
          <a:spLocks noChangeArrowheads="1"/>
        </xdr:cNvSpPr>
      </xdr:nvSpPr>
      <xdr:spPr bwMode="auto">
        <a:xfrm>
          <a:off x="65504786" y="11185072"/>
          <a:ext cx="1047750" cy="568190"/>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50000"/>
            </a:lnSpc>
            <a:spcAft>
              <a:spcPts val="0"/>
            </a:spcAft>
          </a:pPr>
          <a:r>
            <a:rPr lang="en-GB" sz="1000" b="1" u="none">
              <a:solidFill>
                <a:sysClr val="windowText" lastClr="000000"/>
              </a:solidFill>
              <a:effectLst/>
              <a:latin typeface="Verdana" panose="020B0604030504040204" pitchFamily="34" charset="0"/>
              <a:ea typeface="Times New Roman" panose="02020603050405020304" pitchFamily="18" charset="0"/>
              <a:cs typeface="Times New Roman" panose="02020603050405020304" pitchFamily="18" charset="0"/>
            </a:rPr>
            <a:t>Actual expenditure</a:t>
          </a:r>
        </a:p>
      </xdr:txBody>
    </xdr:sp>
    <xdr:clientData/>
  </xdr:twoCellAnchor>
  <xdr:twoCellAnchor>
    <xdr:from>
      <xdr:col>68</xdr:col>
      <xdr:colOff>340179</xdr:colOff>
      <xdr:row>62</xdr:row>
      <xdr:rowOff>13607</xdr:rowOff>
    </xdr:from>
    <xdr:to>
      <xdr:col>69</xdr:col>
      <xdr:colOff>800101</xdr:colOff>
      <xdr:row>65</xdr:row>
      <xdr:rowOff>78332</xdr:rowOff>
    </xdr:to>
    <xdr:sp macro="" textlink="">
      <xdr:nvSpPr>
        <xdr:cNvPr id="27" name="Text Box 2"/>
        <xdr:cNvSpPr txBox="1">
          <a:spLocks noChangeArrowheads="1"/>
        </xdr:cNvSpPr>
      </xdr:nvSpPr>
      <xdr:spPr bwMode="auto">
        <a:xfrm>
          <a:off x="66715822" y="11185071"/>
          <a:ext cx="1235529" cy="568190"/>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50000"/>
            </a:lnSpc>
            <a:spcAft>
              <a:spcPts val="0"/>
            </a:spcAft>
          </a:pPr>
          <a:r>
            <a:rPr lang="en-GB" sz="1000" b="1" u="none">
              <a:solidFill>
                <a:sysClr val="windowText" lastClr="000000"/>
              </a:solidFill>
              <a:effectLst/>
              <a:latin typeface="Verdana" panose="020B0604030504040204" pitchFamily="34" charset="0"/>
              <a:ea typeface="Times New Roman" panose="02020603050405020304" pitchFamily="18" charset="0"/>
              <a:cs typeface="Times New Roman" panose="02020603050405020304" pitchFamily="18" charset="0"/>
            </a:rPr>
            <a:t>Forecast expenditure</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0.02487</cdr:x>
      <cdr:y>0.88541</cdr:y>
    </cdr:from>
    <cdr:to>
      <cdr:x>0.46237</cdr:x>
      <cdr:y>1</cdr:y>
    </cdr:to>
    <cdr:sp macro="" textlink="">
      <cdr:nvSpPr>
        <cdr:cNvPr id="2" name="Text Box 2"/>
        <cdr:cNvSpPr txBox="1">
          <a:spLocks xmlns:a="http://schemas.openxmlformats.org/drawingml/2006/main" noChangeArrowheads="1"/>
        </cdr:cNvSpPr>
      </cdr:nvSpPr>
      <cdr:spPr bwMode="auto">
        <a:xfrm xmlns:a="http://schemas.openxmlformats.org/drawingml/2006/main">
          <a:off x="173264" y="2590285"/>
          <a:ext cx="3048000" cy="335251"/>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91440" tIns="45720" rIns="91440" bIns="45720" anchor="t" anchorCtr="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ct val="150000"/>
            </a:lnSpc>
            <a:spcAft>
              <a:spcPts val="0"/>
            </a:spcAft>
          </a:pPr>
          <a:r>
            <a:rPr lang="en-GB" sz="1000" b="1" u="none">
              <a:solidFill>
                <a:schemeClr val="bg1"/>
              </a:solidFill>
              <a:effectLst/>
              <a:latin typeface="Verdana" panose="020B0604030504040204" pitchFamily="34" charset="0"/>
              <a:ea typeface="Times New Roman" panose="02020603050405020304" pitchFamily="18" charset="0"/>
              <a:cs typeface="Times New Roman" panose="02020603050405020304" pitchFamily="18" charset="0"/>
            </a:rPr>
            <a:t>.</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10204</xdr:colOff>
      <xdr:row>10</xdr:row>
      <xdr:rowOff>152401</xdr:rowOff>
    </xdr:from>
    <xdr:to>
      <xdr:col>7</xdr:col>
      <xdr:colOff>671852</xdr:colOff>
      <xdr:row>28</xdr:row>
      <xdr:rowOff>79942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2</xdr:row>
      <xdr:rowOff>9525</xdr:rowOff>
    </xdr:from>
    <xdr:to>
      <xdr:col>5</xdr:col>
      <xdr:colOff>401411</xdr:colOff>
      <xdr:row>19</xdr:row>
      <xdr:rowOff>55789</xdr:rowOff>
    </xdr:to>
    <xdr:graphicFrame macro="">
      <xdr:nvGraphicFramePr>
        <xdr:cNvPr id="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3/sgg/CO/Cost_and_Outputs_Lib/Transmission/RIIO_Reporting/RIGs_Development/RIGs_2016_17/2_Notice/RIIO_T1_ET_Cost_and_Outputs_Reporting_Temp_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point2013/sgg/SG/RIIOI/RIIO_Implementation_Lib/Annual%20Iteration%20Process/2019/05%20Annual%20Report/Copy%20of%20customer%20bills%20annual%20report%20201819%2026%20Nov%202019%20graph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ofgem.gov.uk/system/files/docs/2019/02/annex_3_-_network_cost_allowance_methodology_elec_v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arepoint2013/sgg/CO/Cost_and_Outputs_Lib/Transmission/RIIO_Reporting/RIGS_Working_Versions/2019/2018-19_SHE_RRP_Cost_and_Outpu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repoint2013/sgg/CO/Cost_and_Outputs_Lib/Transmission/RIIO_Reporting/RIGS_Working_Versions/2019/2018-19_NGESO_RRP_Costs_and_Outpu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harepoint2013/sgg/SG/RIIOI/RIIO_Implementation_Lib/Annual%20Iteration%20Process/2019/05%20Annual%20Report/Draft%20Supporting%20Data%20File%20RFPR%202018-19%20without%20link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harepoint2013/sgg/CO/Cost_and_Outputs_Lib/Transmission/RIIO_Reporting/Reports_Publications/2018-19_Annual_Report/SHET/SHET%20true-up%20working%20fileRRP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harepoint2013/sgg/CO/Cost_and_Outputs_Lib/Transmission/RIIO_Reporting/Reports_Publications/2018-19_Annual_Report/SHET/SHET%20highlevel%20LR%20capex%20RRP19_AIP_baseline_and%206F%20Onl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Index"/>
      <sheetName val="Universal data"/>
      <sheetName val="Allowances"/>
      <sheetName val="Previous years"/>
      <sheetName val="Check and Balances"/>
      <sheetName val="1.4_Rec_to_Reg_Accs"/>
      <sheetName val="1.5_Net_Debt_and_Tax_Clawback"/>
      <sheetName val="1.6_Disposals"/>
      <sheetName val="2.1_Totex_PCFM"/>
      <sheetName val="2.2_Totex_Forecast"/>
      <sheetName val="2.3a_Forecast_Allowances"/>
      <sheetName val="2.3b_Forecast_Volumes"/>
      <sheetName val="2.4_Totex"/>
      <sheetName val="2.5_Outputs"/>
      <sheetName val="2.6_Wider_Works"/>
      <sheetName val="2.7_Input_Prices"/>
      <sheetName val="3.1_Opex_summary"/>
      <sheetName val="3.2_Year_on_Year_Movt"/>
      <sheetName val="3.3_Asset_Management_Opex"/>
      <sheetName val="3.4_Business_support_group"/>
      <sheetName val="3.5_Business_support_allocation"/>
      <sheetName val="3.6_Business_support_supplement"/>
      <sheetName val="3.7_Operational_Training"/>
      <sheetName val="3.8_Salary_and_FTE_numbers"/>
      <sheetName val="3.9_Exc_&amp;_Demin"/>
      <sheetName val="3.10_Provisions"/>
      <sheetName val="3.11_Related_Party_Transactions"/>
      <sheetName val="3.12_IRM_Expenditure"/>
      <sheetName val="3.13_NIA_Expenditure"/>
      <sheetName val="3.14_NIC_Expenditure"/>
      <sheetName val="3.15_Physical_Security_Opex"/>
      <sheetName val="3.16_SO_EMR_Data"/>
      <sheetName val="4.1_Capex_Summary"/>
      <sheetName val="4.2_LRScheme_Expenditure"/>
      <sheetName val="4.3_NLRScheme_Expenditure"/>
      <sheetName val="4.3.1_NLR_Volume_Change"/>
      <sheetName val="4.3.2_T2_Output_Cost_Deferral"/>
      <sheetName val="4.3.3_Tower_Steelwork"/>
      <sheetName val="4.4_Uncertain_Costs"/>
      <sheetName val="4.5_Non_Op_Capex"/>
      <sheetName val="4.6_SO_Capex"/>
      <sheetName val="4.7_TIRG_Schemes"/>
      <sheetName val="4.8_Physical_Security_Capex"/>
      <sheetName val="5.1_System_Chars_and_Activity"/>
      <sheetName val="5.2_Faults_and_failures"/>
      <sheetName val="5.3_Boundary_Tran_Requirements"/>
      <sheetName val="5.4_Bound_Capab_Dev"/>
      <sheetName val="5.5_Demand_&amp;_Supply_Sub"/>
      <sheetName val="5.6_Lead_Adds_&amp;_Disps"/>
      <sheetName val="5.7_Non-lead_Adds_&amp;_Disps"/>
      <sheetName val="5.8_Lead_Unit_Cost_Actuals"/>
      <sheetName val="5.9_Non-lead_Unit_Costs"/>
      <sheetName val="5.10_ACU"/>
      <sheetName val="6.1_NGET_customer_satisfaction"/>
      <sheetName val="6.1_Scot_stakehldr_satisfaction"/>
      <sheetName val="6.2_BCF"/>
      <sheetName val="6.3_Reliability"/>
      <sheetName val="6.4_Scot_Timely_connections"/>
      <sheetName val="6.5_SF6_Incentive"/>
      <sheetName val="6.6_Visual_amenity_outputs"/>
      <sheetName val="6.7_BWW_and_SWW_outputs"/>
      <sheetName val="6.8_Pre-con_SWW"/>
      <sheetName val="6.9_SHE_Trans_Generation_conns"/>
      <sheetName val="6.10_SPTL_Generation_sole"/>
      <sheetName val="6.10_SPTL_Generation_shared"/>
      <sheetName val="6.11_NGET_Wider_Works_outputs"/>
      <sheetName val="6.12_NGET_planning_requirements"/>
      <sheetName val="6.13_NGET_Local_Generation"/>
      <sheetName val="6.14_NGET_Local_Demand"/>
      <sheetName val="6.15.1_NOMs_detail"/>
      <sheetName val="6.15.2_NOMs_RP"/>
      <sheetName val="6.16.1_Criticality_Substations"/>
      <sheetName val="6.16.2_Criticality_Circuits"/>
      <sheetName val="6.16.3_Criticality_SP"/>
      <sheetName val="6.17_Flood_Mitigation"/>
      <sheetName val="GRAPH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522">
          <cell r="B522" t="str">
            <v>Preconstruction</v>
          </cell>
        </row>
        <row r="523">
          <cell r="B523" t="str">
            <v>Under construction</v>
          </cell>
        </row>
        <row r="524">
          <cell r="B524" t="str">
            <v>Commissioned</v>
          </cell>
        </row>
        <row r="525">
          <cell r="B525" t="str">
            <v>Terminated/Cancelled</v>
          </cell>
        </row>
        <row r="526">
          <cell r="B526" t="str">
            <v>Moved to non-load</v>
          </cell>
        </row>
        <row r="527">
          <cell r="B527" t="str">
            <v>On hold</v>
          </cell>
        </row>
        <row r="528">
          <cell r="B528" t="str">
            <v>Deferred</v>
          </cell>
        </row>
        <row r="529">
          <cell r="B529" t="str">
            <v>Accelerated</v>
          </cell>
        </row>
        <row r="530">
          <cell r="B530" t="str">
            <v>Recategorised</v>
          </cell>
        </row>
        <row r="533">
          <cell r="B533" t="str">
            <v>Incremental_Wider_Works_NGET</v>
          </cell>
        </row>
        <row r="534">
          <cell r="B534" t="str">
            <v>Generation_connection_and_demand_related_infrastructure_NGET</v>
          </cell>
        </row>
        <row r="535">
          <cell r="B535" t="str">
            <v>Planning_Underground_cable_NGET</v>
          </cell>
        </row>
        <row r="536">
          <cell r="B536" t="str">
            <v>DNO_Mitigation</v>
          </cell>
        </row>
        <row r="537">
          <cell r="B537" t="str">
            <v>Capacity_MW</v>
          </cell>
        </row>
        <row r="538">
          <cell r="B538" t="str">
            <v>Capacity_MVA</v>
          </cell>
        </row>
        <row r="539">
          <cell r="B539" t="str">
            <v>Underground_cable_km</v>
          </cell>
        </row>
        <row r="540">
          <cell r="B540" t="str">
            <v>Overhead_line_km</v>
          </cell>
        </row>
        <row r="541">
          <cell r="B541" t="str">
            <v>Subsea_cable_km</v>
          </cell>
        </row>
        <row r="542">
          <cell r="B542" t="str">
            <v>Super_Grid_Transformer</v>
          </cell>
        </row>
        <row r="543">
          <cell r="B543" t="str">
            <v>400kV_132kV_substation</v>
          </cell>
        </row>
        <row r="544">
          <cell r="B544" t="str">
            <v>275kV_33kV_substation_transformer_feeder</v>
          </cell>
        </row>
        <row r="545">
          <cell r="B545" t="str">
            <v>275kV_33kV_substation_single_switch</v>
          </cell>
        </row>
        <row r="546">
          <cell r="B546" t="str">
            <v>132kV_33kV_substation_transformer_feeder</v>
          </cell>
        </row>
        <row r="547">
          <cell r="B547" t="str">
            <v>132kV_33kV_substation_single_switch</v>
          </cell>
        </row>
        <row r="548">
          <cell r="B548" t="str">
            <v>275kV_400kV_L8_construction_20km</v>
          </cell>
        </row>
        <row r="549">
          <cell r="B549" t="str">
            <v>L8_adjustment_per_km_more_or_less_than_20km</v>
          </cell>
        </row>
        <row r="550">
          <cell r="B550" t="str">
            <v>132kV_33kV_L7_construction_20km</v>
          </cell>
        </row>
        <row r="551">
          <cell r="B551" t="str">
            <v>L7_adjustment_per_km_or_less_than_on_20km</v>
          </cell>
        </row>
        <row r="552">
          <cell r="B552" t="str">
            <v>Overhead_line_synergies_adjustment</v>
          </cell>
        </row>
        <row r="553">
          <cell r="B553" t="str">
            <v>Removal_and_processing/disposal_of_rock_m3</v>
          </cell>
        </row>
        <row r="554">
          <cell r="B554" t="str">
            <v>Removal_and_off-site_disposal_of_peat_m3</v>
          </cell>
        </row>
        <row r="555">
          <cell r="B555" t="str">
            <v>Haulage_road_construction_km</v>
          </cell>
        </row>
        <row r="556">
          <cell r="B556" t="str">
            <v>Other_to_agree_with_Ofgem</v>
          </cell>
        </row>
        <row r="557">
          <cell r="B557" t="str">
            <v>No_output</v>
          </cell>
        </row>
        <row r="583">
          <cell r="B583" t="str">
            <v>Below baseline</v>
          </cell>
        </row>
        <row r="584">
          <cell r="B584" t="str">
            <v>Above baseline</v>
          </cell>
        </row>
      </sheetData>
      <sheetData sheetId="35"/>
      <sheetData sheetId="36"/>
      <sheetData sheetId="37"/>
      <sheetData sheetId="38"/>
      <sheetData sheetId="39"/>
      <sheetData sheetId="40"/>
      <sheetData sheetId="41"/>
      <sheetData sheetId="42"/>
      <sheetData sheetId="43">
        <row r="15">
          <cell r="T15" t="str">
            <v>To be constructed</v>
          </cell>
        </row>
        <row r="16">
          <cell r="T16" t="str">
            <v>Under construction</v>
          </cell>
        </row>
        <row r="17">
          <cell r="T17" t="str">
            <v>Complete</v>
          </cell>
        </row>
        <row r="18">
          <cell r="T18" t="str">
            <v>Under review</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ED"/>
      <sheetName val="ET"/>
      <sheetName val="GD"/>
      <sheetName val="GT"/>
      <sheetName val="Customer Bills Tables Nom"/>
      <sheetName val="Customer Bills Tables Real"/>
      <sheetName val="Chart-GT"/>
      <sheetName val="Chart-GT Real"/>
      <sheetName val="Chart - GD"/>
      <sheetName val="Chart - GD Real"/>
      <sheetName val="Chart - ED"/>
      <sheetName val="Chart - ED Real"/>
      <sheetName val="Chart - ET"/>
      <sheetName val="Chart - ET Real"/>
      <sheetName val="Network Charges - Monthly"/>
      <sheetName val="Chart-GT monthly"/>
    </sheetNames>
    <sheetDataSet>
      <sheetData sheetId="0"/>
      <sheetData sheetId="1"/>
      <sheetData sheetId="2"/>
      <sheetData sheetId="3"/>
      <sheetData sheetId="4"/>
      <sheetData sheetId="5">
        <row r="10">
          <cell r="F10">
            <v>87.739571428571438</v>
          </cell>
          <cell r="G10">
            <v>92.720392857142869</v>
          </cell>
        </row>
      </sheetData>
      <sheetData sheetId="6">
        <row r="4">
          <cell r="F4">
            <v>1</v>
          </cell>
          <cell r="G4">
            <v>0.96922704143445604</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Notes"/>
      <sheetName val="1. Outputs=&gt;"/>
      <sheetName val="1a Network Cost Allowance-Elec"/>
      <sheetName val="2. Calculate=&gt;"/>
      <sheetName val="2a TNUoS"/>
      <sheetName val="2b DUoS"/>
      <sheetName val="2c BSUoS"/>
      <sheetName val="3. Inputs=&gt;"/>
      <sheetName val="3a Demand"/>
      <sheetName val="3b Losses"/>
      <sheetName val="3c TNUoS charges"/>
      <sheetName val="3d DUoS charges"/>
      <sheetName val="3e BSUoS charges"/>
    </sheetNames>
    <sheetDataSet>
      <sheetData sheetId="0"/>
      <sheetData sheetId="1"/>
      <sheetData sheetId="2"/>
      <sheetData sheetId="3"/>
      <sheetData sheetId="4"/>
      <sheetData sheetId="5"/>
      <sheetData sheetId="6">
        <row r="48">
          <cell r="F48" t="str">
            <v>South Wales</v>
          </cell>
        </row>
        <row r="49">
          <cell r="F49" t="str">
            <v>Southern Western</v>
          </cell>
        </row>
        <row r="50">
          <cell r="F50" t="str">
            <v>Yorkshire</v>
          </cell>
        </row>
        <row r="51">
          <cell r="F51" t="str">
            <v>Southern Scotland</v>
          </cell>
        </row>
        <row r="52">
          <cell r="F52" t="str">
            <v>Northern Scotland</v>
          </cell>
        </row>
        <row r="53">
          <cell r="F53" t="str">
            <v>Eastern</v>
          </cell>
        </row>
        <row r="54">
          <cell r="F54" t="str">
            <v>East Midlands</v>
          </cell>
        </row>
        <row r="55">
          <cell r="F55" t="str">
            <v>London</v>
          </cell>
        </row>
        <row r="56">
          <cell r="F56" t="str">
            <v>N Wales and Mersey</v>
          </cell>
        </row>
        <row r="57">
          <cell r="F57" t="str">
            <v>Midlands</v>
          </cell>
        </row>
        <row r="58">
          <cell r="F58" t="str">
            <v>Northern</v>
          </cell>
        </row>
        <row r="59">
          <cell r="F59" t="str">
            <v>North West</v>
          </cell>
        </row>
        <row r="60">
          <cell r="F60" t="str">
            <v>Southern</v>
          </cell>
        </row>
        <row r="61">
          <cell r="F61" t="str">
            <v>South East</v>
          </cell>
        </row>
      </sheetData>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Index"/>
      <sheetName val="Universal data"/>
      <sheetName val="Allowances"/>
      <sheetName val="Previous years"/>
      <sheetName val="Check and Balances"/>
      <sheetName val="1.4_Rec_to_Reg_Accs"/>
      <sheetName val="1.5_Net_Debt_and_Tax_Clawback"/>
      <sheetName val="1.6_Disposals"/>
      <sheetName val="2.1_Totex_PCFM"/>
      <sheetName val="2.2_Totex_Forecast"/>
      <sheetName val="2.3a_Forecast_Allowances"/>
      <sheetName val="2.3b_Forecast_Volumes"/>
      <sheetName val="2.4_Totex"/>
      <sheetName val="2.5_Outputs"/>
      <sheetName val="2.6_Wider_Works"/>
      <sheetName val="2.7_Input_Prices"/>
      <sheetName val="3.1_Opex_summary_(NGET)"/>
      <sheetName val="3.1_Opex_summary_(Sc TO)"/>
      <sheetName val="3.2_Indirect_Summary_(Sc TO)"/>
      <sheetName val="3.3_Asset_Management_Opex"/>
      <sheetName val="3.4_Business_support_group"/>
      <sheetName val="3.5_Business_support_allocation"/>
      <sheetName val="3.6_Business_support_supplement"/>
      <sheetName val="3.7_Operational_Training"/>
      <sheetName val="3.8_Salary_and_FTE_numbers"/>
      <sheetName val="3.9_Exc_&amp;_Demin"/>
      <sheetName val="3.10_Provisions"/>
      <sheetName val="3.11_Related_Party_Transactions"/>
      <sheetName val="3.12_IRM_Expenditure"/>
      <sheetName val="3.13_NIA_Expenditure"/>
      <sheetName val="3.14_NIC_Expenditure"/>
      <sheetName val="3.15_Physical_Security_Opex"/>
      <sheetName val="3.16_SO_EMR_Data"/>
      <sheetName val="4.1_Capex_Summary"/>
      <sheetName val="4.2_LRScheme_Expenditure"/>
      <sheetName val="4.2a_Raw_data"/>
      <sheetName val="4.3_NLRScheme_Expenditure"/>
      <sheetName val="4.3.1_NLR_Volume_Change"/>
      <sheetName val="4.3.2_T2_Output_Cost_Deferral"/>
      <sheetName val="4.3.3_Tower_Steelwork"/>
      <sheetName val="4.4_Uncertain_Costs"/>
      <sheetName val="4.5_Non_Op_Capex"/>
      <sheetName val="4.6_SO_Capex"/>
      <sheetName val="4.7_TIRG_Schemes"/>
      <sheetName val="4.8_Physical_Security_Capex"/>
      <sheetName val="5.1_System_Chars_and_Activity"/>
      <sheetName val="5.2_Faults_and_failures"/>
      <sheetName val="5.3_Boundary_Tran_Requirements"/>
      <sheetName val="5.4_Bound_Capab_Dev"/>
      <sheetName val="5.5_Demand_&amp;_Supply_Sub"/>
      <sheetName val="5.6_Lead_Adds_&amp;_Disps"/>
      <sheetName val="5.7_Non-lead_Adds_&amp;_Disps"/>
      <sheetName val="5.8_Lead_Unit_Cost_Actuals"/>
      <sheetName val="5.9_Non-lead_Unit_Costs"/>
      <sheetName val="5.10_ACU"/>
      <sheetName val="6.1_NGET_customer_satisfaction"/>
      <sheetName val="6.1_Scot_stakehldr_satisfaction"/>
      <sheetName val="6.2_BCF"/>
      <sheetName val="6.3_Reliability"/>
      <sheetName val="6.4_Scot_Timely_connections"/>
      <sheetName val="6.5_SF6_Incentive"/>
      <sheetName val="6.6_Visual_amenity_outputs"/>
      <sheetName val="6.7_BWW_and_SWW_outputs"/>
      <sheetName val="6.8_Pre-con_SWW"/>
      <sheetName val="6.9_SHE_Trans_Generation_conns"/>
      <sheetName val="6.10_SPTL_Generation_sole"/>
      <sheetName val="6.10_SPTL_Generation_shared"/>
      <sheetName val="6.11_NGET_Wider_Works_outputs"/>
      <sheetName val="6.12_NGET_planning_requirements"/>
      <sheetName val="6.13_NGET_Local_Generation"/>
      <sheetName val="6.14_NGET_Local_Demand"/>
      <sheetName val="6.15.1_NOMs_detail"/>
      <sheetName val="6.15.2_NOMs_RP"/>
      <sheetName val="6.17_Flood_Mitigation"/>
      <sheetName val="GRAPHS"/>
      <sheetName val="COMMENTARY SHET"/>
      <sheetName val="COMMENTARY SPT"/>
      <sheetName val="COMMENTARY NGET"/>
      <sheetName val="Working1"/>
      <sheetName val="Working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9">
          <cell r="M9">
            <v>3081.9874748730731</v>
          </cell>
        </row>
        <row r="10">
          <cell r="M10">
            <v>322.85303582931442</v>
          </cell>
        </row>
        <row r="11">
          <cell r="M11">
            <v>106.65288146222227</v>
          </cell>
        </row>
        <row r="12">
          <cell r="M12">
            <v>24.414200000000001</v>
          </cell>
        </row>
        <row r="22">
          <cell r="M22">
            <v>257.02112263732238</v>
          </cell>
        </row>
        <row r="36">
          <cell r="M36">
            <v>3506.5580484662564</v>
          </cell>
        </row>
        <row r="37">
          <cell r="M37">
            <v>208.7624964289991</v>
          </cell>
        </row>
        <row r="38">
          <cell r="M38">
            <v>130.45634027704028</v>
          </cell>
        </row>
        <row r="39">
          <cell r="M39">
            <v>9.7212086484764466</v>
          </cell>
        </row>
        <row r="48">
          <cell r="M48">
            <v>254.3511207761469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Index"/>
      <sheetName val="Universal data"/>
      <sheetName val="Allowances"/>
      <sheetName val="Previous years"/>
      <sheetName val="Check and Balances"/>
      <sheetName val="1.4_Rec_to_Reg_Accs"/>
      <sheetName val="1.5_Net_Debt_and_Tax_Clawback"/>
      <sheetName val="1.6_Disposals"/>
      <sheetName val="2.1_Totex_PCFM"/>
      <sheetName val="2.2_Totex_Forecast"/>
      <sheetName val="2.3a_Forecast_Allowances"/>
      <sheetName val="2.3b_Forecast_Volumes"/>
      <sheetName val="2.4_Totex"/>
      <sheetName val="2.5_Outputs"/>
      <sheetName val="2.6_Wider_Works"/>
      <sheetName val="2.7_Input_Prices"/>
      <sheetName val="3.1_Opex_summary_(NGESO)"/>
      <sheetName val="3.1_Opex_summary_(Sc TO)"/>
      <sheetName val="3.2_Indirect_Summary_(Sc TO)"/>
      <sheetName val="3.3_Asset_Management_Opex"/>
      <sheetName val="3.4_Business_support_group"/>
      <sheetName val="3.5_Business_support_allocation"/>
      <sheetName val="3.6_Business_support_supplement"/>
      <sheetName val="3.7_Operational_Training"/>
      <sheetName val="3.8_Salary_and_FTE_numbers"/>
      <sheetName val="3.9_Exc_&amp;_Demin"/>
      <sheetName val="3.10_Provisions"/>
      <sheetName val="3.11_Related_Party_Transactions"/>
      <sheetName val="3.12_IRM_Expenditure"/>
      <sheetName val="3.13_NIA_Expenditure"/>
      <sheetName val="3.14_NIC_Expenditure"/>
      <sheetName val="3.15_Physical_Security_Opex"/>
      <sheetName val="3.16_SO_EMR_Data"/>
      <sheetName val="4.1_Capex_Summary"/>
      <sheetName val="4.2_LRScheme_Expenditure"/>
      <sheetName val="4.2a_Raw_data"/>
      <sheetName val="4.3_NLRScheme_Expenditure"/>
      <sheetName val="4.3.1_NLR_Volume_Change"/>
      <sheetName val="4.3.2_T2_Output_Cost_Deferral"/>
      <sheetName val="4.3.3_Tower_Steelwork"/>
      <sheetName val="4.4_Uncertain_Costs"/>
      <sheetName val="4.5_Non_Op_Capex"/>
      <sheetName val="4.6_SO_Capex"/>
      <sheetName val="4.7_TIRG_Schemes"/>
      <sheetName val="4.8_Physical_Security_Capex"/>
      <sheetName val="5.1_System_Chars_and_Activity"/>
      <sheetName val="5.2_Faults_and_failures"/>
      <sheetName val="5.3_Boundary_Tran_Requirements"/>
      <sheetName val="5.4_Bound_Capab_Dev"/>
      <sheetName val="5.5_Demand_&amp;_Supply_Sub"/>
      <sheetName val="5.6_Lead_Adds_&amp;_Disps"/>
      <sheetName val="5.7_Non-lead_Adds_&amp;_Disps"/>
      <sheetName val="5.8_Lead_Unit_Cost_Actuals"/>
      <sheetName val="5.9_Non-lead_Unit_Costs"/>
      <sheetName val="5.10_ACU"/>
      <sheetName val="6.1_NGET_customer_satisfaction"/>
      <sheetName val="6.1_Scot_stakehldr_satisfaction"/>
      <sheetName val="6.2_BCF"/>
      <sheetName val="6.3_Reliability"/>
      <sheetName val="6.4_Scot_Timely_connections"/>
      <sheetName val="6.5_SF6_Incentive"/>
      <sheetName val="6.6_Visual_amenity_outputs"/>
      <sheetName val="6.7_BWW_and_SWW_outputs"/>
      <sheetName val="6.8_Pre-con_SWW"/>
      <sheetName val="6.9_SHE_Trans_Generation_conns"/>
      <sheetName val="6.10_SPTL_Generation_sole"/>
      <sheetName val="6.10_SPTL_Generation_shared"/>
      <sheetName val="6.11_NGET_Wider_Works_outputs"/>
      <sheetName val="6.12_NGET_planning_requirements"/>
      <sheetName val="6.13_NGET_Local_Generation"/>
      <sheetName val="6.14_NGET_Local_Demand"/>
      <sheetName val="6.15.1_NOMs_detail"/>
      <sheetName val="6.15.2_NOMs_RP"/>
      <sheetName val="6.17_Flood_Mitigation"/>
      <sheetName val="GRAPHS"/>
      <sheetName val="COMMENTARY SPT"/>
      <sheetName val="COMMENTARY SHET"/>
      <sheetName val="COMMENTARY NGET"/>
      <sheetName val="Working1"/>
      <sheetName val="Working2"/>
    </sheetNames>
    <sheetDataSet>
      <sheetData sheetId="0"/>
      <sheetData sheetId="1"/>
      <sheetData sheetId="2"/>
      <sheetData sheetId="3"/>
      <sheetData sheetId="4"/>
      <sheetData sheetId="5"/>
      <sheetData sheetId="6"/>
      <sheetData sheetId="7"/>
      <sheetData sheetId="8"/>
      <sheetData sheetId="9"/>
      <sheetData sheetId="10">
        <row r="31">
          <cell r="E31">
            <v>149.96588499166586</v>
          </cell>
          <cell r="F31">
            <v>149.35686792278801</v>
          </cell>
          <cell r="G31">
            <v>152.16541367869513</v>
          </cell>
          <cell r="H31">
            <v>173.72254883229834</v>
          </cell>
          <cell r="I31">
            <v>186.28898819171769</v>
          </cell>
          <cell r="J31">
            <v>219.25232736065911</v>
          </cell>
          <cell r="K31">
            <v>206.95633527091059</v>
          </cell>
          <cell r="L31">
            <v>169.96032590520235</v>
          </cell>
        </row>
        <row r="83">
          <cell r="E83">
            <v>126.12371301265952</v>
          </cell>
          <cell r="F83">
            <v>114.52533526444685</v>
          </cell>
          <cell r="G83">
            <v>120.0850026717011</v>
          </cell>
          <cell r="H83">
            <v>128.52540852990421</v>
          </cell>
          <cell r="I83">
            <v>137.96335339586363</v>
          </cell>
          <cell r="J83">
            <v>160.84425776025589</v>
          </cell>
          <cell r="K83">
            <v>138.91240483022773</v>
          </cell>
          <cell r="L83">
            <v>139.89789593008919</v>
          </cell>
        </row>
      </sheetData>
      <sheetData sheetId="11"/>
      <sheetData sheetId="12"/>
      <sheetData sheetId="13">
        <row r="52">
          <cell r="E52">
            <v>68.28530495506331</v>
          </cell>
          <cell r="F52">
            <v>47.918512800958773</v>
          </cell>
          <cell r="G52">
            <v>45.443832612828814</v>
          </cell>
          <cell r="H52">
            <v>52.028127294469265</v>
          </cell>
          <cell r="I52">
            <v>60.026090324226203</v>
          </cell>
          <cell r="J52">
            <v>71.663620142416704</v>
          </cell>
          <cell r="K52">
            <v>57.158288655479794</v>
          </cell>
          <cell r="L52">
            <v>57.309725364357469</v>
          </cell>
        </row>
        <row r="55">
          <cell r="E55">
            <v>97.318826202295782</v>
          </cell>
          <cell r="F55">
            <v>102.45660849023173</v>
          </cell>
          <cell r="G55">
            <v>112.23129490645148</v>
          </cell>
          <cell r="H55">
            <v>116.72950045712587</v>
          </cell>
          <cell r="I55">
            <v>121.12383560908668</v>
          </cell>
          <cell r="J55">
            <v>139.52960373106598</v>
          </cell>
          <cell r="K55">
            <v>125.23776962247578</v>
          </cell>
          <cell r="L55">
            <v>126.38031160687912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ata"/>
      <sheetName val="RoRE by sector 2018-19"/>
      <sheetName val="RoRE 2018-19"/>
      <sheetName val="RoRE by sector 2017-18"/>
      <sheetName val="RoRE position 2017-18"/>
      <sheetName val="RoRE comparison 1718 -1819"/>
      <sheetName val="RAV-Gearing"/>
      <sheetName val="Totex"/>
      <sheetName val="Charts by sector"/>
      <sheetName val="Charts"/>
      <sheetName val="ED"/>
      <sheetName val="GD"/>
      <sheetName val="ET"/>
      <sheetName val="GT"/>
      <sheetName val="ENWL"/>
      <sheetName val="NPg"/>
      <sheetName val="SP"/>
      <sheetName val="SSE"/>
      <sheetName val="UKPN"/>
      <sheetName val="WPD"/>
      <sheetName val="Cadent"/>
      <sheetName val="NGN"/>
      <sheetName val="SGN"/>
      <sheetName val="WWU"/>
      <sheetName val="NGET"/>
      <sheetName val="SPT"/>
      <sheetName val="SHET"/>
      <sheetName val="Company combined data"/>
    </sheetNames>
    <sheetDataSet>
      <sheetData sheetId="0"/>
      <sheetData sheetId="1"/>
      <sheetData sheetId="2"/>
      <sheetData sheetId="3"/>
      <sheetData sheetId="4"/>
      <sheetData sheetId="5"/>
      <sheetData sheetId="6">
        <row r="44">
          <cell r="C44" t="str">
            <v>NGET (TO)</v>
          </cell>
          <cell r="D44"/>
          <cell r="E44" t="str">
            <v>SPT</v>
          </cell>
          <cell r="F44"/>
          <cell r="G44" t="str">
            <v>SHET</v>
          </cell>
          <cell r="H44"/>
        </row>
        <row r="45">
          <cell r="C45">
            <v>2018</v>
          </cell>
          <cell r="D45">
            <v>2019</v>
          </cell>
          <cell r="E45">
            <v>2018</v>
          </cell>
          <cell r="F45">
            <v>2019</v>
          </cell>
          <cell r="G45">
            <v>2018</v>
          </cell>
          <cell r="H45">
            <v>2019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during value adj"/>
      <sheetName val="Excluded service true up"/>
      <sheetName val="SpC 3L true up"/>
      <sheetName val="Sheet3"/>
    </sheetNames>
    <sheetDataSet>
      <sheetData sheetId="0"/>
      <sheetData sheetId="1">
        <row r="4">
          <cell r="U4">
            <v>300.24370087288838</v>
          </cell>
        </row>
        <row r="17">
          <cell r="U17">
            <v>160.39720583099145</v>
          </cell>
        </row>
        <row r="18">
          <cell r="U18">
            <v>-54.070131084963585</v>
          </cell>
        </row>
        <row r="27">
          <cell r="U27">
            <v>-181.18533035877007</v>
          </cell>
        </row>
      </sheetData>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2011 BP"/>
      <sheetName val="FINAL BASELINE PCFM"/>
      <sheetName val="FINAL BEST VIEW PCFM"/>
      <sheetName val="FINAL PCFM vs RRP (09_10price)"/>
      <sheetName val="Totex Summary"/>
      <sheetName val="Licence"/>
      <sheetName val="AIP"/>
      <sheetName val="6F  baseline summary"/>
      <sheetName val="6F data"/>
      <sheetName val="LR7&amp;LR8 Data"/>
      <sheetName val="My working"/>
      <sheetName val="SHET Sole use"/>
      <sheetName val="Sole use allowance"/>
      <sheetName val="SHET shared use"/>
      <sheetName val="SHET shared use allowance"/>
      <sheetName val="True up"/>
    </sheetNames>
    <sheetDataSet>
      <sheetData sheetId="0"/>
      <sheetData sheetId="1"/>
      <sheetData sheetId="2"/>
      <sheetData sheetId="3"/>
      <sheetData sheetId="4"/>
      <sheetData sheetId="5"/>
      <sheetData sheetId="6"/>
      <sheetData sheetId="7"/>
      <sheetData sheetId="8"/>
      <sheetData sheetId="9"/>
      <sheetData sheetId="10"/>
      <sheetData sheetId="11">
        <row r="65">
          <cell r="BG65">
            <v>0</v>
          </cell>
          <cell r="BH65">
            <v>0</v>
          </cell>
          <cell r="BI65">
            <v>0</v>
          </cell>
          <cell r="BJ65">
            <v>0</v>
          </cell>
          <cell r="BK65">
            <v>7.6906432881999998E-2</v>
          </cell>
          <cell r="BL65">
            <v>0.23823735000000001</v>
          </cell>
          <cell r="BM65">
            <v>0.41982225754798386</v>
          </cell>
          <cell r="BN65">
            <v>4.3354816835013068</v>
          </cell>
        </row>
      </sheetData>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ofgem.gov.uk/publications-and-updates/decision-riio-t1-environmental-discretionary-reward-2018-19-scheme-year" TargetMode="External"/><Relationship Id="rId1" Type="http://schemas.openxmlformats.org/officeDocument/2006/relationships/hyperlink" Target="https://www.ofgem.gov.uk/publications-and-updates/panel-report-stakeholder-engagement-and-consumer-vulnerability-incentiv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fgem.gov.uk/publications-and-updates/network-innovation-competition-2019-funding-decisions" TargetMode="External"/><Relationship Id="rId1" Type="http://schemas.openxmlformats.org/officeDocument/2006/relationships/hyperlink" Target="https://www.ofgem.gov.uk/system/files/docs/2019/07/decision_sdr_2019_final.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2"/>
  <sheetViews>
    <sheetView tabSelected="1" zoomScale="80" zoomScaleNormal="80" workbookViewId="0">
      <selection activeCell="G26" sqref="G26"/>
    </sheetView>
  </sheetViews>
  <sheetFormatPr defaultColWidth="9" defaultRowHeight="12.45"/>
  <cols>
    <col min="1" max="16384" width="9" style="461"/>
  </cols>
  <sheetData>
    <row r="1" spans="1:1" s="657" customFormat="1" ht="56.9" customHeight="1"/>
    <row r="2" spans="1:1">
      <c r="A2" s="609"/>
    </row>
  </sheetData>
  <mergeCells count="1">
    <mergeCell ref="A1:XFD1"/>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autoPageBreaks="0"/>
  </sheetPr>
  <dimension ref="A1:Y46"/>
  <sheetViews>
    <sheetView zoomScale="80" zoomScaleNormal="80" workbookViewId="0">
      <selection activeCell="B11" sqref="B11"/>
    </sheetView>
  </sheetViews>
  <sheetFormatPr defaultRowHeight="12.45"/>
  <cols>
    <col min="1" max="1" width="11.46484375" customWidth="1"/>
    <col min="2" max="2" width="28.86328125" customWidth="1"/>
    <col min="3" max="3" width="11.265625" customWidth="1"/>
    <col min="8" max="8" width="10.73046875" customWidth="1"/>
    <col min="13" max="13" width="45.86328125" customWidth="1"/>
  </cols>
  <sheetData>
    <row r="1" spans="1:25">
      <c r="A1" s="1" t="s">
        <v>387</v>
      </c>
      <c r="Y1" s="413"/>
    </row>
    <row r="2" spans="1:25" s="124" customFormat="1">
      <c r="Y2" s="413"/>
    </row>
    <row r="3" spans="1:25">
      <c r="Y3" s="413"/>
    </row>
    <row r="4" spans="1:25">
      <c r="B4" t="s">
        <v>173</v>
      </c>
      <c r="M4" s="1" t="s">
        <v>191</v>
      </c>
      <c r="Y4" s="413"/>
    </row>
    <row r="5" spans="1:25" ht="12.9" thickBot="1">
      <c r="C5" s="2">
        <v>2014</v>
      </c>
      <c r="D5" s="2">
        <v>2015</v>
      </c>
      <c r="E5" s="2">
        <v>2016</v>
      </c>
      <c r="F5" s="2">
        <v>2017</v>
      </c>
      <c r="G5" s="2">
        <v>2018</v>
      </c>
      <c r="H5" s="2">
        <v>2019</v>
      </c>
      <c r="I5" s="2">
        <v>2020</v>
      </c>
      <c r="J5" s="2">
        <v>2021</v>
      </c>
      <c r="N5" s="144" t="s">
        <v>131</v>
      </c>
      <c r="O5" s="144" t="s">
        <v>131</v>
      </c>
      <c r="P5" s="144" t="s">
        <v>131</v>
      </c>
      <c r="Q5" s="144" t="s">
        <v>131</v>
      </c>
      <c r="R5" s="144" t="s">
        <v>131</v>
      </c>
      <c r="S5" s="144" t="s">
        <v>131</v>
      </c>
      <c r="T5" s="144" t="s">
        <v>132</v>
      </c>
      <c r="U5" s="144" t="s">
        <v>132</v>
      </c>
      <c r="V5" s="144"/>
      <c r="Y5" s="413"/>
    </row>
    <row r="6" spans="1:25">
      <c r="B6" s="47" t="s">
        <v>6</v>
      </c>
      <c r="C6" s="4">
        <f t="shared" ref="C6:H6" si="0">N11</f>
        <v>149.96588499166586</v>
      </c>
      <c r="D6" s="4">
        <f t="shared" si="0"/>
        <v>149.35686792278801</v>
      </c>
      <c r="E6" s="4">
        <f t="shared" si="0"/>
        <v>152.16541367869513</v>
      </c>
      <c r="F6" s="4">
        <f t="shared" si="0"/>
        <v>173.72254883229834</v>
      </c>
      <c r="G6" s="4">
        <f t="shared" si="0"/>
        <v>186.28898819171769</v>
      </c>
      <c r="H6" s="4">
        <f t="shared" si="0"/>
        <v>219.25232736065911</v>
      </c>
      <c r="N6" s="145">
        <v>2014</v>
      </c>
      <c r="O6" s="145">
        <v>2015</v>
      </c>
      <c r="P6" s="145">
        <v>2016</v>
      </c>
      <c r="Q6" s="145">
        <v>2017</v>
      </c>
      <c r="R6" s="145">
        <v>2018</v>
      </c>
      <c r="S6" s="146">
        <v>2019</v>
      </c>
      <c r="T6" s="145">
        <v>2020</v>
      </c>
      <c r="U6" s="145">
        <v>2021</v>
      </c>
      <c r="V6" s="147" t="s">
        <v>52</v>
      </c>
      <c r="Y6" s="413"/>
    </row>
    <row r="7" spans="1:25">
      <c r="B7" s="47" t="s">
        <v>77</v>
      </c>
      <c r="C7" s="2"/>
      <c r="D7" s="2"/>
      <c r="E7" s="2"/>
      <c r="F7" s="48"/>
      <c r="G7" s="48"/>
      <c r="H7" s="48"/>
      <c r="I7" s="48">
        <f>T11</f>
        <v>206.95633527091059</v>
      </c>
      <c r="J7" s="48">
        <f>U11</f>
        <v>169.96032590520235</v>
      </c>
      <c r="M7" s="143" t="s">
        <v>168</v>
      </c>
      <c r="N7" s="148">
        <f>'[5]2.2_Totex_Forecast'!E83</f>
        <v>126.12371301265952</v>
      </c>
      <c r="O7" s="148">
        <f>'[5]2.2_Totex_Forecast'!F83</f>
        <v>114.52533526444685</v>
      </c>
      <c r="P7" s="148">
        <f>'[5]2.2_Totex_Forecast'!G83</f>
        <v>120.0850026717011</v>
      </c>
      <c r="Q7" s="148">
        <f>'[5]2.2_Totex_Forecast'!H83</f>
        <v>128.52540852990421</v>
      </c>
      <c r="R7" s="148">
        <f>'[5]2.2_Totex_Forecast'!I83</f>
        <v>137.96335339586363</v>
      </c>
      <c r="S7" s="149">
        <f>'[5]2.2_Totex_Forecast'!J83</f>
        <v>160.84425776025589</v>
      </c>
      <c r="T7" s="148">
        <f>'[5]2.2_Totex_Forecast'!K83</f>
        <v>138.91240483022773</v>
      </c>
      <c r="U7" s="148">
        <f>'[5]2.2_Totex_Forecast'!L83</f>
        <v>139.89789593008919</v>
      </c>
      <c r="V7" s="150">
        <f>SUM(N7:U7)</f>
        <v>1066.8773713951482</v>
      </c>
      <c r="Y7" s="413"/>
    </row>
    <row r="8" spans="1:25">
      <c r="B8" s="2" t="s">
        <v>78</v>
      </c>
      <c r="C8" s="49">
        <f>N8</f>
        <v>165.60413115735906</v>
      </c>
      <c r="D8" s="49">
        <f t="shared" ref="D8:J8" si="1">O8</f>
        <v>150.37512129119048</v>
      </c>
      <c r="E8" s="49">
        <f t="shared" si="1"/>
        <v>157.67512751928032</v>
      </c>
      <c r="F8" s="49">
        <f t="shared" si="1"/>
        <v>168.75762775159515</v>
      </c>
      <c r="G8" s="49">
        <f t="shared" si="1"/>
        <v>181.14992593331286</v>
      </c>
      <c r="H8" s="49">
        <f t="shared" si="1"/>
        <v>211.19322387348268</v>
      </c>
      <c r="I8" s="49">
        <f t="shared" si="1"/>
        <v>182.3960582779556</v>
      </c>
      <c r="J8" s="49">
        <f t="shared" si="1"/>
        <v>183.69003697123657</v>
      </c>
      <c r="M8" s="143" t="s">
        <v>169</v>
      </c>
      <c r="N8" s="148">
        <f>N7*'Universal data'!$C$51</f>
        <v>165.60413115735906</v>
      </c>
      <c r="O8" s="148">
        <f>O7*'Universal data'!$C$51</f>
        <v>150.37512129119048</v>
      </c>
      <c r="P8" s="148">
        <f>P7*'Universal data'!$C$51</f>
        <v>157.67512751928032</v>
      </c>
      <c r="Q8" s="148">
        <f>Q7*'Universal data'!$C$51</f>
        <v>168.75762775159515</v>
      </c>
      <c r="R8" s="148">
        <f>R7*'Universal data'!$C$51</f>
        <v>181.14992593331286</v>
      </c>
      <c r="S8" s="149">
        <f>S7*'Universal data'!$C$51</f>
        <v>211.19322387348268</v>
      </c>
      <c r="T8" s="148">
        <f>T7*'Universal data'!$C$51</f>
        <v>182.3960582779556</v>
      </c>
      <c r="U8" s="148">
        <f>U7*'Universal data'!$C$51</f>
        <v>183.69003697123657</v>
      </c>
      <c r="V8" s="150">
        <f>SUM(N8:U8)</f>
        <v>1400.8412527754126</v>
      </c>
      <c r="Y8" s="413"/>
    </row>
    <row r="9" spans="1:25">
      <c r="C9" s="3"/>
      <c r="D9" s="3"/>
      <c r="M9" s="143" t="s">
        <v>171</v>
      </c>
      <c r="N9" s="148">
        <f>'[5]2.4_Totex'!E55</f>
        <v>97.318826202295782</v>
      </c>
      <c r="O9" s="148">
        <f>'[5]2.4_Totex'!F55</f>
        <v>102.45660849023173</v>
      </c>
      <c r="P9" s="148">
        <f>'[5]2.4_Totex'!G55</f>
        <v>112.23129490645148</v>
      </c>
      <c r="Q9" s="148">
        <f>'[5]2.4_Totex'!H55</f>
        <v>116.72950045712587</v>
      </c>
      <c r="R9" s="148">
        <f>'[5]2.4_Totex'!I55</f>
        <v>121.12383560908668</v>
      </c>
      <c r="S9" s="149">
        <f>'[5]2.4_Totex'!J55</f>
        <v>139.52960373106598</v>
      </c>
      <c r="T9" s="148">
        <f>'[5]2.4_Totex'!K55</f>
        <v>125.23776962247578</v>
      </c>
      <c r="U9" s="148">
        <f>'[5]2.4_Totex'!L55</f>
        <v>126.38031160687912</v>
      </c>
      <c r="V9" s="150">
        <f>SUM(N9:U9)</f>
        <v>941.0077506256124</v>
      </c>
      <c r="Y9" s="413"/>
    </row>
    <row r="10" spans="1:25">
      <c r="B10" s="31" t="s">
        <v>550</v>
      </c>
      <c r="M10" s="143" t="s">
        <v>174</v>
      </c>
      <c r="N10" s="148">
        <f>'[5]2.4_Totex'!E52</f>
        <v>68.28530495506331</v>
      </c>
      <c r="O10" s="148">
        <f>'[5]2.4_Totex'!F52</f>
        <v>47.918512800958773</v>
      </c>
      <c r="P10" s="148">
        <f>'[5]2.4_Totex'!G52</f>
        <v>45.443832612828814</v>
      </c>
      <c r="Q10" s="148">
        <f>'[5]2.4_Totex'!H52</f>
        <v>52.028127294469265</v>
      </c>
      <c r="R10" s="148">
        <f>'[5]2.4_Totex'!I52</f>
        <v>60.026090324226203</v>
      </c>
      <c r="S10" s="149">
        <f>'[5]2.4_Totex'!J52</f>
        <v>71.663620142416704</v>
      </c>
      <c r="T10" s="148">
        <f>'[5]2.4_Totex'!K52</f>
        <v>57.158288655479794</v>
      </c>
      <c r="U10" s="148">
        <f>'[5]2.4_Totex'!L52</f>
        <v>57.309725364357469</v>
      </c>
      <c r="V10" s="150">
        <f>SUM(N10:U10)</f>
        <v>459.83350214980032</v>
      </c>
      <c r="Y10" s="413"/>
    </row>
    <row r="11" spans="1:25" ht="12.9" thickBot="1">
      <c r="M11" s="144" t="s">
        <v>170</v>
      </c>
      <c r="N11" s="151">
        <f>'[5]2.2_Totex_Forecast'!E31</f>
        <v>149.96588499166586</v>
      </c>
      <c r="O11" s="151">
        <f>'[5]2.2_Totex_Forecast'!F31</f>
        <v>149.35686792278801</v>
      </c>
      <c r="P11" s="151">
        <f>'[5]2.2_Totex_Forecast'!G31</f>
        <v>152.16541367869513</v>
      </c>
      <c r="Q11" s="151">
        <f>'[5]2.2_Totex_Forecast'!H31</f>
        <v>173.72254883229834</v>
      </c>
      <c r="R11" s="151">
        <f>'[5]2.2_Totex_Forecast'!I31</f>
        <v>186.28898819171769</v>
      </c>
      <c r="S11" s="152">
        <f>'[5]2.2_Totex_Forecast'!J31</f>
        <v>219.25232736065911</v>
      </c>
      <c r="T11" s="151">
        <f>'[5]2.2_Totex_Forecast'!K31</f>
        <v>206.95633527091059</v>
      </c>
      <c r="U11" s="151">
        <f>'[5]2.2_Totex_Forecast'!L31</f>
        <v>169.96032590520235</v>
      </c>
      <c r="V11" s="153">
        <f>SUM(N11:U11)</f>
        <v>1407.6686921539372</v>
      </c>
      <c r="Y11" s="413"/>
    </row>
    <row r="12" spans="1:25">
      <c r="Y12" s="413"/>
    </row>
    <row r="13" spans="1:25">
      <c r="Y13" s="413"/>
    </row>
    <row r="14" spans="1:25" ht="14.6">
      <c r="B14" s="28"/>
      <c r="Y14" s="413"/>
    </row>
    <row r="15" spans="1:25">
      <c r="Y15" s="413"/>
    </row>
    <row r="16" spans="1:25">
      <c r="Y16" s="413"/>
    </row>
    <row r="17" spans="1:25">
      <c r="Y17" s="413"/>
    </row>
    <row r="18" spans="1:25">
      <c r="Y18" s="413"/>
    </row>
    <row r="19" spans="1:25">
      <c r="Y19" s="413"/>
    </row>
    <row r="20" spans="1:25">
      <c r="Y20" s="413"/>
    </row>
    <row r="21" spans="1:25">
      <c r="Y21" s="413"/>
    </row>
    <row r="22" spans="1:25">
      <c r="Y22" s="413"/>
    </row>
    <row r="23" spans="1:25">
      <c r="Y23" s="413"/>
    </row>
    <row r="24" spans="1:25">
      <c r="Y24" s="413"/>
    </row>
    <row r="25" spans="1:25">
      <c r="Y25" s="413"/>
    </row>
    <row r="26" spans="1:25">
      <c r="Y26" s="413"/>
    </row>
    <row r="27" spans="1:25">
      <c r="Y27" s="413"/>
    </row>
    <row r="28" spans="1:25">
      <c r="Y28" s="413"/>
    </row>
    <row r="29" spans="1:25">
      <c r="Y29" s="413"/>
    </row>
    <row r="30" spans="1:25">
      <c r="Y30" s="413"/>
    </row>
    <row r="31" spans="1:25">
      <c r="Y31" s="413"/>
    </row>
    <row r="32" spans="1:25">
      <c r="A32" s="1" t="s">
        <v>456</v>
      </c>
      <c r="B32" s="32" t="s">
        <v>182</v>
      </c>
      <c r="C32" s="108"/>
      <c r="D32" s="108"/>
      <c r="E32" s="108"/>
      <c r="F32" s="108"/>
      <c r="G32" s="108"/>
      <c r="H32" s="108"/>
      <c r="Y32" s="413"/>
    </row>
    <row r="33" spans="1:25">
      <c r="A33" s="108"/>
      <c r="B33" s="65"/>
      <c r="C33" s="108"/>
      <c r="D33" s="108"/>
      <c r="E33" s="108"/>
      <c r="G33" s="108"/>
      <c r="H33" s="108"/>
      <c r="Y33" s="413"/>
    </row>
    <row r="34" spans="1:25" ht="12.9" thickBot="1">
      <c r="A34" s="108"/>
      <c r="B34" s="106"/>
      <c r="C34" s="50" t="s">
        <v>179</v>
      </c>
      <c r="D34" s="50"/>
      <c r="E34" s="108"/>
      <c r="F34" s="97" t="s">
        <v>133</v>
      </c>
      <c r="G34" s="97" t="s">
        <v>176</v>
      </c>
      <c r="H34" s="98" t="s">
        <v>134</v>
      </c>
      <c r="Y34" s="413"/>
    </row>
    <row r="35" spans="1:25" ht="12.9" thickBot="1">
      <c r="A35" s="108"/>
      <c r="B35" s="107" t="s">
        <v>177</v>
      </c>
      <c r="C35" s="50" t="s">
        <v>135</v>
      </c>
      <c r="D35" s="50"/>
      <c r="E35" s="108"/>
      <c r="F35" s="155">
        <v>0.44376351329551794</v>
      </c>
      <c r="G35" s="155">
        <v>0.46206776778619962</v>
      </c>
      <c r="H35" s="748"/>
      <c r="K35" s="156"/>
      <c r="L35" s="156"/>
      <c r="Y35" s="413"/>
    </row>
    <row r="36" spans="1:25" ht="12.9" thickBot="1">
      <c r="A36" s="108"/>
      <c r="B36" s="107"/>
      <c r="C36" s="50" t="s">
        <v>136</v>
      </c>
      <c r="D36" s="50"/>
      <c r="E36" s="108"/>
      <c r="F36" s="155">
        <v>0.4305210358533807</v>
      </c>
      <c r="G36" s="155">
        <v>0.45983350214980034</v>
      </c>
      <c r="H36" s="749"/>
      <c r="K36" s="156"/>
      <c r="L36" s="156"/>
      <c r="Y36" s="413"/>
    </row>
    <row r="37" spans="1:25" ht="12.9" thickBot="1">
      <c r="A37" s="108"/>
      <c r="B37" s="107"/>
      <c r="C37" s="50" t="s">
        <v>137</v>
      </c>
      <c r="D37" s="50"/>
      <c r="E37" s="108"/>
      <c r="F37" s="158">
        <f>F35+F36</f>
        <v>0.87428454914889864</v>
      </c>
      <c r="G37" s="158">
        <f>G35+G36</f>
        <v>0.92190126993599997</v>
      </c>
      <c r="H37" s="158">
        <f>G37-F37</f>
        <v>4.761672078710133E-2</v>
      </c>
      <c r="I37" t="s">
        <v>180</v>
      </c>
      <c r="K37" s="156"/>
      <c r="L37" s="156"/>
      <c r="Y37" s="413"/>
    </row>
    <row r="38" spans="1:25">
      <c r="A38" s="108"/>
      <c r="B38" s="108"/>
      <c r="C38" s="108"/>
      <c r="D38" s="108"/>
      <c r="E38" s="108"/>
      <c r="F38" s="108"/>
      <c r="G38" s="108"/>
      <c r="H38" s="108"/>
      <c r="K38" s="156"/>
      <c r="L38" s="156"/>
      <c r="Y38" s="413"/>
    </row>
    <row r="39" spans="1:25" ht="26.25" customHeight="1" thickBot="1">
      <c r="A39" s="108"/>
      <c r="B39" s="106"/>
      <c r="C39" s="50" t="str">
        <f>C34</f>
        <v>£ billion, 2018-19 Prices</v>
      </c>
      <c r="D39" s="50"/>
      <c r="E39" s="108"/>
      <c r="F39" s="97" t="s">
        <v>133</v>
      </c>
      <c r="G39" s="97" t="s">
        <v>176</v>
      </c>
      <c r="H39" s="98" t="s">
        <v>134</v>
      </c>
      <c r="K39" s="156"/>
      <c r="L39" s="156"/>
      <c r="Y39" s="413"/>
    </row>
    <row r="40" spans="1:25" ht="12.9" thickBot="1">
      <c r="A40" s="108"/>
      <c r="B40" s="107" t="s">
        <v>178</v>
      </c>
      <c r="C40" s="50" t="s">
        <v>135</v>
      </c>
      <c r="D40" s="50"/>
      <c r="E40" s="108"/>
      <c r="F40" s="155">
        <v>0.95557323391987947</v>
      </c>
      <c r="G40" s="155">
        <v>0.94560092436773746</v>
      </c>
      <c r="H40" s="748"/>
      <c r="K40" s="156"/>
      <c r="L40" s="156"/>
      <c r="Y40" s="413"/>
    </row>
    <row r="41" spans="1:25" ht="12.9" thickBot="1">
      <c r="A41" s="108"/>
      <c r="B41" s="107"/>
      <c r="C41" s="50" t="s">
        <v>136</v>
      </c>
      <c r="D41" s="50"/>
      <c r="E41" s="108"/>
      <c r="F41" s="155">
        <v>0.96090199980871627</v>
      </c>
      <c r="G41" s="155">
        <v>0.94100775062561237</v>
      </c>
      <c r="H41" s="749"/>
      <c r="K41" s="156"/>
      <c r="L41" s="156"/>
      <c r="Y41" s="413"/>
    </row>
    <row r="42" spans="1:25" ht="12.9" thickBot="1">
      <c r="A42" s="108"/>
      <c r="B42" s="107"/>
      <c r="C42" s="50" t="s">
        <v>137</v>
      </c>
      <c r="D42" s="50"/>
      <c r="E42" s="108"/>
      <c r="F42" s="158">
        <f>F40+F41</f>
        <v>1.9164752337285957</v>
      </c>
      <c r="G42" s="158">
        <f>G40+G41</f>
        <v>1.8866086749933499</v>
      </c>
      <c r="H42" s="158">
        <f>G42-F42</f>
        <v>-2.9866558735245796E-2</v>
      </c>
      <c r="I42" t="s">
        <v>181</v>
      </c>
      <c r="Y42" s="413"/>
    </row>
    <row r="43" spans="1:25">
      <c r="E43" s="108"/>
      <c r="Y43" s="413"/>
    </row>
    <row r="44" spans="1:25">
      <c r="E44" s="108"/>
      <c r="Y44" s="413"/>
    </row>
    <row r="45" spans="1:25">
      <c r="Y45" s="413"/>
    </row>
    <row r="46" spans="1:25">
      <c r="A46" s="413"/>
      <c r="B46" s="413"/>
      <c r="C46" s="413"/>
      <c r="D46" s="413"/>
      <c r="E46" s="413"/>
      <c r="F46" s="413"/>
      <c r="G46" s="413"/>
      <c r="H46" s="413"/>
      <c r="I46" s="413"/>
      <c r="J46" s="413"/>
      <c r="K46" s="413"/>
      <c r="L46" s="413"/>
      <c r="M46" s="413"/>
      <c r="N46" s="413"/>
      <c r="O46" s="413"/>
      <c r="P46" s="413"/>
      <c r="Q46" s="413"/>
      <c r="R46" s="413"/>
      <c r="S46" s="413"/>
      <c r="T46" s="413"/>
      <c r="U46" s="413"/>
      <c r="V46" s="413"/>
      <c r="W46" s="413"/>
      <c r="X46" s="413"/>
      <c r="Y46" s="413"/>
    </row>
  </sheetData>
  <mergeCells count="2">
    <mergeCell ref="H35:H36"/>
    <mergeCell ref="H40:H41"/>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autoPageBreaks="0"/>
  </sheetPr>
  <dimension ref="A1:O115"/>
  <sheetViews>
    <sheetView zoomScale="70" zoomScaleNormal="70" workbookViewId="0">
      <selection activeCell="B1" sqref="B1"/>
    </sheetView>
  </sheetViews>
  <sheetFormatPr defaultColWidth="9" defaultRowHeight="12.45"/>
  <cols>
    <col min="1" max="1" width="9" style="124"/>
    <col min="2" max="2" width="31.73046875" style="124" customWidth="1"/>
    <col min="3" max="3" width="15.73046875" style="124" customWidth="1"/>
    <col min="4" max="4" width="14.59765625" style="124" customWidth="1"/>
    <col min="5" max="5" width="14.265625" style="124" customWidth="1"/>
    <col min="6" max="6" width="9" style="124"/>
    <col min="7" max="7" width="18.73046875" style="124" customWidth="1"/>
    <col min="8" max="8" width="39.46484375" style="124" customWidth="1"/>
    <col min="9" max="16384" width="9" style="124"/>
  </cols>
  <sheetData>
    <row r="1" spans="2:15">
      <c r="B1" s="1" t="s">
        <v>502</v>
      </c>
      <c r="O1" s="413"/>
    </row>
    <row r="2" spans="2:15">
      <c r="E2" s="194" t="s">
        <v>522</v>
      </c>
      <c r="O2" s="413"/>
    </row>
    <row r="3" spans="2:15" ht="24" customHeight="1">
      <c r="I3" s="774"/>
      <c r="J3" s="774"/>
      <c r="K3" s="774"/>
      <c r="L3" s="774"/>
      <c r="M3" s="774"/>
      <c r="N3" s="774"/>
      <c r="O3" s="413"/>
    </row>
    <row r="4" spans="2:15" ht="22.5" customHeight="1">
      <c r="H4" s="124" t="s">
        <v>485</v>
      </c>
      <c r="I4" s="774" t="s">
        <v>486</v>
      </c>
      <c r="J4" s="774"/>
      <c r="K4" s="774"/>
      <c r="L4" s="774"/>
      <c r="M4" s="774"/>
      <c r="N4" s="774"/>
      <c r="O4" s="413"/>
    </row>
    <row r="5" spans="2:15">
      <c r="H5" s="124" t="s">
        <v>487</v>
      </c>
      <c r="I5" s="774" t="s">
        <v>76</v>
      </c>
      <c r="J5" s="774"/>
      <c r="K5" s="774" t="s">
        <v>1</v>
      </c>
      <c r="L5" s="774"/>
      <c r="M5" s="774" t="s">
        <v>51</v>
      </c>
      <c r="N5" s="774"/>
      <c r="O5" s="413"/>
    </row>
    <row r="6" spans="2:15">
      <c r="H6" s="124" t="s">
        <v>53</v>
      </c>
      <c r="I6" s="567">
        <v>2018</v>
      </c>
      <c r="J6" s="567">
        <v>2019</v>
      </c>
      <c r="K6" s="567">
        <v>2018</v>
      </c>
      <c r="L6" s="567">
        <v>2019</v>
      </c>
      <c r="M6" s="567">
        <v>2018</v>
      </c>
      <c r="N6" s="567">
        <v>2019</v>
      </c>
      <c r="O6" s="413"/>
    </row>
    <row r="7" spans="2:15">
      <c r="H7" s="124" t="s">
        <v>488</v>
      </c>
      <c r="I7" s="487">
        <v>7.2830000000000006E-2</v>
      </c>
      <c r="J7" s="487">
        <v>7.2849999999999998E-2</v>
      </c>
      <c r="K7" s="487">
        <v>7.9766000000000004E-2</v>
      </c>
      <c r="L7" s="487">
        <v>7.9769000000000007E-2</v>
      </c>
      <c r="M7" s="487">
        <v>7.4385000000000007E-2</v>
      </c>
      <c r="N7" s="487">
        <v>7.4439000000000005E-2</v>
      </c>
      <c r="O7" s="413"/>
    </row>
    <row r="8" spans="2:15">
      <c r="H8" s="124" t="s">
        <v>489</v>
      </c>
      <c r="I8" s="487">
        <v>1.8325000000000001E-2</v>
      </c>
      <c r="J8" s="487">
        <v>1.9400000000000001E-2</v>
      </c>
      <c r="K8" s="487">
        <v>3.5630000000000002E-3</v>
      </c>
      <c r="L8" s="487">
        <v>5.0480000000000004E-3</v>
      </c>
      <c r="M8" s="487">
        <v>1.5910000000000001E-2</v>
      </c>
      <c r="N8" s="487">
        <v>1.1794000000000001E-2</v>
      </c>
      <c r="O8" s="413"/>
    </row>
    <row r="9" spans="2:15">
      <c r="H9" s="124" t="s">
        <v>490</v>
      </c>
      <c r="I9" s="487">
        <v>1.964E-3</v>
      </c>
      <c r="J9" s="487">
        <v>2.2799999999999999E-3</v>
      </c>
      <c r="K9" s="487">
        <v>3.8760000000000001E-3</v>
      </c>
      <c r="L9" s="487">
        <v>4.0819999999999997E-3</v>
      </c>
      <c r="M9" s="487">
        <v>1.516E-3</v>
      </c>
      <c r="N9" s="487">
        <v>2.3939999999999999E-3</v>
      </c>
      <c r="O9" s="413"/>
    </row>
    <row r="10" spans="2:15">
      <c r="H10" s="124" t="s">
        <v>491</v>
      </c>
      <c r="I10" s="568">
        <f t="shared" ref="I10:N10" si="0">SUM(I7:I9)</f>
        <v>9.3119000000000007E-2</v>
      </c>
      <c r="J10" s="568">
        <f t="shared" si="0"/>
        <v>9.4530000000000003E-2</v>
      </c>
      <c r="K10" s="568">
        <f t="shared" si="0"/>
        <v>8.7205000000000005E-2</v>
      </c>
      <c r="L10" s="568">
        <f t="shared" si="0"/>
        <v>8.8899000000000006E-2</v>
      </c>
      <c r="M10" s="568">
        <f t="shared" si="0"/>
        <v>9.1811000000000018E-2</v>
      </c>
      <c r="N10" s="568">
        <f t="shared" si="0"/>
        <v>8.8626999999999997E-2</v>
      </c>
      <c r="O10" s="413"/>
    </row>
    <row r="11" spans="2:15">
      <c r="H11" s="124" t="s">
        <v>337</v>
      </c>
      <c r="I11" s="487">
        <v>1.0942385146689902E-2</v>
      </c>
      <c r="J11" s="487">
        <v>1.0639648694885961E-2</v>
      </c>
      <c r="K11" s="487">
        <v>1.6843462882764199E-2</v>
      </c>
      <c r="L11" s="487">
        <v>1.9726744208118357E-2</v>
      </c>
      <c r="M11" s="487">
        <v>-1.1434551253278642E-2</v>
      </c>
      <c r="N11" s="487">
        <v>2.6404698348117834E-3</v>
      </c>
      <c r="O11" s="413"/>
    </row>
    <row r="12" spans="2:15">
      <c r="H12" s="124" t="s">
        <v>492</v>
      </c>
      <c r="I12" s="568">
        <f t="shared" ref="I12:N12" si="1">SUM(I10:I11)</f>
        <v>0.10406138514668992</v>
      </c>
      <c r="J12" s="568">
        <f t="shared" si="1"/>
        <v>0.10516964869488596</v>
      </c>
      <c r="K12" s="568">
        <f t="shared" si="1"/>
        <v>0.1040484628827642</v>
      </c>
      <c r="L12" s="568">
        <f t="shared" si="1"/>
        <v>0.10862574420811837</v>
      </c>
      <c r="M12" s="568">
        <f t="shared" si="1"/>
        <v>8.0376448746721368E-2</v>
      </c>
      <c r="N12" s="568">
        <f t="shared" si="1"/>
        <v>9.1267469834811779E-2</v>
      </c>
      <c r="O12" s="413"/>
    </row>
    <row r="13" spans="2:15">
      <c r="I13" s="487"/>
      <c r="J13" s="487"/>
      <c r="K13" s="487"/>
      <c r="L13" s="487"/>
      <c r="M13" s="487"/>
      <c r="N13" s="487"/>
      <c r="O13" s="413"/>
    </row>
    <row r="14" spans="2:15">
      <c r="O14" s="413"/>
    </row>
    <row r="15" spans="2:15">
      <c r="O15" s="413"/>
    </row>
    <row r="16" spans="2:15">
      <c r="O16" s="413"/>
    </row>
    <row r="17" spans="1:15">
      <c r="O17" s="413"/>
    </row>
    <row r="18" spans="1:15">
      <c r="O18" s="413"/>
    </row>
    <row r="19" spans="1:15">
      <c r="O19" s="413"/>
    </row>
    <row r="20" spans="1:15">
      <c r="O20" s="413"/>
    </row>
    <row r="21" spans="1:15">
      <c r="O21" s="413"/>
    </row>
    <row r="22" spans="1:15">
      <c r="A22" s="1" t="s">
        <v>458</v>
      </c>
      <c r="B22" s="1" t="s">
        <v>457</v>
      </c>
      <c r="G22" s="463"/>
      <c r="O22" s="413"/>
    </row>
    <row r="23" spans="1:15" ht="12.9" thickBot="1">
      <c r="G23" s="62"/>
      <c r="O23" s="413"/>
    </row>
    <row r="24" spans="1:15">
      <c r="B24" s="777"/>
      <c r="C24" s="775" t="s">
        <v>340</v>
      </c>
      <c r="D24" s="775" t="s">
        <v>375</v>
      </c>
      <c r="E24" s="775" t="s">
        <v>376</v>
      </c>
      <c r="G24" s="464"/>
      <c r="O24" s="413"/>
    </row>
    <row r="25" spans="1:15">
      <c r="B25" s="778"/>
      <c r="C25" s="776"/>
      <c r="D25" s="776"/>
      <c r="E25" s="776"/>
      <c r="G25" s="464"/>
      <c r="O25" s="413"/>
    </row>
    <row r="26" spans="1:15" ht="15.45" customHeight="1">
      <c r="B26" s="439" t="s">
        <v>336</v>
      </c>
      <c r="C26" s="448">
        <v>9.4530000000000003E-2</v>
      </c>
      <c r="D26" s="448">
        <v>8.8899000000000006E-2</v>
      </c>
      <c r="E26" s="448">
        <v>8.8626999999999997E-2</v>
      </c>
      <c r="G26" s="450"/>
      <c r="O26" s="413"/>
    </row>
    <row r="27" spans="1:15" ht="11.25" customHeight="1">
      <c r="B27" s="438" t="s">
        <v>337</v>
      </c>
      <c r="C27" s="448">
        <v>1.0645999999999999E-2</v>
      </c>
      <c r="D27" s="448">
        <v>1.9727000000000001E-2</v>
      </c>
      <c r="E27" s="448">
        <v>2.64E-3</v>
      </c>
      <c r="G27" s="450"/>
      <c r="O27" s="413"/>
    </row>
    <row r="28" spans="1:15" ht="18" customHeight="1">
      <c r="B28" s="440" t="s">
        <v>338</v>
      </c>
      <c r="C28" s="449">
        <v>0.10517600000000001</v>
      </c>
      <c r="D28" s="449">
        <v>0.108626</v>
      </c>
      <c r="E28" s="449">
        <v>9.1267000000000001E-2</v>
      </c>
      <c r="G28" s="450"/>
      <c r="O28" s="413"/>
    </row>
    <row r="29" spans="1:15">
      <c r="E29" s="194" t="s">
        <v>523</v>
      </c>
      <c r="G29" s="463"/>
      <c r="O29" s="413"/>
    </row>
    <row r="30" spans="1:15">
      <c r="G30" s="463"/>
      <c r="O30" s="413"/>
    </row>
    <row r="31" spans="1:15">
      <c r="G31" s="463"/>
      <c r="O31" s="413"/>
    </row>
    <row r="32" spans="1:15">
      <c r="O32" s="413"/>
    </row>
    <row r="33" spans="1:15">
      <c r="A33" s="413"/>
      <c r="B33" s="413"/>
      <c r="C33" s="413"/>
      <c r="D33" s="413"/>
      <c r="E33" s="413"/>
      <c r="F33" s="413"/>
      <c r="G33" s="413"/>
      <c r="H33" s="413"/>
      <c r="I33" s="413"/>
      <c r="J33" s="413"/>
      <c r="K33" s="413"/>
      <c r="L33" s="413"/>
      <c r="M33" s="413"/>
      <c r="N33" s="413"/>
      <c r="O33" s="413"/>
    </row>
    <row r="48" spans="1:15" ht="12.75" customHeight="1"/>
    <row r="54" ht="12.75" customHeight="1"/>
    <row r="66" ht="23.25" customHeight="1"/>
    <row r="73" ht="23.25" customHeight="1"/>
    <row r="80" ht="23.25" customHeight="1"/>
    <row r="109" ht="12.75" customHeight="1"/>
    <row r="115" ht="12.75" customHeight="1"/>
  </sheetData>
  <mergeCells count="9">
    <mergeCell ref="I3:N3"/>
    <mergeCell ref="E24:E25"/>
    <mergeCell ref="B24:B25"/>
    <mergeCell ref="C24:C25"/>
    <mergeCell ref="D24:D25"/>
    <mergeCell ref="I5:J5"/>
    <mergeCell ref="K5:L5"/>
    <mergeCell ref="M5:N5"/>
    <mergeCell ref="I4:N4"/>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28"/>
  <sheetViews>
    <sheetView zoomScale="80" zoomScaleNormal="80" workbookViewId="0"/>
  </sheetViews>
  <sheetFormatPr defaultRowHeight="12.45"/>
  <cols>
    <col min="1" max="1" width="11.3984375" bestFit="1" customWidth="1"/>
    <col min="2" max="2" width="40.86328125" customWidth="1"/>
    <col min="3" max="3" width="35.265625" customWidth="1"/>
    <col min="4" max="4" width="23.46484375" customWidth="1"/>
    <col min="5" max="5" width="24.73046875" customWidth="1"/>
    <col min="6" max="6" width="12.3984375" customWidth="1"/>
    <col min="9" max="9" width="32.3984375" customWidth="1"/>
    <col min="10" max="10" width="42.1328125" customWidth="1"/>
    <col min="11" max="11" width="15" customWidth="1"/>
    <col min="12" max="12" width="17" customWidth="1"/>
    <col min="13" max="13" width="21.3984375" customWidth="1"/>
    <col min="17" max="17" width="17.86328125" customWidth="1"/>
  </cols>
  <sheetData>
    <row r="1" spans="1:21" s="124" customFormat="1" ht="59.25" customHeight="1">
      <c r="B1" s="783" t="s">
        <v>339</v>
      </c>
      <c r="C1" s="784"/>
      <c r="D1" s="784"/>
      <c r="E1" s="784"/>
      <c r="F1" s="784"/>
      <c r="G1" s="784"/>
      <c r="H1" s="784"/>
      <c r="I1" s="785"/>
    </row>
    <row r="2" spans="1:21" s="124" customFormat="1" ht="37.5" customHeight="1" thickBot="1">
      <c r="B2" s="786"/>
      <c r="C2" s="787"/>
      <c r="D2" s="787"/>
      <c r="E2" s="787"/>
      <c r="F2" s="787"/>
      <c r="G2" s="787"/>
      <c r="H2" s="787"/>
      <c r="I2" s="788"/>
      <c r="J2" s="254"/>
      <c r="K2" s="182"/>
      <c r="L2" s="182"/>
      <c r="M2" s="182"/>
      <c r="N2" s="182"/>
      <c r="O2" s="182"/>
      <c r="P2" s="182"/>
      <c r="Q2" s="182"/>
    </row>
    <row r="3" spans="1:21" s="124" customFormat="1"/>
    <row r="4" spans="1:21">
      <c r="B4" s="34"/>
      <c r="J4" s="184"/>
      <c r="K4" s="779"/>
      <c r="L4" s="779"/>
      <c r="M4" s="779"/>
      <c r="N4" s="780"/>
      <c r="O4" s="780"/>
      <c r="P4" s="780"/>
      <c r="Q4" s="780"/>
      <c r="R4" s="780"/>
      <c r="S4" s="780"/>
      <c r="T4" s="780"/>
      <c r="U4" s="89"/>
    </row>
    <row r="5" spans="1:21">
      <c r="A5" s="1" t="s">
        <v>460</v>
      </c>
      <c r="B5" s="32" t="s">
        <v>459</v>
      </c>
      <c r="J5" s="184"/>
      <c r="K5" s="781"/>
      <c r="L5" s="781"/>
      <c r="M5" s="781"/>
      <c r="N5" s="782"/>
      <c r="O5" s="782"/>
      <c r="P5" s="779"/>
      <c r="Q5" s="779"/>
      <c r="R5" s="781"/>
      <c r="S5" s="779"/>
      <c r="T5" s="170"/>
      <c r="U5" s="89"/>
    </row>
    <row r="6" spans="1:21" ht="13.3" thickBot="1">
      <c r="A6" s="1"/>
      <c r="B6" s="126"/>
      <c r="C6" s="126">
        <v>1</v>
      </c>
      <c r="D6" s="126">
        <v>2</v>
      </c>
      <c r="E6" s="100" t="s">
        <v>138</v>
      </c>
      <c r="F6" s="126">
        <v>4</v>
      </c>
      <c r="G6" s="793">
        <v>5</v>
      </c>
      <c r="H6" s="793"/>
      <c r="I6" s="100" t="s">
        <v>139</v>
      </c>
      <c r="J6" s="46"/>
      <c r="K6" s="46"/>
      <c r="L6" s="46"/>
      <c r="M6" s="46"/>
      <c r="N6" s="46"/>
      <c r="O6" s="46"/>
      <c r="P6" s="46"/>
      <c r="Q6" s="46"/>
      <c r="R6" s="46"/>
      <c r="S6" s="46"/>
      <c r="T6" s="46"/>
    </row>
    <row r="7" spans="1:21" ht="35.15" thickBot="1">
      <c r="A7" s="1"/>
      <c r="B7" s="101" t="s">
        <v>183</v>
      </c>
      <c r="C7" s="126" t="s">
        <v>185</v>
      </c>
      <c r="D7" s="126" t="s">
        <v>140</v>
      </c>
      <c r="E7" s="100" t="s">
        <v>141</v>
      </c>
      <c r="F7" s="125" t="s">
        <v>142</v>
      </c>
      <c r="G7" s="794" t="s">
        <v>184</v>
      </c>
      <c r="H7" s="795"/>
      <c r="I7" s="102" t="s">
        <v>143</v>
      </c>
      <c r="J7" s="99"/>
    </row>
    <row r="8" spans="1:21">
      <c r="A8" s="1"/>
      <c r="B8" s="173" t="s">
        <v>2</v>
      </c>
      <c r="C8" s="174">
        <f>'[7]Excluded service true up'!$U$4</f>
        <v>300.24370087288838</v>
      </c>
      <c r="D8" s="175">
        <v>0</v>
      </c>
      <c r="E8" s="176">
        <f>C8+D8</f>
        <v>300.24370087288838</v>
      </c>
      <c r="F8" s="177">
        <f>'[7]Excluded service true up'!$U$18</f>
        <v>-54.070131084963585</v>
      </c>
      <c r="G8" s="796">
        <f>'[7]Excluded service true up'!$U$17</f>
        <v>160.39720583099145</v>
      </c>
      <c r="H8" s="797"/>
      <c r="I8" s="178">
        <f>F8+G8</f>
        <v>106.32707474602788</v>
      </c>
      <c r="J8" s="99"/>
    </row>
    <row r="9" spans="1:21">
      <c r="A9" s="1"/>
      <c r="B9" s="789" t="s">
        <v>144</v>
      </c>
      <c r="C9" s="790"/>
      <c r="D9" s="790"/>
      <c r="E9" s="790"/>
      <c r="F9" s="790"/>
      <c r="G9" s="790"/>
      <c r="H9" s="179"/>
      <c r="I9" s="172">
        <f>I8-E8</f>
        <v>-193.91662612686051</v>
      </c>
      <c r="J9" s="99"/>
    </row>
    <row r="10" spans="1:21">
      <c r="A10" s="1"/>
      <c r="B10" s="124"/>
      <c r="C10" s="124"/>
      <c r="D10" s="124"/>
      <c r="E10" s="124"/>
      <c r="F10" s="124"/>
      <c r="G10" s="124"/>
      <c r="H10" s="124"/>
      <c r="I10" s="124"/>
      <c r="J10" s="99"/>
    </row>
    <row r="11" spans="1:21">
      <c r="A11" s="1"/>
      <c r="B11" s="789" t="s">
        <v>186</v>
      </c>
      <c r="C11" s="790"/>
      <c r="D11" s="790"/>
      <c r="E11" s="790"/>
      <c r="F11" s="790"/>
      <c r="G11" s="790"/>
      <c r="H11" s="171"/>
      <c r="I11" s="172">
        <f>'[7]Excluded service true up'!$U$27</f>
        <v>-181.18533035877007</v>
      </c>
      <c r="J11" s="99"/>
    </row>
    <row r="12" spans="1:21">
      <c r="A12" s="1"/>
      <c r="B12" s="34"/>
      <c r="I12" s="34"/>
      <c r="J12" s="99"/>
    </row>
    <row r="13" spans="1:21">
      <c r="A13" s="1" t="s">
        <v>461</v>
      </c>
      <c r="B13" s="32" t="s">
        <v>463</v>
      </c>
      <c r="J13" s="99"/>
    </row>
    <row r="14" spans="1:21" ht="12.9" thickBot="1">
      <c r="A14" s="1"/>
      <c r="B14" s="126"/>
      <c r="C14" s="126">
        <v>1</v>
      </c>
      <c r="D14" s="126">
        <v>2</v>
      </c>
      <c r="E14" s="100" t="s">
        <v>138</v>
      </c>
      <c r="F14" s="126">
        <v>4</v>
      </c>
      <c r="G14" s="793">
        <v>5</v>
      </c>
      <c r="H14" s="793"/>
      <c r="I14" s="100" t="s">
        <v>139</v>
      </c>
      <c r="J14" s="99"/>
    </row>
    <row r="15" spans="1:21" ht="35.25" customHeight="1" thickBot="1">
      <c r="A15" s="1"/>
      <c r="B15" s="101" t="str">
        <f>B7</f>
        <v>£m, 2018/19 prices</v>
      </c>
      <c r="C15" s="126" t="s">
        <v>185</v>
      </c>
      <c r="D15" s="126" t="s">
        <v>140</v>
      </c>
      <c r="E15" s="100" t="s">
        <v>141</v>
      </c>
      <c r="F15" s="125" t="s">
        <v>142</v>
      </c>
      <c r="G15" s="794" t="s">
        <v>184</v>
      </c>
      <c r="H15" s="795"/>
      <c r="I15" s="102" t="s">
        <v>143</v>
      </c>
      <c r="J15" s="99"/>
    </row>
    <row r="16" spans="1:21">
      <c r="A16" s="1"/>
      <c r="B16" s="173" t="s">
        <v>2</v>
      </c>
      <c r="C16" s="174">
        <v>125.15770164449879</v>
      </c>
      <c r="D16" s="175">
        <v>-59.126094897686627</v>
      </c>
      <c r="E16" s="176">
        <f>C16+D16</f>
        <v>66.031606746812159</v>
      </c>
      <c r="F16" s="177">
        <v>-75.446892991585216</v>
      </c>
      <c r="G16" s="791">
        <v>134.10369223326163</v>
      </c>
      <c r="H16" s="792"/>
      <c r="I16" s="178">
        <f>F16+G16</f>
        <v>58.65679924167641</v>
      </c>
      <c r="J16" s="99"/>
    </row>
    <row r="17" spans="1:10">
      <c r="A17" s="1"/>
      <c r="B17" s="789" t="s">
        <v>144</v>
      </c>
      <c r="C17" s="790"/>
      <c r="D17" s="790"/>
      <c r="E17" s="790"/>
      <c r="F17" s="790"/>
      <c r="G17" s="790"/>
      <c r="H17" s="179"/>
      <c r="I17" s="181">
        <f>I16-E16</f>
        <v>-7.3748075051357489</v>
      </c>
      <c r="J17" s="99"/>
    </row>
    <row r="18" spans="1:10">
      <c r="A18" s="1"/>
      <c r="B18" s="124"/>
      <c r="C18" s="124"/>
      <c r="D18" s="124"/>
      <c r="E18" s="124"/>
      <c r="F18" s="124"/>
      <c r="G18" s="124"/>
      <c r="H18" s="124"/>
      <c r="I18" s="124"/>
      <c r="J18" s="99"/>
    </row>
    <row r="19" spans="1:10">
      <c r="A19" s="1"/>
      <c r="B19" s="789" t="s">
        <v>186</v>
      </c>
      <c r="C19" s="790"/>
      <c r="D19" s="790"/>
      <c r="E19" s="790"/>
      <c r="F19" s="790"/>
      <c r="G19" s="790"/>
      <c r="H19" s="171"/>
      <c r="I19" s="180">
        <v>-2.4684950921527742</v>
      </c>
      <c r="J19" s="99"/>
    </row>
    <row r="20" spans="1:10">
      <c r="A20" s="1"/>
      <c r="J20" s="99"/>
    </row>
    <row r="21" spans="1:10">
      <c r="A21" s="1"/>
      <c r="B21" s="64"/>
      <c r="J21" s="99"/>
    </row>
    <row r="22" spans="1:10">
      <c r="A22" s="1" t="s">
        <v>462</v>
      </c>
      <c r="B22" s="32" t="s">
        <v>464</v>
      </c>
      <c r="C22" s="124"/>
      <c r="D22" s="124"/>
      <c r="E22" s="124"/>
      <c r="F22" s="124"/>
      <c r="G22" s="124"/>
      <c r="H22" s="124"/>
      <c r="I22" s="124"/>
      <c r="J22" s="99"/>
    </row>
    <row r="23" spans="1:10" ht="12.9" thickBot="1">
      <c r="B23" s="126"/>
      <c r="C23" s="126">
        <v>1</v>
      </c>
      <c r="D23" s="126">
        <v>2</v>
      </c>
      <c r="E23" s="100" t="s">
        <v>138</v>
      </c>
      <c r="F23" s="126">
        <v>4</v>
      </c>
      <c r="G23" s="793">
        <v>5</v>
      </c>
      <c r="H23" s="793"/>
      <c r="I23" s="100" t="s">
        <v>139</v>
      </c>
      <c r="J23" s="99"/>
    </row>
    <row r="24" spans="1:10" ht="35.15" thickBot="1">
      <c r="B24" s="101" t="str">
        <f>B7</f>
        <v>£m, 2018/19 prices</v>
      </c>
      <c r="C24" s="126" t="s">
        <v>185</v>
      </c>
      <c r="D24" s="126" t="s">
        <v>140</v>
      </c>
      <c r="E24" s="100" t="s">
        <v>141</v>
      </c>
      <c r="F24" s="125" t="s">
        <v>142</v>
      </c>
      <c r="G24" s="794" t="s">
        <v>184</v>
      </c>
      <c r="H24" s="795"/>
      <c r="I24" s="102" t="s">
        <v>143</v>
      </c>
      <c r="J24" s="99"/>
    </row>
    <row r="25" spans="1:10">
      <c r="B25" s="173" t="s">
        <v>2</v>
      </c>
      <c r="C25" s="174">
        <v>711.75875473563281</v>
      </c>
      <c r="D25" s="175">
        <v>-286.87802361344342</v>
      </c>
      <c r="E25" s="176">
        <f>C25+D25</f>
        <v>424.88073112218939</v>
      </c>
      <c r="F25" s="177">
        <v>-254.25056788361843</v>
      </c>
      <c r="G25" s="796">
        <v>412.63866816418584</v>
      </c>
      <c r="H25" s="797"/>
      <c r="I25" s="178">
        <f>F25+G25</f>
        <v>158.38810028056741</v>
      </c>
    </row>
    <row r="26" spans="1:10">
      <c r="B26" s="789" t="s">
        <v>144</v>
      </c>
      <c r="C26" s="790"/>
      <c r="D26" s="790"/>
      <c r="E26" s="790"/>
      <c r="F26" s="790"/>
      <c r="G26" s="790"/>
      <c r="H26" s="179"/>
      <c r="I26" s="172">
        <f>I25-E25</f>
        <v>-266.49263084162197</v>
      </c>
    </row>
    <row r="28" spans="1:10">
      <c r="B28" s="789" t="s">
        <v>186</v>
      </c>
      <c r="C28" s="790"/>
      <c r="D28" s="790"/>
      <c r="E28" s="790"/>
      <c r="F28" s="790"/>
      <c r="G28" s="790"/>
      <c r="H28" s="171"/>
      <c r="I28" s="172">
        <v>-241</v>
      </c>
    </row>
  </sheetData>
  <mergeCells count="22">
    <mergeCell ref="B1:I2"/>
    <mergeCell ref="B28:G28"/>
    <mergeCell ref="B17:G17"/>
    <mergeCell ref="B19:G19"/>
    <mergeCell ref="B9:G9"/>
    <mergeCell ref="B11:G11"/>
    <mergeCell ref="G16:H16"/>
    <mergeCell ref="G23:H23"/>
    <mergeCell ref="G24:H24"/>
    <mergeCell ref="G25:H25"/>
    <mergeCell ref="B26:G26"/>
    <mergeCell ref="G6:H6"/>
    <mergeCell ref="G7:H7"/>
    <mergeCell ref="G8:H8"/>
    <mergeCell ref="G14:H14"/>
    <mergeCell ref="G15:H15"/>
    <mergeCell ref="K4:M4"/>
    <mergeCell ref="N4:T4"/>
    <mergeCell ref="K5:M5"/>
    <mergeCell ref="N5:O5"/>
    <mergeCell ref="P5:Q5"/>
    <mergeCell ref="R5:S5"/>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6"/>
  <sheetViews>
    <sheetView zoomScale="80" zoomScaleNormal="80" workbookViewId="0"/>
  </sheetViews>
  <sheetFormatPr defaultColWidth="9" defaultRowHeight="12.45"/>
  <cols>
    <col min="1" max="1" width="11.3984375" style="124" bestFit="1" customWidth="1"/>
    <col min="2" max="2" width="40.86328125" style="124" customWidth="1"/>
    <col min="3" max="3" width="35.265625" style="124" customWidth="1"/>
    <col min="4" max="4" width="23.46484375" style="124" customWidth="1"/>
    <col min="5" max="5" width="24.73046875" style="124" customWidth="1"/>
    <col min="6" max="6" width="12.3984375" style="124" customWidth="1"/>
    <col min="7" max="8" width="9" style="124"/>
    <col min="9" max="9" width="31.3984375" style="124" customWidth="1"/>
    <col min="10" max="10" width="42.1328125" style="124" customWidth="1"/>
    <col min="11" max="11" width="15" style="124" customWidth="1"/>
    <col min="12" max="12" width="17" style="124" customWidth="1"/>
    <col min="13" max="13" width="21.3984375" style="124" customWidth="1"/>
    <col min="14" max="16" width="9" style="124"/>
    <col min="17" max="17" width="17.86328125" style="124" customWidth="1"/>
    <col min="18" max="16384" width="9" style="124"/>
  </cols>
  <sheetData>
    <row r="1" spans="1:9" ht="37.5" customHeight="1">
      <c r="B1" s="783" t="s">
        <v>245</v>
      </c>
      <c r="C1" s="784"/>
      <c r="D1" s="784"/>
      <c r="E1" s="784"/>
      <c r="F1" s="784"/>
      <c r="G1" s="784"/>
      <c r="H1" s="784"/>
      <c r="I1" s="785"/>
    </row>
    <row r="2" spans="1:9" ht="36.75" customHeight="1" thickBot="1">
      <c r="B2" s="786"/>
      <c r="C2" s="787"/>
      <c r="D2" s="787"/>
      <c r="E2" s="787"/>
      <c r="F2" s="787"/>
      <c r="G2" s="787"/>
      <c r="H2" s="787"/>
      <c r="I2" s="788"/>
    </row>
    <row r="3" spans="1:9" ht="30.45" customHeight="1">
      <c r="B3" s="185"/>
      <c r="C3" s="185"/>
      <c r="D3" s="185"/>
      <c r="E3" s="185"/>
      <c r="F3" s="185"/>
      <c r="G3" s="185"/>
      <c r="H3" s="185"/>
    </row>
    <row r="5" spans="1:9">
      <c r="A5" s="1" t="s">
        <v>465</v>
      </c>
      <c r="B5" s="32" t="s">
        <v>470</v>
      </c>
    </row>
    <row r="6" spans="1:9" ht="12.9" thickBot="1">
      <c r="A6" s="1"/>
      <c r="B6" s="126"/>
      <c r="C6" s="126">
        <v>1</v>
      </c>
      <c r="D6" s="126">
        <v>2</v>
      </c>
      <c r="E6" s="100" t="s">
        <v>138</v>
      </c>
      <c r="F6" s="126">
        <v>4</v>
      </c>
      <c r="G6" s="793">
        <v>5</v>
      </c>
      <c r="H6" s="793"/>
      <c r="I6" s="100" t="s">
        <v>139</v>
      </c>
    </row>
    <row r="7" spans="1:9" ht="35.25" customHeight="1" thickBot="1">
      <c r="A7" s="1"/>
      <c r="B7" s="101" t="s">
        <v>188</v>
      </c>
      <c r="C7" s="126" t="s">
        <v>185</v>
      </c>
      <c r="D7" s="126" t="s">
        <v>140</v>
      </c>
      <c r="E7" s="100" t="s">
        <v>141</v>
      </c>
      <c r="F7" s="125" t="s">
        <v>142</v>
      </c>
      <c r="G7" s="794" t="s">
        <v>184</v>
      </c>
      <c r="H7" s="795"/>
      <c r="I7" s="102" t="s">
        <v>143</v>
      </c>
    </row>
    <row r="8" spans="1:9">
      <c r="A8" s="1"/>
      <c r="B8" s="173" t="s">
        <v>2</v>
      </c>
      <c r="C8" s="174">
        <v>93.894082543518934</v>
      </c>
      <c r="D8" s="175">
        <v>0</v>
      </c>
      <c r="E8" s="176">
        <f>C8+D8</f>
        <v>93.894082543518934</v>
      </c>
      <c r="F8" s="177">
        <v>-2.3773003662924523</v>
      </c>
      <c r="G8" s="796">
        <v>91.460329507298027</v>
      </c>
      <c r="H8" s="797"/>
      <c r="I8" s="178">
        <f>F8+G8</f>
        <v>89.083029141005568</v>
      </c>
    </row>
    <row r="9" spans="1:9">
      <c r="A9" s="1"/>
      <c r="B9" s="789" t="s">
        <v>144</v>
      </c>
      <c r="C9" s="790"/>
      <c r="D9" s="790"/>
      <c r="E9" s="790"/>
      <c r="F9" s="790"/>
      <c r="G9" s="790"/>
      <c r="H9" s="179"/>
      <c r="I9" s="180">
        <f>I8-E8</f>
        <v>-4.811053402513366</v>
      </c>
    </row>
    <row r="10" spans="1:9">
      <c r="A10" s="1"/>
    </row>
    <row r="11" spans="1:9">
      <c r="A11" s="1"/>
    </row>
    <row r="12" spans="1:9">
      <c r="A12" s="1"/>
      <c r="B12" s="34"/>
      <c r="I12" s="34"/>
    </row>
    <row r="13" spans="1:9">
      <c r="A13" s="1" t="s">
        <v>466</v>
      </c>
      <c r="B13" s="32" t="s">
        <v>468</v>
      </c>
    </row>
    <row r="14" spans="1:9" ht="12.9" thickBot="1">
      <c r="A14" s="1"/>
      <c r="B14" s="126"/>
      <c r="C14" s="126">
        <v>1</v>
      </c>
      <c r="D14" s="126">
        <v>2</v>
      </c>
      <c r="E14" s="100" t="s">
        <v>138</v>
      </c>
      <c r="F14" s="126">
        <v>4</v>
      </c>
      <c r="G14" s="793">
        <v>5</v>
      </c>
      <c r="H14" s="793"/>
      <c r="I14" s="100" t="s">
        <v>139</v>
      </c>
    </row>
    <row r="15" spans="1:9" ht="35.15" thickBot="1">
      <c r="A15" s="1"/>
      <c r="B15" s="101" t="str">
        <f>B7</f>
        <v>£m, 2018/19</v>
      </c>
      <c r="C15" s="126" t="s">
        <v>185</v>
      </c>
      <c r="D15" s="126" t="s">
        <v>140</v>
      </c>
      <c r="E15" s="100" t="s">
        <v>141</v>
      </c>
      <c r="F15" s="125" t="s">
        <v>142</v>
      </c>
      <c r="G15" s="794" t="s">
        <v>184</v>
      </c>
      <c r="H15" s="795"/>
      <c r="I15" s="102" t="s">
        <v>143</v>
      </c>
    </row>
    <row r="16" spans="1:9">
      <c r="A16" s="1"/>
      <c r="B16" s="173" t="s">
        <v>2</v>
      </c>
      <c r="C16" s="174">
        <v>28.885447350141209</v>
      </c>
      <c r="D16" s="175">
        <v>0</v>
      </c>
      <c r="E16" s="176">
        <f>C16+D16</f>
        <v>28.885447350141209</v>
      </c>
      <c r="F16" s="177">
        <v>0</v>
      </c>
      <c r="G16" s="791">
        <v>36.75501138439251</v>
      </c>
      <c r="H16" s="792"/>
      <c r="I16" s="178">
        <f>F16+G16</f>
        <v>36.75501138439251</v>
      </c>
    </row>
    <row r="17" spans="1:9">
      <c r="A17" s="1"/>
      <c r="B17" s="789"/>
      <c r="C17" s="790"/>
      <c r="D17" s="790"/>
      <c r="E17" s="790"/>
      <c r="F17" s="790"/>
      <c r="G17" s="790"/>
      <c r="H17" s="179"/>
      <c r="I17" s="1" t="s">
        <v>189</v>
      </c>
    </row>
    <row r="18" spans="1:9">
      <c r="A18" s="1"/>
    </row>
    <row r="19" spans="1:9">
      <c r="A19" s="1"/>
    </row>
    <row r="20" spans="1:9">
      <c r="A20" s="1"/>
    </row>
    <row r="21" spans="1:9">
      <c r="A21" s="1"/>
    </row>
    <row r="22" spans="1:9">
      <c r="A22" s="1" t="s">
        <v>467</v>
      </c>
      <c r="B22" s="32" t="s">
        <v>469</v>
      </c>
    </row>
    <row r="23" spans="1:9" ht="12.9" thickBot="1">
      <c r="B23" s="126"/>
      <c r="C23" s="126">
        <v>1</v>
      </c>
      <c r="D23" s="126">
        <v>2</v>
      </c>
      <c r="E23" s="100" t="s">
        <v>138</v>
      </c>
      <c r="F23" s="126">
        <v>4</v>
      </c>
      <c r="G23" s="793">
        <v>5</v>
      </c>
      <c r="H23" s="793"/>
      <c r="I23" s="100" t="s">
        <v>139</v>
      </c>
    </row>
    <row r="24" spans="1:9" ht="35.15" thickBot="1">
      <c r="B24" s="101" t="str">
        <f>B7</f>
        <v>£m, 2018/19</v>
      </c>
      <c r="C24" s="126" t="s">
        <v>185</v>
      </c>
      <c r="D24" s="126" t="s">
        <v>140</v>
      </c>
      <c r="E24" s="100" t="s">
        <v>141</v>
      </c>
      <c r="F24" s="125" t="s">
        <v>142</v>
      </c>
      <c r="G24" s="794" t="s">
        <v>184</v>
      </c>
      <c r="H24" s="795"/>
      <c r="I24" s="102" t="s">
        <v>143</v>
      </c>
    </row>
    <row r="25" spans="1:9">
      <c r="B25" s="173" t="s">
        <v>2</v>
      </c>
      <c r="C25" s="174">
        <v>61.764837768039463</v>
      </c>
      <c r="D25" s="175">
        <v>0</v>
      </c>
      <c r="E25" s="176">
        <f>C25+D25</f>
        <v>61.764837768039463</v>
      </c>
      <c r="F25" s="177">
        <v>0</v>
      </c>
      <c r="G25" s="796">
        <v>93.618356553825379</v>
      </c>
      <c r="H25" s="797"/>
      <c r="I25" s="178">
        <f>F25+G25</f>
        <v>93.618356553825379</v>
      </c>
    </row>
    <row r="26" spans="1:9">
      <c r="B26" s="789"/>
      <c r="C26" s="790"/>
      <c r="D26" s="790"/>
      <c r="E26" s="790"/>
      <c r="F26" s="790"/>
      <c r="G26" s="790"/>
      <c r="H26" s="179"/>
      <c r="I26" s="1" t="s">
        <v>187</v>
      </c>
    </row>
  </sheetData>
  <mergeCells count="13">
    <mergeCell ref="G23:H23"/>
    <mergeCell ref="G24:H24"/>
    <mergeCell ref="G25:H25"/>
    <mergeCell ref="B26:G26"/>
    <mergeCell ref="G14:H14"/>
    <mergeCell ref="G15:H15"/>
    <mergeCell ref="G16:H16"/>
    <mergeCell ref="B17:G17"/>
    <mergeCell ref="G6:H6"/>
    <mergeCell ref="G7:H7"/>
    <mergeCell ref="G8:H8"/>
    <mergeCell ref="B9:G9"/>
    <mergeCell ref="B1:I2"/>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J80"/>
  <sheetViews>
    <sheetView zoomScale="60" zoomScaleNormal="60" workbookViewId="0">
      <selection activeCell="AJ50" sqref="AJ50"/>
    </sheetView>
  </sheetViews>
  <sheetFormatPr defaultRowHeight="12.45"/>
  <cols>
    <col min="2" max="2" width="38.46484375" customWidth="1"/>
    <col min="4" max="4" width="10.59765625" style="124" customWidth="1"/>
    <col min="5" max="5" width="10.73046875" style="124" customWidth="1"/>
    <col min="8" max="8" width="13.73046875" style="124" customWidth="1"/>
    <col min="9" max="9" width="13.265625" style="124" customWidth="1"/>
    <col min="10" max="10" width="9" style="124"/>
    <col min="21" max="21" width="5.59765625" customWidth="1"/>
    <col min="22" max="22" width="9.265625" style="124" customWidth="1"/>
    <col min="23" max="23" width="4.3984375" customWidth="1"/>
    <col min="24" max="24" width="9.3984375" bestFit="1" customWidth="1"/>
    <col min="25" max="25" width="9.1328125" bestFit="1" customWidth="1"/>
    <col min="26" max="26" width="9.46484375" bestFit="1" customWidth="1"/>
    <col min="27" max="28" width="9.3984375" bestFit="1" customWidth="1"/>
    <col min="29" max="30" width="9.46484375" bestFit="1" customWidth="1"/>
    <col min="31" max="31" width="9.1328125" bestFit="1" customWidth="1"/>
    <col min="33" max="33" width="12" customWidth="1"/>
    <col min="35" max="35" width="12.1328125" customWidth="1"/>
  </cols>
  <sheetData>
    <row r="1" spans="2:36" ht="12.9" thickBot="1"/>
    <row r="2" spans="2:36" ht="0.75" customHeight="1">
      <c r="B2" s="799" t="s">
        <v>270</v>
      </c>
      <c r="C2" s="800"/>
      <c r="D2" s="800"/>
      <c r="E2" s="800"/>
      <c r="F2" s="800"/>
      <c r="G2" s="800"/>
      <c r="H2" s="800"/>
      <c r="I2" s="800"/>
      <c r="J2" s="800"/>
      <c r="K2" s="800"/>
      <c r="L2" s="800"/>
      <c r="M2" s="800"/>
      <c r="N2" s="800"/>
      <c r="O2" s="800"/>
      <c r="P2" s="800"/>
      <c r="Q2" s="800"/>
      <c r="R2" s="800"/>
      <c r="S2" s="800"/>
      <c r="T2" s="800"/>
      <c r="U2" s="800"/>
      <c r="V2" s="800"/>
      <c r="W2" s="800"/>
      <c r="X2" s="801"/>
    </row>
    <row r="3" spans="2:36" ht="43.5" customHeight="1">
      <c r="B3" s="802"/>
      <c r="C3" s="803"/>
      <c r="D3" s="803"/>
      <c r="E3" s="803"/>
      <c r="F3" s="803"/>
      <c r="G3" s="803"/>
      <c r="H3" s="803"/>
      <c r="I3" s="803"/>
      <c r="J3" s="803"/>
      <c r="K3" s="803"/>
      <c r="L3" s="803"/>
      <c r="M3" s="803"/>
      <c r="N3" s="803"/>
      <c r="O3" s="803"/>
      <c r="P3" s="803"/>
      <c r="Q3" s="803"/>
      <c r="R3" s="803"/>
      <c r="S3" s="803"/>
      <c r="T3" s="803"/>
      <c r="U3" s="803"/>
      <c r="V3" s="803"/>
      <c r="W3" s="803"/>
      <c r="X3" s="804"/>
      <c r="AA3" s="798"/>
      <c r="AB3" s="798"/>
      <c r="AC3" s="798"/>
      <c r="AD3" s="798"/>
      <c r="AE3" s="798"/>
      <c r="AF3" s="798"/>
      <c r="AG3" s="798"/>
      <c r="AH3" s="798"/>
      <c r="AI3" s="798"/>
      <c r="AJ3" s="798"/>
    </row>
    <row r="4" spans="2:36" ht="87.75" customHeight="1" thickBot="1">
      <c r="B4" s="805"/>
      <c r="C4" s="806"/>
      <c r="D4" s="806"/>
      <c r="E4" s="806"/>
      <c r="F4" s="806"/>
      <c r="G4" s="806"/>
      <c r="H4" s="806"/>
      <c r="I4" s="806"/>
      <c r="J4" s="806"/>
      <c r="K4" s="806"/>
      <c r="L4" s="806"/>
      <c r="M4" s="806"/>
      <c r="N4" s="806"/>
      <c r="O4" s="806"/>
      <c r="P4" s="806"/>
      <c r="Q4" s="806"/>
      <c r="R4" s="806"/>
      <c r="S4" s="806"/>
      <c r="T4" s="806"/>
      <c r="U4" s="806"/>
      <c r="V4" s="806"/>
      <c r="W4" s="806"/>
      <c r="X4" s="807"/>
      <c r="AA4" s="798"/>
      <c r="AB4" s="798"/>
      <c r="AC4" s="798"/>
      <c r="AD4" s="798"/>
      <c r="AE4" s="798"/>
      <c r="AF4" s="798"/>
      <c r="AG4" s="798"/>
      <c r="AH4" s="798"/>
      <c r="AI4" s="798"/>
      <c r="AJ4" s="798"/>
    </row>
    <row r="5" spans="2:36">
      <c r="B5" s="182"/>
      <c r="C5" s="182"/>
      <c r="D5" s="192"/>
      <c r="E5" s="192"/>
      <c r="F5" s="182"/>
      <c r="G5" s="182"/>
      <c r="H5" s="192"/>
      <c r="I5" s="192"/>
      <c r="J5" s="192"/>
      <c r="K5" s="182"/>
      <c r="L5" s="182"/>
      <c r="M5" s="182"/>
      <c r="N5" s="182"/>
      <c r="O5" s="182"/>
      <c r="P5" s="182"/>
      <c r="Q5" s="182"/>
      <c r="R5" s="182"/>
      <c r="S5" s="182"/>
      <c r="T5" s="182"/>
      <c r="U5" s="182"/>
      <c r="V5" s="192"/>
      <c r="W5" s="182"/>
      <c r="X5" s="182"/>
    </row>
    <row r="6" spans="2:36">
      <c r="B6" s="261" t="s">
        <v>255</v>
      </c>
      <c r="C6" s="182"/>
      <c r="D6" s="192"/>
      <c r="E6" s="192"/>
      <c r="F6" s="182"/>
      <c r="G6" s="182"/>
      <c r="H6" s="192"/>
      <c r="I6" s="192"/>
      <c r="J6" s="192"/>
      <c r="U6" s="182"/>
      <c r="V6" s="192"/>
      <c r="W6" s="182"/>
      <c r="AF6" s="124"/>
      <c r="AG6" s="269"/>
      <c r="AI6" s="269"/>
    </row>
    <row r="7" spans="2:36" ht="14.6">
      <c r="B7" s="182"/>
      <c r="C7" s="182"/>
      <c r="D7" s="192"/>
      <c r="E7" s="192"/>
      <c r="F7" s="182"/>
      <c r="G7" s="182"/>
      <c r="H7" s="192"/>
      <c r="I7" s="192"/>
      <c r="J7" s="192"/>
      <c r="K7" s="262" t="s">
        <v>272</v>
      </c>
      <c r="L7" s="263"/>
      <c r="M7" s="263"/>
      <c r="N7" s="263"/>
      <c r="O7" s="263"/>
      <c r="P7" s="263"/>
      <c r="Q7" s="263"/>
      <c r="R7" s="263"/>
      <c r="T7" s="263"/>
      <c r="U7" s="182"/>
      <c r="V7" s="192"/>
      <c r="W7" s="182"/>
      <c r="X7" s="272" t="s">
        <v>271</v>
      </c>
      <c r="Y7" s="273"/>
      <c r="Z7" s="273"/>
      <c r="AA7" s="273"/>
      <c r="AB7" s="273"/>
      <c r="AC7" s="273"/>
      <c r="AD7" s="273"/>
      <c r="AE7" s="273"/>
      <c r="AF7" s="274"/>
      <c r="AG7" s="271"/>
      <c r="AI7" s="271"/>
      <c r="AJ7" s="124"/>
    </row>
    <row r="8" spans="2:36" ht="29.15">
      <c r="B8" s="645" t="s">
        <v>556</v>
      </c>
      <c r="C8" s="192"/>
      <c r="D8" s="192"/>
      <c r="E8" s="192"/>
      <c r="F8" s="258"/>
      <c r="G8" s="257" t="s">
        <v>254</v>
      </c>
      <c r="H8" s="257"/>
      <c r="I8" s="257"/>
      <c r="J8" s="257"/>
      <c r="K8" s="264" t="s">
        <v>39</v>
      </c>
      <c r="L8" s="264" t="s">
        <v>40</v>
      </c>
      <c r="M8" s="264" t="s">
        <v>41</v>
      </c>
      <c r="N8" s="264" t="s">
        <v>42</v>
      </c>
      <c r="O8" s="264" t="s">
        <v>43</v>
      </c>
      <c r="P8" s="264" t="s">
        <v>44</v>
      </c>
      <c r="Q8" s="264" t="s">
        <v>45</v>
      </c>
      <c r="R8" s="264" t="s">
        <v>46</v>
      </c>
      <c r="T8" s="264" t="s">
        <v>267</v>
      </c>
      <c r="U8" s="182"/>
      <c r="V8" s="192"/>
      <c r="W8" s="182"/>
      <c r="X8" s="270" t="s">
        <v>39</v>
      </c>
      <c r="Y8" s="270" t="s">
        <v>40</v>
      </c>
      <c r="Z8" s="270" t="s">
        <v>41</v>
      </c>
      <c r="AA8" s="270" t="s">
        <v>42</v>
      </c>
      <c r="AB8" s="270" t="s">
        <v>43</v>
      </c>
      <c r="AC8" s="270" t="s">
        <v>44</v>
      </c>
      <c r="AD8" s="270" t="s">
        <v>45</v>
      </c>
      <c r="AE8" s="270" t="s">
        <v>46</v>
      </c>
      <c r="AF8" s="274"/>
      <c r="AG8" s="271" t="str">
        <f>T8</f>
        <v>T1 Total</v>
      </c>
      <c r="AI8" s="271" t="s">
        <v>269</v>
      </c>
      <c r="AJ8" s="124"/>
    </row>
    <row r="9" spans="2:36" ht="14.6">
      <c r="B9" s="718">
        <v>1</v>
      </c>
      <c r="C9" s="192"/>
      <c r="D9" s="192"/>
      <c r="E9" s="192"/>
      <c r="F9" s="774"/>
      <c r="G9" s="774">
        <v>2022</v>
      </c>
      <c r="I9" s="259"/>
      <c r="J9" s="259"/>
      <c r="K9" s="265">
        <v>0</v>
      </c>
      <c r="L9" s="265">
        <v>0</v>
      </c>
      <c r="M9" s="265">
        <v>0</v>
      </c>
      <c r="N9" s="265">
        <v>0</v>
      </c>
      <c r="O9" s="265">
        <v>0</v>
      </c>
      <c r="P9" s="265">
        <v>8.5288501238420942</v>
      </c>
      <c r="Q9" s="265">
        <v>16.91624760072801</v>
      </c>
      <c r="R9" s="265">
        <v>17.056955760068629</v>
      </c>
      <c r="T9" s="266">
        <f>SUM(K9:R9)</f>
        <v>42.502053484638736</v>
      </c>
      <c r="V9" s="192"/>
      <c r="X9" s="290">
        <v>0</v>
      </c>
      <c r="Y9" s="290">
        <v>0</v>
      </c>
      <c r="Z9" s="290">
        <v>0</v>
      </c>
      <c r="AA9" s="290">
        <v>0</v>
      </c>
      <c r="AB9" s="290">
        <v>1.855000218254834E-2</v>
      </c>
      <c r="AC9" s="290">
        <v>1.8692490000000003E-2</v>
      </c>
      <c r="AD9" s="290">
        <v>0</v>
      </c>
      <c r="AE9" s="290">
        <v>0</v>
      </c>
      <c r="AF9" s="274"/>
      <c r="AG9" s="276">
        <f t="shared" ref="AG9:AG19" si="0">SUM(X9:AE9)</f>
        <v>3.724249218254834E-2</v>
      </c>
      <c r="AH9" s="292"/>
      <c r="AI9" s="277">
        <v>4.894497531708062E-2</v>
      </c>
      <c r="AJ9" s="124"/>
    </row>
    <row r="10" spans="2:36" ht="14.6">
      <c r="B10" s="718"/>
      <c r="C10" s="192"/>
      <c r="D10" s="192"/>
      <c r="E10" s="192"/>
      <c r="F10" s="774"/>
      <c r="G10" s="774"/>
      <c r="I10" s="259"/>
      <c r="J10" s="259"/>
      <c r="K10" s="265"/>
      <c r="L10" s="265"/>
      <c r="M10" s="265"/>
      <c r="N10" s="265"/>
      <c r="O10" s="265"/>
      <c r="P10" s="265"/>
      <c r="Q10" s="265"/>
      <c r="R10" s="265"/>
      <c r="T10" s="266"/>
      <c r="V10" s="192"/>
      <c r="X10" s="290">
        <v>-8.6488587034031905</v>
      </c>
      <c r="Y10" s="290">
        <v>2.0748524667255127E-2</v>
      </c>
      <c r="Z10" s="290">
        <v>14.605869338133544</v>
      </c>
      <c r="AA10" s="290">
        <v>-0.16693011299963773</v>
      </c>
      <c r="AB10" s="290">
        <v>-5.1527783840412053E-3</v>
      </c>
      <c r="AC10" s="290">
        <v>0</v>
      </c>
      <c r="AD10" s="290">
        <v>0</v>
      </c>
      <c r="AE10" s="290">
        <v>0</v>
      </c>
      <c r="AF10" s="274"/>
      <c r="AG10" s="276">
        <f t="shared" si="0"/>
        <v>5.8056762680139293</v>
      </c>
      <c r="AH10" s="292"/>
      <c r="AI10" s="276">
        <v>0</v>
      </c>
      <c r="AJ10" s="124"/>
    </row>
    <row r="11" spans="2:36" ht="14.6">
      <c r="B11" s="124">
        <v>2</v>
      </c>
      <c r="C11" s="192"/>
      <c r="D11" s="192"/>
      <c r="E11" s="192"/>
      <c r="F11" s="259"/>
      <c r="G11" s="259">
        <v>2022</v>
      </c>
      <c r="I11" s="259"/>
      <c r="J11" s="259"/>
      <c r="K11" s="265">
        <v>0</v>
      </c>
      <c r="L11" s="265">
        <v>0</v>
      </c>
      <c r="M11" s="265">
        <v>0</v>
      </c>
      <c r="N11" s="265">
        <v>0</v>
      </c>
      <c r="O11" s="265">
        <v>0</v>
      </c>
      <c r="P11" s="265">
        <v>0.30399258655694322</v>
      </c>
      <c r="Q11" s="265">
        <v>0.60294339662594842</v>
      </c>
      <c r="R11" s="265">
        <v>0.60795863744816037</v>
      </c>
      <c r="T11" s="266">
        <v>1.5148946206310518</v>
      </c>
      <c r="V11" s="192"/>
      <c r="X11" s="290">
        <v>0</v>
      </c>
      <c r="Y11" s="290">
        <v>1.8564469439123009E-2</v>
      </c>
      <c r="Z11" s="290">
        <v>1.8564469439123009E-2</v>
      </c>
      <c r="AA11" s="290">
        <v>2.8395802439318924E-3</v>
      </c>
      <c r="AB11" s="290">
        <v>0.99242511676633616</v>
      </c>
      <c r="AC11" s="290">
        <v>7.6884100000000006E-3</v>
      </c>
      <c r="AD11" s="290">
        <v>0</v>
      </c>
      <c r="AE11" s="290">
        <v>0</v>
      </c>
      <c r="AF11" s="274"/>
      <c r="AG11" s="276">
        <f t="shared" si="0"/>
        <v>1.0400820458885141</v>
      </c>
      <c r="AH11" s="292"/>
      <c r="AI11" s="276">
        <v>1.2263845281314896</v>
      </c>
      <c r="AJ11" s="124"/>
    </row>
    <row r="12" spans="2:36" ht="14.6">
      <c r="B12" s="124">
        <v>3</v>
      </c>
      <c r="C12" s="192"/>
      <c r="D12" s="192"/>
      <c r="E12" s="192"/>
      <c r="F12" s="259"/>
      <c r="G12" s="259">
        <v>2022</v>
      </c>
      <c r="I12" s="259"/>
      <c r="J12" s="259"/>
      <c r="K12" s="265">
        <v>0</v>
      </c>
      <c r="L12" s="265">
        <v>0</v>
      </c>
      <c r="M12" s="265">
        <v>0</v>
      </c>
      <c r="N12" s="265">
        <v>0</v>
      </c>
      <c r="O12" s="265">
        <v>0</v>
      </c>
      <c r="P12" s="265">
        <v>0.30399258655694322</v>
      </c>
      <c r="Q12" s="265">
        <v>0.60294339662594842</v>
      </c>
      <c r="R12" s="265">
        <v>0.60795863744816037</v>
      </c>
      <c r="T12" s="266">
        <v>1.5148946206310518</v>
      </c>
      <c r="V12" s="192"/>
      <c r="X12" s="290">
        <v>1.4196358982858773E-2</v>
      </c>
      <c r="Y12" s="290">
        <v>0.13541142414419136</v>
      </c>
      <c r="Z12" s="290">
        <v>0.11575492709100231</v>
      </c>
      <c r="AA12" s="290">
        <v>0.4965673186813187</v>
      </c>
      <c r="AB12" s="290">
        <v>1.1037251298616264</v>
      </c>
      <c r="AC12" s="290">
        <v>3.9334693600000006</v>
      </c>
      <c r="AD12" s="290">
        <v>7.4360983052133207</v>
      </c>
      <c r="AE12" s="290">
        <v>1.763898908245519</v>
      </c>
      <c r="AF12" s="274"/>
      <c r="AG12" s="276">
        <f t="shared" si="0"/>
        <v>14.999121732219837</v>
      </c>
      <c r="AH12" s="292"/>
      <c r="AI12" s="276">
        <v>0.75469772425340687</v>
      </c>
      <c r="AJ12" s="124"/>
    </row>
    <row r="13" spans="2:36" ht="14.6">
      <c r="B13" s="718">
        <v>4</v>
      </c>
      <c r="C13" s="192"/>
      <c r="D13" s="192"/>
      <c r="E13" s="192"/>
      <c r="F13" s="774"/>
      <c r="G13" s="774">
        <v>2022</v>
      </c>
      <c r="I13" s="259"/>
      <c r="J13" s="259"/>
      <c r="K13" s="265">
        <v>0</v>
      </c>
      <c r="L13" s="265">
        <v>0</v>
      </c>
      <c r="M13" s="265">
        <v>0</v>
      </c>
      <c r="N13" s="265">
        <v>0</v>
      </c>
      <c r="O13" s="265">
        <v>0</v>
      </c>
      <c r="P13" s="265">
        <v>5.4828322224699191</v>
      </c>
      <c r="Q13" s="265">
        <v>10.874730600468009</v>
      </c>
      <c r="R13" s="265">
        <v>10.965185845758405</v>
      </c>
      <c r="T13" s="266">
        <v>27.322748668696335</v>
      </c>
      <c r="V13" s="192"/>
      <c r="X13" s="290">
        <v>0</v>
      </c>
      <c r="Y13" s="290">
        <v>0</v>
      </c>
      <c r="Z13" s="290">
        <v>0</v>
      </c>
      <c r="AA13" s="290">
        <v>0</v>
      </c>
      <c r="AB13" s="290">
        <v>0</v>
      </c>
      <c r="AC13" s="290">
        <v>0</v>
      </c>
      <c r="AD13" s="290">
        <v>0</v>
      </c>
      <c r="AE13" s="290">
        <v>7.2960249330087268E-2</v>
      </c>
      <c r="AF13" s="274"/>
      <c r="AG13" s="276">
        <f t="shared" si="0"/>
        <v>7.2960249330087268E-2</v>
      </c>
      <c r="AH13" s="292"/>
      <c r="AI13" s="276">
        <v>5.7829920359683969E-4</v>
      </c>
      <c r="AJ13" s="124"/>
    </row>
    <row r="14" spans="2:36" ht="14.6">
      <c r="B14" s="718"/>
      <c r="C14" s="192"/>
      <c r="D14" s="192"/>
      <c r="E14" s="192"/>
      <c r="F14" s="718"/>
      <c r="G14" s="774"/>
      <c r="I14" s="259"/>
      <c r="J14" s="259"/>
      <c r="K14" s="265"/>
      <c r="L14" s="265"/>
      <c r="M14" s="265"/>
      <c r="N14" s="265"/>
      <c r="O14" s="265"/>
      <c r="P14" s="265"/>
      <c r="Q14" s="265"/>
      <c r="R14" s="265"/>
      <c r="T14" s="266"/>
      <c r="V14" s="192"/>
      <c r="X14" s="290">
        <v>0</v>
      </c>
      <c r="Y14" s="290">
        <v>0</v>
      </c>
      <c r="Z14" s="290">
        <v>0</v>
      </c>
      <c r="AA14" s="290">
        <v>0</v>
      </c>
      <c r="AB14" s="290">
        <v>0</v>
      </c>
      <c r="AC14" s="290">
        <v>0</v>
      </c>
      <c r="AD14" s="290">
        <v>0</v>
      </c>
      <c r="AE14" s="290">
        <v>0.3306748435290438</v>
      </c>
      <c r="AF14" s="274"/>
      <c r="AG14" s="276">
        <f t="shared" si="0"/>
        <v>0.3306748435290438</v>
      </c>
      <c r="AH14" s="292"/>
      <c r="AI14" s="276">
        <v>2.6535881177703083E-5</v>
      </c>
      <c r="AJ14" s="124"/>
    </row>
    <row r="15" spans="2:36" ht="14.6">
      <c r="B15" s="124">
        <v>5</v>
      </c>
      <c r="C15" s="192"/>
      <c r="D15" s="192"/>
      <c r="E15" s="192"/>
      <c r="F15" s="259"/>
      <c r="G15" s="259">
        <v>2023</v>
      </c>
      <c r="I15" s="259"/>
      <c r="J15" s="259"/>
      <c r="K15" s="265">
        <v>0</v>
      </c>
      <c r="L15" s="265">
        <v>0</v>
      </c>
      <c r="M15" s="265">
        <v>0</v>
      </c>
      <c r="N15" s="265">
        <v>0</v>
      </c>
      <c r="O15" s="265">
        <v>0</v>
      </c>
      <c r="P15" s="265">
        <v>0</v>
      </c>
      <c r="Q15" s="265">
        <v>2.3322173562908461</v>
      </c>
      <c r="R15" s="265">
        <v>4.6297451348757708</v>
      </c>
      <c r="T15" s="266">
        <v>6.9619624911666165</v>
      </c>
      <c r="V15" s="192"/>
      <c r="X15" s="290">
        <v>0</v>
      </c>
      <c r="Y15" s="290">
        <v>0</v>
      </c>
      <c r="Z15" s="290">
        <v>0</v>
      </c>
      <c r="AA15" s="290">
        <v>0</v>
      </c>
      <c r="AB15" s="290">
        <v>0</v>
      </c>
      <c r="AC15" s="290">
        <v>0</v>
      </c>
      <c r="AD15" s="290">
        <v>0</v>
      </c>
      <c r="AE15" s="290">
        <v>0</v>
      </c>
      <c r="AF15" s="274"/>
      <c r="AG15" s="276">
        <f t="shared" si="0"/>
        <v>0</v>
      </c>
      <c r="AH15" s="292"/>
      <c r="AI15" s="276">
        <v>0.43695972918940151</v>
      </c>
      <c r="AJ15" s="124"/>
    </row>
    <row r="16" spans="2:36" ht="14.6">
      <c r="B16" s="124">
        <v>6</v>
      </c>
      <c r="C16" s="192"/>
      <c r="D16" s="192"/>
      <c r="E16" s="192"/>
      <c r="F16" s="259"/>
      <c r="G16" s="259">
        <v>2023</v>
      </c>
      <c r="I16" s="259"/>
      <c r="J16" s="259"/>
      <c r="K16" s="265">
        <v>0</v>
      </c>
      <c r="L16" s="265">
        <v>0</v>
      </c>
      <c r="M16" s="265">
        <v>0</v>
      </c>
      <c r="N16" s="265">
        <v>0</v>
      </c>
      <c r="O16" s="265">
        <v>0</v>
      </c>
      <c r="P16" s="265">
        <v>0</v>
      </c>
      <c r="Q16" s="265">
        <v>8.1013866060629383</v>
      </c>
      <c r="R16" s="265">
        <v>16.082272573778994</v>
      </c>
      <c r="T16" s="266">
        <v>24.183659179841932</v>
      </c>
      <c r="V16" s="192"/>
      <c r="X16" s="290">
        <v>0</v>
      </c>
      <c r="Y16" s="290">
        <v>0</v>
      </c>
      <c r="Z16" s="290">
        <v>0</v>
      </c>
      <c r="AA16" s="290">
        <v>0</v>
      </c>
      <c r="AB16" s="290">
        <v>0</v>
      </c>
      <c r="AC16" s="290">
        <v>0</v>
      </c>
      <c r="AD16" s="290">
        <v>0</v>
      </c>
      <c r="AE16" s="290">
        <v>4.4898614972361403E-2</v>
      </c>
      <c r="AF16" s="274"/>
      <c r="AG16" s="276">
        <f t="shared" si="0"/>
        <v>4.4898614972361403E-2</v>
      </c>
      <c r="AH16" s="292"/>
      <c r="AI16" s="276">
        <v>0</v>
      </c>
      <c r="AJ16" s="124"/>
    </row>
    <row r="17" spans="2:36" ht="14.6">
      <c r="B17" s="124">
        <v>7</v>
      </c>
      <c r="C17" s="192"/>
      <c r="D17" s="192"/>
      <c r="E17" s="192"/>
      <c r="F17" s="259"/>
      <c r="G17" s="259">
        <v>2023</v>
      </c>
      <c r="I17" s="259"/>
      <c r="J17" s="259"/>
      <c r="K17" s="265">
        <v>0</v>
      </c>
      <c r="L17" s="265">
        <v>0</v>
      </c>
      <c r="M17" s="265">
        <v>0</v>
      </c>
      <c r="N17" s="265">
        <v>0</v>
      </c>
      <c r="O17" s="265">
        <v>0</v>
      </c>
      <c r="P17" s="265">
        <v>0</v>
      </c>
      <c r="Q17" s="265">
        <v>0.30625696336556113</v>
      </c>
      <c r="R17" s="265">
        <v>0.60795863744816037</v>
      </c>
      <c r="T17" s="266">
        <v>0.91421560081372144</v>
      </c>
      <c r="V17" s="192"/>
      <c r="X17" s="290">
        <v>0</v>
      </c>
      <c r="Y17" s="290">
        <v>0</v>
      </c>
      <c r="Z17" s="290">
        <v>0</v>
      </c>
      <c r="AA17" s="290">
        <v>0</v>
      </c>
      <c r="AB17" s="290">
        <v>1.3397223798507135E-2</v>
      </c>
      <c r="AC17" s="290">
        <v>1.8522300000000001E-3</v>
      </c>
      <c r="AD17" s="290">
        <v>0.19499168193810593</v>
      </c>
      <c r="AE17" s="290">
        <v>0.91886089515638036</v>
      </c>
      <c r="AF17" s="274"/>
      <c r="AG17" s="276">
        <f t="shared" si="0"/>
        <v>1.1291020308929935</v>
      </c>
      <c r="AH17" s="292"/>
      <c r="AI17" s="276">
        <v>0.52707570039850249</v>
      </c>
      <c r="AJ17" s="124"/>
    </row>
    <row r="18" spans="2:36" ht="14.6">
      <c r="B18" s="124">
        <v>8</v>
      </c>
      <c r="C18" s="192"/>
      <c r="D18" s="192"/>
      <c r="E18" s="192"/>
      <c r="F18" s="259"/>
      <c r="G18" s="259">
        <v>2023</v>
      </c>
      <c r="I18" s="259"/>
      <c r="J18" s="259"/>
      <c r="K18" s="265">
        <v>0</v>
      </c>
      <c r="L18" s="265">
        <v>0</v>
      </c>
      <c r="M18" s="265">
        <v>0</v>
      </c>
      <c r="N18" s="265">
        <v>0</v>
      </c>
      <c r="O18" s="265">
        <v>0</v>
      </c>
      <c r="P18" s="265">
        <v>0</v>
      </c>
      <c r="Q18" s="265">
        <v>0.30625696336556113</v>
      </c>
      <c r="R18" s="265">
        <v>0.60795863744816037</v>
      </c>
      <c r="T18" s="266">
        <v>0.91421560081372144</v>
      </c>
      <c r="V18" s="192"/>
      <c r="X18" s="290">
        <v>-2.1840552281321194E-3</v>
      </c>
      <c r="Y18" s="290">
        <v>8.6270181511218694E-2</v>
      </c>
      <c r="Z18" s="290">
        <v>0.31013584239476083</v>
      </c>
      <c r="AA18" s="290">
        <v>3.123859004045405E-2</v>
      </c>
      <c r="AB18" s="290">
        <v>8.8627788205508734E-2</v>
      </c>
      <c r="AC18" s="290">
        <v>8.5875247100000021</v>
      </c>
      <c r="AD18" s="290">
        <v>5.0858937088272711</v>
      </c>
      <c r="AE18" s="290">
        <v>0.15379715213762274</v>
      </c>
      <c r="AF18" s="274"/>
      <c r="AG18" s="276">
        <f t="shared" si="0"/>
        <v>14.341303917888705</v>
      </c>
      <c r="AH18" s="292"/>
      <c r="AI18" s="276">
        <v>1.3956560820934043</v>
      </c>
      <c r="AJ18" s="124"/>
    </row>
    <row r="19" spans="2:36" ht="14.6">
      <c r="B19" s="124">
        <v>9</v>
      </c>
      <c r="C19" s="192"/>
      <c r="D19" s="192"/>
      <c r="E19" s="192"/>
      <c r="F19" s="259"/>
      <c r="G19" s="259">
        <v>2023</v>
      </c>
      <c r="I19" s="259"/>
      <c r="J19" s="259"/>
      <c r="K19" s="265">
        <v>0</v>
      </c>
      <c r="L19" s="265">
        <v>0</v>
      </c>
      <c r="M19" s="265">
        <v>0</v>
      </c>
      <c r="N19" s="265">
        <v>0</v>
      </c>
      <c r="O19" s="265">
        <v>0</v>
      </c>
      <c r="P19" s="265">
        <v>0</v>
      </c>
      <c r="Q19" s="265">
        <v>3.6824484573013359</v>
      </c>
      <c r="R19" s="265">
        <v>7.3101238971722706</v>
      </c>
      <c r="T19" s="266">
        <v>10.992572354473607</v>
      </c>
      <c r="V19" s="192"/>
      <c r="X19" s="290">
        <v>8.0810043440888393E-2</v>
      </c>
      <c r="Y19" s="290">
        <v>5.023327024703874E-2</v>
      </c>
      <c r="Z19" s="290">
        <v>9.1730319581548994E-2</v>
      </c>
      <c r="AA19" s="290">
        <v>3.8573815964255513E-2</v>
      </c>
      <c r="AB19" s="290">
        <v>2.8855558950630751E-2</v>
      </c>
      <c r="AC19" s="290">
        <v>-0.40670206999999986</v>
      </c>
      <c r="AD19" s="290">
        <v>0.2785061217016892</v>
      </c>
      <c r="AE19" s="290">
        <v>7.0568435641800153E-3</v>
      </c>
      <c r="AF19" s="274"/>
      <c r="AG19" s="276">
        <f t="shared" si="0"/>
        <v>0.16906390345023176</v>
      </c>
      <c r="AH19" s="292"/>
      <c r="AI19" s="276">
        <v>0.39650840933347592</v>
      </c>
      <c r="AJ19" s="124"/>
    </row>
    <row r="20" spans="2:36" ht="15" thickBot="1">
      <c r="C20" s="192"/>
      <c r="D20" s="192"/>
      <c r="E20" s="261"/>
      <c r="F20" s="278"/>
      <c r="G20" s="192"/>
      <c r="H20" s="192"/>
      <c r="I20" s="192"/>
      <c r="J20" s="192"/>
      <c r="K20" s="267">
        <f>SUM(K9:K19)</f>
        <v>0</v>
      </c>
      <c r="L20" s="267">
        <f t="shared" ref="L20:R20" si="1">SUM(L9:L19)</f>
        <v>0</v>
      </c>
      <c r="M20" s="267">
        <f t="shared" si="1"/>
        <v>0</v>
      </c>
      <c r="N20" s="267">
        <f t="shared" si="1"/>
        <v>0</v>
      </c>
      <c r="O20" s="267">
        <f t="shared" si="1"/>
        <v>0</v>
      </c>
      <c r="P20" s="267">
        <f t="shared" si="1"/>
        <v>14.619667519425899</v>
      </c>
      <c r="Q20" s="267">
        <f t="shared" si="1"/>
        <v>43.725431340834163</v>
      </c>
      <c r="R20" s="267">
        <f t="shared" si="1"/>
        <v>58.476117761446716</v>
      </c>
      <c r="T20" s="268">
        <f>SUM(T9:T19)</f>
        <v>116.82121662170677</v>
      </c>
      <c r="V20" s="192"/>
      <c r="X20" s="291">
        <f>SUM(X9:X19)</f>
        <v>-8.5560363562075761</v>
      </c>
      <c r="Y20" s="291">
        <f t="shared" ref="Y20:AE20" si="2">SUM(Y9:Y19)</f>
        <v>0.3112278700088269</v>
      </c>
      <c r="Z20" s="291">
        <f t="shared" si="2"/>
        <v>15.14205489663998</v>
      </c>
      <c r="AA20" s="291">
        <f t="shared" si="2"/>
        <v>0.40228919193032242</v>
      </c>
      <c r="AB20" s="291">
        <f t="shared" si="2"/>
        <v>2.240428041381116</v>
      </c>
      <c r="AC20" s="291">
        <f t="shared" si="2"/>
        <v>12.142525130000003</v>
      </c>
      <c r="AD20" s="291">
        <f t="shared" si="2"/>
        <v>12.995489817680387</v>
      </c>
      <c r="AE20" s="291">
        <f t="shared" si="2"/>
        <v>3.2921475069351951</v>
      </c>
      <c r="AF20" s="274"/>
      <c r="AG20" s="268">
        <f>SUM(AG9:AG19)</f>
        <v>37.970126098368247</v>
      </c>
      <c r="AH20" s="292"/>
      <c r="AI20" s="268">
        <f>SUM(AI9:AI19)</f>
        <v>4.7868319838015356</v>
      </c>
      <c r="AJ20" s="124"/>
    </row>
    <row r="21" spans="2:36" ht="12.9" thickTop="1">
      <c r="C21" s="192"/>
      <c r="D21" s="192"/>
      <c r="E21" s="192"/>
      <c r="F21" s="192"/>
      <c r="G21" s="192"/>
      <c r="H21" s="192"/>
      <c r="I21" s="192"/>
      <c r="J21" s="192"/>
      <c r="K21" s="192"/>
      <c r="V21" s="192"/>
      <c r="AF21" s="124"/>
      <c r="AG21" s="292"/>
      <c r="AH21" s="292"/>
      <c r="AI21" s="292"/>
    </row>
    <row r="22" spans="2:36">
      <c r="S22" s="238" t="s">
        <v>226</v>
      </c>
      <c r="T22" s="282">
        <f>T20*'Universal data'!$C$52</f>
        <v>88.970761151999994</v>
      </c>
      <c r="U22" s="282"/>
      <c r="V22" s="192"/>
      <c r="AF22" s="238" t="s">
        <v>226</v>
      </c>
      <c r="AG22" s="282">
        <f>AG20*'Universal data'!$C$52</f>
        <v>28.917957865040137</v>
      </c>
      <c r="AH22" s="282"/>
      <c r="AI22" s="282">
        <f>AI20*'Universal data'!$C$52</f>
        <v>3.6456398710919236</v>
      </c>
    </row>
    <row r="23" spans="2:36">
      <c r="V23" s="192"/>
      <c r="AF23" s="124"/>
      <c r="AG23" s="292"/>
      <c r="AH23" s="292"/>
      <c r="AI23" s="292"/>
    </row>
    <row r="24" spans="2:36">
      <c r="B24" s="261" t="s">
        <v>256</v>
      </c>
      <c r="C24" s="192"/>
      <c r="D24" s="192"/>
      <c r="E24" s="192"/>
      <c r="F24" s="192"/>
      <c r="G24" s="192"/>
      <c r="H24" s="192"/>
      <c r="I24" s="192"/>
      <c r="J24" s="192"/>
      <c r="K24" s="124"/>
      <c r="L24" s="124"/>
      <c r="M24" s="124"/>
      <c r="N24" s="124"/>
      <c r="O24" s="124"/>
      <c r="P24" s="124"/>
      <c r="Q24" s="124"/>
      <c r="R24" s="124"/>
      <c r="S24" s="124"/>
      <c r="T24" s="124"/>
      <c r="U24" s="192"/>
      <c r="V24" s="192"/>
      <c r="W24" s="192"/>
      <c r="X24" s="124"/>
      <c r="Y24" s="124"/>
      <c r="Z24" s="124"/>
      <c r="AA24" s="124"/>
      <c r="AB24" s="124"/>
      <c r="AC24" s="124"/>
      <c r="AD24" s="124"/>
      <c r="AE24" s="124"/>
      <c r="AF24" s="124"/>
      <c r="AG24" s="293"/>
      <c r="AH24" s="292"/>
      <c r="AI24" s="293"/>
    </row>
    <row r="25" spans="2:36" ht="14.6">
      <c r="B25" s="192"/>
      <c r="C25" s="192"/>
      <c r="D25" s="192"/>
      <c r="E25" s="192"/>
      <c r="F25" s="192"/>
      <c r="G25" s="192"/>
      <c r="H25" s="192"/>
      <c r="I25" s="192"/>
      <c r="J25" s="192"/>
      <c r="K25" s="262" t="str">
        <f>K7</f>
        <v>ALLOWANCES (£m, 2018/19 prices)</v>
      </c>
      <c r="L25" s="263"/>
      <c r="M25" s="263"/>
      <c r="N25" s="263"/>
      <c r="O25" s="263"/>
      <c r="P25" s="263"/>
      <c r="Q25" s="263"/>
      <c r="R25" s="263"/>
      <c r="S25" s="124"/>
      <c r="T25" s="263"/>
      <c r="U25" s="192"/>
      <c r="V25" s="192"/>
      <c r="W25" s="192"/>
      <c r="X25" s="272" t="str">
        <f>X7</f>
        <v>EXPENDITURE (£m, 2018/19 prices)</v>
      </c>
      <c r="Y25" s="273"/>
      <c r="Z25" s="273"/>
      <c r="AA25" s="273"/>
      <c r="AB25" s="273"/>
      <c r="AC25" s="273"/>
      <c r="AD25" s="273"/>
      <c r="AE25" s="273"/>
      <c r="AF25" s="274"/>
      <c r="AG25" s="276"/>
      <c r="AH25" s="292"/>
      <c r="AI25" s="276"/>
    </row>
    <row r="26" spans="2:36" ht="29.15">
      <c r="B26" s="645" t="s">
        <v>556</v>
      </c>
      <c r="C26" s="192"/>
      <c r="D26" s="192"/>
      <c r="E26" s="192"/>
      <c r="F26" s="258"/>
      <c r="G26" s="257" t="s">
        <v>254</v>
      </c>
      <c r="H26" s="257"/>
      <c r="I26" s="257"/>
      <c r="J26" s="257"/>
      <c r="K26" s="264" t="s">
        <v>39</v>
      </c>
      <c r="L26" s="264" t="s">
        <v>40</v>
      </c>
      <c r="M26" s="264" t="s">
        <v>41</v>
      </c>
      <c r="N26" s="264" t="s">
        <v>42</v>
      </c>
      <c r="O26" s="264" t="s">
        <v>43</v>
      </c>
      <c r="P26" s="264" t="s">
        <v>44</v>
      </c>
      <c r="Q26" s="264" t="s">
        <v>45</v>
      </c>
      <c r="R26" s="264" t="s">
        <v>46</v>
      </c>
      <c r="S26" s="124"/>
      <c r="T26" s="264" t="str">
        <f>T8</f>
        <v>T1 Total</v>
      </c>
      <c r="U26" s="192"/>
      <c r="V26" s="192"/>
      <c r="W26" s="192"/>
      <c r="X26" s="270" t="s">
        <v>39</v>
      </c>
      <c r="Y26" s="270" t="s">
        <v>40</v>
      </c>
      <c r="Z26" s="270" t="s">
        <v>41</v>
      </c>
      <c r="AA26" s="270" t="s">
        <v>42</v>
      </c>
      <c r="AB26" s="270" t="s">
        <v>43</v>
      </c>
      <c r="AC26" s="270" t="s">
        <v>44</v>
      </c>
      <c r="AD26" s="270" t="s">
        <v>45</v>
      </c>
      <c r="AE26" s="270" t="s">
        <v>46</v>
      </c>
      <c r="AF26" s="274"/>
      <c r="AG26" s="276" t="str">
        <f>T26</f>
        <v>T1 Total</v>
      </c>
      <c r="AH26" s="292"/>
      <c r="AI26" s="276" t="str">
        <f>AI8</f>
        <v>T1+2 period</v>
      </c>
    </row>
    <row r="27" spans="2:36" ht="14.6">
      <c r="B27" s="597">
        <v>10</v>
      </c>
      <c r="C27" s="192"/>
      <c r="D27" s="192"/>
      <c r="E27" s="192"/>
      <c r="F27" s="259"/>
      <c r="G27" s="259">
        <v>2022</v>
      </c>
      <c r="H27" s="259"/>
      <c r="I27" s="259"/>
      <c r="J27" s="259"/>
      <c r="K27" s="265">
        <v>0</v>
      </c>
      <c r="L27" s="265">
        <v>0</v>
      </c>
      <c r="M27" s="265">
        <v>0</v>
      </c>
      <c r="N27" s="265">
        <v>0</v>
      </c>
      <c r="O27" s="265">
        <v>0</v>
      </c>
      <c r="P27" s="265">
        <v>0</v>
      </c>
      <c r="Q27" s="265">
        <v>2.4933244762977793</v>
      </c>
      <c r="R27" s="265">
        <v>2.4581956902895583</v>
      </c>
      <c r="S27" s="124"/>
      <c r="T27" s="266">
        <f>SUM(K27:R27)</f>
        <v>4.9515201665873381</v>
      </c>
      <c r="U27" s="124"/>
      <c r="V27" s="192"/>
      <c r="W27" s="124"/>
      <c r="X27" s="287">
        <v>0</v>
      </c>
      <c r="Y27" s="287">
        <v>0</v>
      </c>
      <c r="Z27" s="287">
        <v>0</v>
      </c>
      <c r="AA27" s="287">
        <v>0</v>
      </c>
      <c r="AB27" s="287">
        <v>0</v>
      </c>
      <c r="AC27" s="290">
        <v>0</v>
      </c>
      <c r="AD27" s="290">
        <v>0.29697948879142289</v>
      </c>
      <c r="AE27" s="290">
        <v>0.87862491668812204</v>
      </c>
      <c r="AF27" s="274"/>
      <c r="AG27" s="276">
        <f>SUM(X27:AE27)</f>
        <v>1.1756044054795449</v>
      </c>
      <c r="AH27" s="292"/>
      <c r="AI27" s="276">
        <v>0</v>
      </c>
    </row>
    <row r="28" spans="2:36" ht="14.6">
      <c r="B28" s="597">
        <v>11</v>
      </c>
      <c r="C28" s="192"/>
      <c r="D28" s="192"/>
      <c r="E28" s="192"/>
      <c r="F28" s="259"/>
      <c r="G28" s="259">
        <v>2023</v>
      </c>
      <c r="H28" s="259"/>
      <c r="I28" s="259"/>
      <c r="J28" s="259"/>
      <c r="K28" s="265">
        <v>0</v>
      </c>
      <c r="L28" s="265">
        <v>0</v>
      </c>
      <c r="M28" s="265">
        <v>0</v>
      </c>
      <c r="N28" s="265">
        <v>0</v>
      </c>
      <c r="O28" s="265">
        <v>0</v>
      </c>
      <c r="P28" s="265">
        <v>0</v>
      </c>
      <c r="Q28" s="265">
        <v>0</v>
      </c>
      <c r="R28" s="265">
        <v>2.5140637741597756</v>
      </c>
      <c r="S28" s="124"/>
      <c r="T28" s="266">
        <f>SUM(K28:R28)</f>
        <v>2.5140637741597756</v>
      </c>
      <c r="U28" s="124"/>
      <c r="V28" s="192"/>
      <c r="W28" s="124"/>
      <c r="X28" s="287">
        <v>0</v>
      </c>
      <c r="Y28" s="287">
        <v>0</v>
      </c>
      <c r="Z28" s="287">
        <v>0</v>
      </c>
      <c r="AA28" s="287">
        <v>0</v>
      </c>
      <c r="AB28" s="287">
        <v>0</v>
      </c>
      <c r="AC28" s="290">
        <v>0</v>
      </c>
      <c r="AD28" s="290">
        <v>0.17779680738827219</v>
      </c>
      <c r="AE28" s="290">
        <v>0.3677735247977123</v>
      </c>
      <c r="AF28" s="274"/>
      <c r="AG28" s="276">
        <f>SUM(X28:AE28)</f>
        <v>0.5455703321859845</v>
      </c>
      <c r="AH28" s="292"/>
      <c r="AI28" s="276">
        <v>13.408414547379087</v>
      </c>
    </row>
    <row r="29" spans="2:36" ht="14.6">
      <c r="B29" s="597">
        <v>12</v>
      </c>
      <c r="C29" s="192"/>
      <c r="D29" s="192"/>
      <c r="E29" s="192"/>
      <c r="F29" s="259"/>
      <c r="G29" s="259">
        <v>2023</v>
      </c>
      <c r="H29" s="259"/>
      <c r="I29" s="259"/>
      <c r="J29" s="259"/>
      <c r="K29" s="265">
        <v>0</v>
      </c>
      <c r="L29" s="265">
        <v>0</v>
      </c>
      <c r="M29" s="265">
        <v>0</v>
      </c>
      <c r="N29" s="265">
        <v>0</v>
      </c>
      <c r="O29" s="265">
        <v>0</v>
      </c>
      <c r="P29" s="265">
        <v>0</v>
      </c>
      <c r="Q29" s="265">
        <v>0</v>
      </c>
      <c r="R29" s="265">
        <v>2.5140637741597756</v>
      </c>
      <c r="S29" s="124"/>
      <c r="T29" s="266">
        <f>SUM(K29:R29)</f>
        <v>2.5140637741597756</v>
      </c>
      <c r="U29" s="124"/>
      <c r="V29" s="192"/>
      <c r="W29" s="124"/>
      <c r="X29" s="287">
        <v>0</v>
      </c>
      <c r="Y29" s="287">
        <v>0</v>
      </c>
      <c r="Z29" s="287">
        <v>0</v>
      </c>
      <c r="AA29" s="287">
        <v>0</v>
      </c>
      <c r="AB29" s="287">
        <v>0</v>
      </c>
      <c r="AC29" s="290">
        <v>0</v>
      </c>
      <c r="AD29" s="290">
        <v>9.7085595723956188E-4</v>
      </c>
      <c r="AE29" s="290">
        <v>5.6317580393140049E-3</v>
      </c>
      <c r="AF29" s="274"/>
      <c r="AG29" s="276">
        <f>SUM(X29:AE29)</f>
        <v>6.6026139965535665E-3</v>
      </c>
      <c r="AH29" s="292"/>
      <c r="AI29" s="276">
        <v>0.2677373319088262</v>
      </c>
    </row>
    <row r="30" spans="2:36" ht="14.6">
      <c r="B30" s="597">
        <v>13</v>
      </c>
      <c r="C30" s="192"/>
      <c r="D30" s="192"/>
      <c r="E30" s="192"/>
      <c r="F30" s="259"/>
      <c r="G30" s="259">
        <v>2023</v>
      </c>
      <c r="H30" s="259"/>
      <c r="I30" s="259"/>
      <c r="J30" s="259"/>
      <c r="K30" s="265">
        <v>0</v>
      </c>
      <c r="L30" s="265">
        <v>0</v>
      </c>
      <c r="M30" s="265">
        <v>0</v>
      </c>
      <c r="N30" s="265">
        <v>0</v>
      </c>
      <c r="O30" s="265">
        <v>0</v>
      </c>
      <c r="P30" s="265">
        <v>0</v>
      </c>
      <c r="Q30" s="265">
        <v>0</v>
      </c>
      <c r="R30" s="265">
        <v>2.5140637741597756</v>
      </c>
      <c r="S30" s="124"/>
      <c r="T30" s="266">
        <f>SUM(K30:R30)</f>
        <v>2.5140637741597756</v>
      </c>
      <c r="U30" s="124"/>
      <c r="V30" s="192"/>
      <c r="W30" s="124"/>
      <c r="X30" s="287">
        <v>0</v>
      </c>
      <c r="Y30" s="287">
        <v>0</v>
      </c>
      <c r="Z30" s="287">
        <v>0</v>
      </c>
      <c r="AA30" s="287">
        <v>0</v>
      </c>
      <c r="AB30" s="287">
        <v>0</v>
      </c>
      <c r="AC30" s="290">
        <v>2.1222399999999996E-3</v>
      </c>
      <c r="AD30" s="290">
        <v>0.10869033973595124</v>
      </c>
      <c r="AE30" s="290">
        <v>0.24799321289658388</v>
      </c>
      <c r="AF30" s="274"/>
      <c r="AG30" s="276">
        <f>SUM(X30:AE30)</f>
        <v>0.35880579263253509</v>
      </c>
      <c r="AH30" s="292"/>
      <c r="AI30" s="276">
        <v>4.3863330318474745</v>
      </c>
    </row>
    <row r="31" spans="2:36" ht="15" thickBot="1">
      <c r="B31" s="124"/>
      <c r="C31" s="192"/>
      <c r="D31" s="192"/>
      <c r="E31" s="261"/>
      <c r="F31" s="278"/>
      <c r="G31" s="192"/>
      <c r="H31" s="192"/>
      <c r="I31" s="192"/>
      <c r="J31" s="192"/>
      <c r="K31" s="267">
        <f t="shared" ref="K31:R31" si="3">SUM(K27:K30)</f>
        <v>0</v>
      </c>
      <c r="L31" s="267">
        <f t="shared" si="3"/>
        <v>0</v>
      </c>
      <c r="M31" s="267">
        <f t="shared" si="3"/>
        <v>0</v>
      </c>
      <c r="N31" s="267">
        <f t="shared" si="3"/>
        <v>0</v>
      </c>
      <c r="O31" s="267">
        <f t="shared" si="3"/>
        <v>0</v>
      </c>
      <c r="P31" s="267">
        <f t="shared" si="3"/>
        <v>0</v>
      </c>
      <c r="Q31" s="267">
        <f t="shared" si="3"/>
        <v>2.4933244762977793</v>
      </c>
      <c r="R31" s="267">
        <f t="shared" si="3"/>
        <v>10.000387012768885</v>
      </c>
      <c r="S31" s="124"/>
      <c r="T31" s="268">
        <f>SUM(T27:T30)</f>
        <v>12.493711489066666</v>
      </c>
      <c r="U31" s="124"/>
      <c r="V31" s="192"/>
      <c r="W31" s="124"/>
      <c r="X31" s="288">
        <f t="shared" ref="X31:AE31" si="4">SUM(X27:X30)</f>
        <v>0</v>
      </c>
      <c r="Y31" s="288">
        <f t="shared" si="4"/>
        <v>0</v>
      </c>
      <c r="Z31" s="288">
        <f t="shared" si="4"/>
        <v>0</v>
      </c>
      <c r="AA31" s="288">
        <f t="shared" si="4"/>
        <v>0</v>
      </c>
      <c r="AB31" s="288">
        <f t="shared" si="4"/>
        <v>0</v>
      </c>
      <c r="AC31" s="288">
        <f t="shared" si="4"/>
        <v>2.1222399999999996E-3</v>
      </c>
      <c r="AD31" s="288">
        <f t="shared" si="4"/>
        <v>0.58443749187288585</v>
      </c>
      <c r="AE31" s="288">
        <f t="shared" si="4"/>
        <v>1.500023412421732</v>
      </c>
      <c r="AF31" s="274"/>
      <c r="AG31" s="268">
        <f>SUM(AG27:AG30)</f>
        <v>2.0865831442946181</v>
      </c>
      <c r="AH31" s="292"/>
      <c r="AI31" s="268">
        <f>SUM(AI27:AI30)</f>
        <v>18.062484911135385</v>
      </c>
    </row>
    <row r="32" spans="2:36" ht="12.9" thickTop="1">
      <c r="V32" s="192"/>
      <c r="AG32" s="292"/>
      <c r="AH32" s="292"/>
      <c r="AI32" s="292"/>
    </row>
    <row r="33" spans="1:35">
      <c r="S33" s="238" t="s">
        <v>226</v>
      </c>
      <c r="T33" s="282">
        <f>T31*'Universal data'!$C$52</f>
        <v>9.5151810000000001</v>
      </c>
      <c r="U33" s="282"/>
      <c r="V33" s="192"/>
      <c r="W33" s="124"/>
      <c r="X33" s="124"/>
      <c r="Y33" s="124"/>
      <c r="Z33" s="124"/>
      <c r="AA33" s="124"/>
      <c r="AB33" s="124"/>
      <c r="AC33" s="124"/>
      <c r="AD33" s="124"/>
      <c r="AE33" s="124"/>
      <c r="AF33" s="238" t="s">
        <v>226</v>
      </c>
      <c r="AG33" s="282">
        <f>AG31*'Universal data'!$C$52</f>
        <v>1.5891367674759398</v>
      </c>
      <c r="AH33" s="282"/>
      <c r="AI33" s="282">
        <f>AI31*'Universal data'!$C$52</f>
        <v>13.756345613521239</v>
      </c>
    </row>
    <row r="34" spans="1:35">
      <c r="V34" s="192"/>
      <c r="W34" s="124"/>
      <c r="X34" s="124"/>
      <c r="Y34" s="124"/>
      <c r="Z34" s="124"/>
      <c r="AA34" s="124"/>
      <c r="AB34" s="124"/>
      <c r="AC34" s="124"/>
      <c r="AD34" s="124"/>
      <c r="AE34" s="124"/>
      <c r="AF34" s="124"/>
      <c r="AG34" s="292"/>
      <c r="AH34" s="292"/>
      <c r="AI34" s="292"/>
    </row>
    <row r="35" spans="1:35">
      <c r="B35" s="261" t="s">
        <v>257</v>
      </c>
      <c r="C35" s="192"/>
      <c r="D35" s="192"/>
      <c r="E35" s="192"/>
      <c r="F35" s="192"/>
      <c r="G35" s="192"/>
      <c r="H35" s="192"/>
      <c r="I35" s="192"/>
      <c r="J35" s="192"/>
      <c r="K35" s="124"/>
      <c r="L35" s="124"/>
      <c r="M35" s="124"/>
      <c r="N35" s="124"/>
      <c r="O35" s="124"/>
      <c r="P35" s="124"/>
      <c r="Q35" s="124"/>
      <c r="R35" s="124"/>
      <c r="S35" s="124"/>
      <c r="T35" s="124"/>
      <c r="U35" s="192"/>
      <c r="V35" s="192"/>
      <c r="W35" s="192"/>
      <c r="X35" s="124"/>
      <c r="Y35" s="124"/>
      <c r="Z35" s="124"/>
      <c r="AA35" s="124"/>
      <c r="AB35" s="124"/>
      <c r="AC35" s="124"/>
      <c r="AD35" s="124"/>
      <c r="AE35" s="124"/>
      <c r="AF35" s="124"/>
      <c r="AG35" s="293"/>
      <c r="AH35" s="292"/>
      <c r="AI35" s="293"/>
    </row>
    <row r="36" spans="1:35" ht="14.6">
      <c r="B36" s="192"/>
      <c r="C36" s="192"/>
      <c r="D36" s="192"/>
      <c r="E36" s="192"/>
      <c r="F36" s="192"/>
      <c r="G36" s="610"/>
      <c r="H36" s="192"/>
      <c r="I36" s="192"/>
      <c r="J36" s="192"/>
      <c r="K36" s="262" t="str">
        <f>K7</f>
        <v>ALLOWANCES (£m, 2018/19 prices)</v>
      </c>
      <c r="L36" s="263"/>
      <c r="M36" s="263"/>
      <c r="N36" s="263"/>
      <c r="O36" s="263"/>
      <c r="P36" s="263"/>
      <c r="Q36" s="263"/>
      <c r="R36" s="263"/>
      <c r="S36" s="124"/>
      <c r="T36" s="263"/>
      <c r="U36" s="192"/>
      <c r="V36" s="192"/>
      <c r="W36" s="192"/>
      <c r="X36" s="272" t="str">
        <f>X7</f>
        <v>EXPENDITURE (£m, 2018/19 prices)</v>
      </c>
      <c r="Y36" s="273"/>
      <c r="Z36" s="273"/>
      <c r="AA36" s="273"/>
      <c r="AB36" s="273"/>
      <c r="AC36" s="273"/>
      <c r="AD36" s="273"/>
      <c r="AE36" s="273"/>
      <c r="AF36" s="274"/>
      <c r="AG36" s="276"/>
      <c r="AH36" s="292"/>
      <c r="AI36" s="276"/>
    </row>
    <row r="37" spans="1:35" ht="29.15">
      <c r="B37" s="645" t="s">
        <v>556</v>
      </c>
      <c r="C37" s="192"/>
      <c r="D37" s="258" t="s">
        <v>258</v>
      </c>
      <c r="E37" s="610"/>
      <c r="F37" s="258" t="s">
        <v>254</v>
      </c>
      <c r="G37" s="610"/>
      <c r="H37" s="610"/>
      <c r="I37" s="610"/>
      <c r="J37" s="610"/>
      <c r="K37" s="264" t="s">
        <v>39</v>
      </c>
      <c r="L37" s="264" t="s">
        <v>40</v>
      </c>
      <c r="M37" s="264" t="s">
        <v>41</v>
      </c>
      <c r="N37" s="264" t="s">
        <v>42</v>
      </c>
      <c r="O37" s="264" t="s">
        <v>43</v>
      </c>
      <c r="P37" s="264" t="s">
        <v>44</v>
      </c>
      <c r="Q37" s="264" t="s">
        <v>45</v>
      </c>
      <c r="R37" s="264" t="s">
        <v>46</v>
      </c>
      <c r="S37" s="124"/>
      <c r="T37" s="264" t="str">
        <f>T8</f>
        <v>T1 Total</v>
      </c>
      <c r="U37" s="192"/>
      <c r="V37" s="192"/>
      <c r="W37" s="192"/>
      <c r="X37" s="270" t="s">
        <v>39</v>
      </c>
      <c r="Y37" s="270" t="s">
        <v>40</v>
      </c>
      <c r="Z37" s="270" t="s">
        <v>41</v>
      </c>
      <c r="AA37" s="270" t="s">
        <v>42</v>
      </c>
      <c r="AB37" s="270" t="s">
        <v>43</v>
      </c>
      <c r="AC37" s="270" t="s">
        <v>44</v>
      </c>
      <c r="AD37" s="270" t="s">
        <v>45</v>
      </c>
      <c r="AE37" s="270" t="s">
        <v>46</v>
      </c>
      <c r="AF37" s="274"/>
      <c r="AG37" s="276" t="str">
        <f>T37</f>
        <v>T1 Total</v>
      </c>
      <c r="AH37" s="294"/>
      <c r="AI37" s="276" t="str">
        <f>AI8</f>
        <v>T1+2 period</v>
      </c>
    </row>
    <row r="38" spans="1:35" ht="14.6">
      <c r="A38" s="124"/>
      <c r="B38" s="642">
        <v>14</v>
      </c>
      <c r="C38" s="192"/>
      <c r="D38" s="281" t="s">
        <v>261</v>
      </c>
      <c r="E38" s="610"/>
      <c r="F38" s="281">
        <v>2023</v>
      </c>
      <c r="G38" s="610"/>
      <c r="H38" s="610"/>
      <c r="I38" s="610"/>
      <c r="J38" s="610"/>
      <c r="K38" s="265">
        <v>0</v>
      </c>
      <c r="L38" s="265">
        <v>0</v>
      </c>
      <c r="M38" s="265">
        <v>0</v>
      </c>
      <c r="N38" s="265">
        <v>0</v>
      </c>
      <c r="O38" s="265">
        <v>0</v>
      </c>
      <c r="P38" s="265">
        <v>0</v>
      </c>
      <c r="Q38" s="265">
        <v>8.7389957370956708</v>
      </c>
      <c r="R38" s="265">
        <v>14.318989895936678</v>
      </c>
      <c r="S38" s="124"/>
      <c r="T38" s="266">
        <f t="shared" ref="T38:T56" si="5">SUM(K38:R38)</f>
        <v>23.057985633032349</v>
      </c>
      <c r="U38" s="124"/>
      <c r="V38" s="192"/>
      <c r="W38" s="124"/>
      <c r="X38" s="290">
        <v>0</v>
      </c>
      <c r="Y38" s="290">
        <v>0</v>
      </c>
      <c r="Z38" s="290">
        <v>0</v>
      </c>
      <c r="AA38" s="290">
        <v>0</v>
      </c>
      <c r="AB38" s="290">
        <v>0</v>
      </c>
      <c r="AC38" s="290">
        <v>0</v>
      </c>
      <c r="AD38" s="290">
        <v>0</v>
      </c>
      <c r="AE38" s="290">
        <v>0.47812097939919007</v>
      </c>
      <c r="AF38" s="274"/>
      <c r="AG38" s="276">
        <f t="shared" ref="AG38:AG56" si="6">SUM(X38:AE38)</f>
        <v>0.47812097939919007</v>
      </c>
      <c r="AH38" s="294"/>
      <c r="AI38" s="276">
        <v>16.460380277314595</v>
      </c>
    </row>
    <row r="39" spans="1:35" ht="14.6">
      <c r="A39" s="124"/>
      <c r="B39" s="642">
        <v>15</v>
      </c>
      <c r="C39" s="124"/>
      <c r="D39" s="281" t="s">
        <v>251</v>
      </c>
      <c r="E39" s="610"/>
      <c r="F39" s="281">
        <v>2023</v>
      </c>
      <c r="G39" s="610"/>
      <c r="H39" s="610"/>
      <c r="I39" s="610"/>
      <c r="J39" s="610"/>
      <c r="K39" s="265">
        <v>0</v>
      </c>
      <c r="L39" s="265">
        <v>0</v>
      </c>
      <c r="M39" s="265">
        <v>0</v>
      </c>
      <c r="N39" s="265">
        <v>0</v>
      </c>
      <c r="O39" s="265">
        <v>0</v>
      </c>
      <c r="P39" s="265">
        <v>0</v>
      </c>
      <c r="Q39" s="265">
        <v>54.069254311575619</v>
      </c>
      <c r="R39" s="265">
        <v>88.593372678035678</v>
      </c>
      <c r="S39" s="124"/>
      <c r="T39" s="266">
        <f t="shared" si="5"/>
        <v>142.66262698961128</v>
      </c>
      <c r="U39" s="124"/>
      <c r="V39" s="192"/>
      <c r="W39" s="124"/>
      <c r="X39" s="290">
        <v>0</v>
      </c>
      <c r="Y39" s="290">
        <v>0</v>
      </c>
      <c r="Z39" s="290">
        <v>0</v>
      </c>
      <c r="AA39" s="290">
        <v>0</v>
      </c>
      <c r="AB39" s="290">
        <v>0</v>
      </c>
      <c r="AC39" s="290">
        <v>0</v>
      </c>
      <c r="AD39" s="290">
        <v>0.52279131164884685</v>
      </c>
      <c r="AE39" s="290">
        <v>0.74763717628294835</v>
      </c>
      <c r="AF39" s="274"/>
      <c r="AG39" s="276">
        <f t="shared" si="6"/>
        <v>1.2704284879317953</v>
      </c>
      <c r="AH39" s="294"/>
      <c r="AI39" s="276">
        <v>25.061316483763257</v>
      </c>
    </row>
    <row r="40" spans="1:35" ht="14.6">
      <c r="A40" s="124"/>
      <c r="B40" s="642">
        <v>16</v>
      </c>
      <c r="C40" s="124"/>
      <c r="D40" s="281"/>
      <c r="E40" s="610"/>
      <c r="F40" s="281"/>
      <c r="G40" s="610"/>
      <c r="H40" s="610"/>
      <c r="I40" s="610"/>
      <c r="J40" s="610"/>
      <c r="K40" s="265">
        <v>0</v>
      </c>
      <c r="L40" s="265">
        <v>0</v>
      </c>
      <c r="M40" s="265">
        <v>0</v>
      </c>
      <c r="N40" s="265">
        <v>0</v>
      </c>
      <c r="O40" s="265">
        <v>0</v>
      </c>
      <c r="P40" s="265">
        <v>0</v>
      </c>
      <c r="Q40" s="265">
        <v>0</v>
      </c>
      <c r="R40" s="265">
        <v>0</v>
      </c>
      <c r="S40" s="124"/>
      <c r="T40" s="266">
        <f t="shared" si="5"/>
        <v>0</v>
      </c>
      <c r="U40" s="124"/>
      <c r="V40" s="192"/>
      <c r="W40" s="124"/>
      <c r="X40" s="290">
        <v>0</v>
      </c>
      <c r="Y40" s="290">
        <v>0</v>
      </c>
      <c r="Z40" s="290">
        <v>0</v>
      </c>
      <c r="AA40" s="290">
        <v>0</v>
      </c>
      <c r="AB40" s="290">
        <v>0</v>
      </c>
      <c r="AC40" s="290">
        <v>0</v>
      </c>
      <c r="AD40" s="290">
        <v>0.46811535547065258</v>
      </c>
      <c r="AE40" s="290">
        <v>0.13813235373805169</v>
      </c>
      <c r="AF40" s="274"/>
      <c r="AG40" s="276">
        <f t="shared" si="6"/>
        <v>0.6062477092087043</v>
      </c>
      <c r="AH40" s="294"/>
      <c r="AI40" s="276">
        <v>25.298486590515061</v>
      </c>
    </row>
    <row r="41" spans="1:35" ht="14.6">
      <c r="A41" s="124"/>
      <c r="B41" s="642">
        <v>17</v>
      </c>
      <c r="C41" s="124"/>
      <c r="D41" s="281" t="s">
        <v>262</v>
      </c>
      <c r="E41" s="610"/>
      <c r="F41" s="281">
        <v>2023</v>
      </c>
      <c r="G41" s="610"/>
      <c r="H41" s="610"/>
      <c r="I41" s="610"/>
      <c r="J41" s="610"/>
      <c r="K41" s="265">
        <v>0</v>
      </c>
      <c r="L41" s="265">
        <v>0</v>
      </c>
      <c r="M41" s="265">
        <v>0</v>
      </c>
      <c r="N41" s="265">
        <v>0</v>
      </c>
      <c r="O41" s="265">
        <v>0</v>
      </c>
      <c r="P41" s="265">
        <v>0</v>
      </c>
      <c r="Q41" s="265">
        <v>3.7020881824069427</v>
      </c>
      <c r="R41" s="265">
        <v>6.0659330742927073</v>
      </c>
      <c r="S41" s="124"/>
      <c r="T41" s="266">
        <f t="shared" si="5"/>
        <v>9.7680212566996509</v>
      </c>
      <c r="U41" s="124"/>
      <c r="V41" s="192"/>
      <c r="W41" s="124"/>
      <c r="X41" s="290">
        <v>0</v>
      </c>
      <c r="Y41" s="290">
        <v>2.1840552281321194E-3</v>
      </c>
      <c r="Z41" s="290">
        <v>0</v>
      </c>
      <c r="AA41" s="290">
        <v>0</v>
      </c>
      <c r="AB41" s="290">
        <v>0</v>
      </c>
      <c r="AC41" s="290">
        <v>0</v>
      </c>
      <c r="AD41" s="290">
        <v>0</v>
      </c>
      <c r="AE41" s="290">
        <v>0.26914029692788205</v>
      </c>
      <c r="AF41" s="274"/>
      <c r="AG41" s="276">
        <f t="shared" si="6"/>
        <v>0.27132435215601419</v>
      </c>
      <c r="AH41" s="294"/>
      <c r="AI41" s="276">
        <v>30.760816260366209</v>
      </c>
    </row>
    <row r="42" spans="1:35" ht="14.6">
      <c r="A42" s="124"/>
      <c r="B42" s="642">
        <v>18</v>
      </c>
      <c r="C42" s="124"/>
      <c r="D42" s="281" t="s">
        <v>259</v>
      </c>
      <c r="E42" s="610"/>
      <c r="F42" s="281">
        <v>2023</v>
      </c>
      <c r="G42" s="610"/>
      <c r="H42" s="610"/>
      <c r="I42" s="610"/>
      <c r="J42" s="610"/>
      <c r="K42" s="265">
        <v>0</v>
      </c>
      <c r="L42" s="265">
        <v>0</v>
      </c>
      <c r="M42" s="265">
        <v>0</v>
      </c>
      <c r="N42" s="265">
        <v>0</v>
      </c>
      <c r="O42" s="265">
        <v>0</v>
      </c>
      <c r="P42" s="265">
        <v>0</v>
      </c>
      <c r="Q42" s="265">
        <v>8.395232354257594</v>
      </c>
      <c r="R42" s="265">
        <v>13.755727874357147</v>
      </c>
      <c r="S42" s="124"/>
      <c r="T42" s="266">
        <f t="shared" si="5"/>
        <v>22.150960228614743</v>
      </c>
      <c r="U42" s="124"/>
      <c r="V42" s="192"/>
      <c r="W42" s="124"/>
      <c r="X42" s="290">
        <v>0</v>
      </c>
      <c r="Y42" s="290">
        <v>0</v>
      </c>
      <c r="Z42" s="290">
        <v>0</v>
      </c>
      <c r="AA42" s="290">
        <v>0</v>
      </c>
      <c r="AB42" s="290">
        <v>0</v>
      </c>
      <c r="AC42" s="290">
        <v>0</v>
      </c>
      <c r="AD42" s="290">
        <v>0</v>
      </c>
      <c r="AE42" s="290">
        <v>2.070877884742036E-2</v>
      </c>
      <c r="AF42" s="274"/>
      <c r="AG42" s="276">
        <f t="shared" si="6"/>
        <v>2.070877884742036E-2</v>
      </c>
      <c r="AH42" s="294"/>
      <c r="AI42" s="276">
        <v>5.787861987106659</v>
      </c>
    </row>
    <row r="43" spans="1:35" ht="14.6">
      <c r="A43" s="124"/>
      <c r="B43" s="642">
        <v>19</v>
      </c>
      <c r="C43" s="124"/>
      <c r="D43" s="281" t="s">
        <v>252</v>
      </c>
      <c r="E43" s="610"/>
      <c r="F43" s="281">
        <v>2023</v>
      </c>
      <c r="G43" s="610"/>
      <c r="H43" s="610"/>
      <c r="I43" s="610"/>
      <c r="J43" s="610"/>
      <c r="K43" s="265">
        <v>0</v>
      </c>
      <c r="L43" s="265">
        <v>0</v>
      </c>
      <c r="M43" s="265">
        <v>0</v>
      </c>
      <c r="N43" s="265">
        <v>0</v>
      </c>
      <c r="O43" s="265">
        <v>0</v>
      </c>
      <c r="P43" s="265">
        <v>0</v>
      </c>
      <c r="Q43" s="265">
        <v>1.1793836775223612</v>
      </c>
      <c r="R43" s="265">
        <v>1.9324397756815672</v>
      </c>
      <c r="S43" s="124"/>
      <c r="T43" s="266">
        <f t="shared" si="5"/>
        <v>3.1118234532039284</v>
      </c>
      <c r="U43" s="124"/>
      <c r="V43" s="192"/>
      <c r="W43" s="124"/>
      <c r="X43" s="290">
        <v>0</v>
      </c>
      <c r="Y43" s="290">
        <v>0</v>
      </c>
      <c r="Z43" s="290">
        <v>0</v>
      </c>
      <c r="AA43" s="290">
        <v>0</v>
      </c>
      <c r="AB43" s="290">
        <v>0</v>
      </c>
      <c r="AC43" s="290">
        <v>0</v>
      </c>
      <c r="AD43" s="290">
        <v>0</v>
      </c>
      <c r="AE43" s="290">
        <v>0</v>
      </c>
      <c r="AF43" s="274"/>
      <c r="AG43" s="276">
        <f t="shared" si="6"/>
        <v>0</v>
      </c>
      <c r="AH43" s="294"/>
      <c r="AI43" s="276">
        <v>0</v>
      </c>
    </row>
    <row r="44" spans="1:35" ht="14.6">
      <c r="A44" s="124"/>
      <c r="B44" s="642">
        <v>20</v>
      </c>
      <c r="C44" s="192"/>
      <c r="D44" s="281" t="s">
        <v>259</v>
      </c>
      <c r="E44" s="610"/>
      <c r="F44" s="281">
        <v>2022</v>
      </c>
      <c r="G44" s="610"/>
      <c r="H44" s="610"/>
      <c r="I44" s="610"/>
      <c r="J44" s="610"/>
      <c r="K44" s="265">
        <v>0</v>
      </c>
      <c r="L44" s="265">
        <v>0</v>
      </c>
      <c r="M44" s="265">
        <v>0</v>
      </c>
      <c r="N44" s="265">
        <v>0</v>
      </c>
      <c r="O44" s="265">
        <v>0</v>
      </c>
      <c r="P44" s="265">
        <v>11.20596141271475</v>
      </c>
      <c r="Q44" s="265">
        <v>18.345327424493213</v>
      </c>
      <c r="R44" s="265">
        <v>26.323966733418079</v>
      </c>
      <c r="S44" s="124"/>
      <c r="T44" s="266">
        <f t="shared" si="5"/>
        <v>55.875255570626038</v>
      </c>
      <c r="U44" s="124"/>
      <c r="V44" s="192"/>
      <c r="W44" s="124"/>
      <c r="X44" s="290">
        <v>0</v>
      </c>
      <c r="Y44" s="290">
        <v>0</v>
      </c>
      <c r="Z44" s="290">
        <v>0</v>
      </c>
      <c r="AA44" s="290">
        <v>0</v>
      </c>
      <c r="AB44" s="290">
        <v>0</v>
      </c>
      <c r="AC44" s="290">
        <v>3.0600100000000002E-3</v>
      </c>
      <c r="AD44" s="290">
        <v>0.2406803790267788</v>
      </c>
      <c r="AE44" s="290">
        <v>2.5535330640749234</v>
      </c>
      <c r="AF44" s="274"/>
      <c r="AG44" s="276">
        <f t="shared" si="6"/>
        <v>2.7972734531017021</v>
      </c>
      <c r="AH44" s="294"/>
      <c r="AI44" s="276">
        <v>3.7340017832106041</v>
      </c>
    </row>
    <row r="45" spans="1:35" ht="14.6">
      <c r="A45" s="124"/>
      <c r="B45" s="642">
        <v>21</v>
      </c>
      <c r="C45" s="192"/>
      <c r="D45" s="281" t="s">
        <v>260</v>
      </c>
      <c r="E45" s="610"/>
      <c r="F45" s="281">
        <v>2022</v>
      </c>
      <c r="G45" s="610"/>
      <c r="H45" s="610"/>
      <c r="I45" s="610"/>
      <c r="J45" s="610"/>
      <c r="K45" s="265">
        <v>0</v>
      </c>
      <c r="L45" s="265">
        <v>0</v>
      </c>
      <c r="M45" s="265">
        <v>0</v>
      </c>
      <c r="N45" s="265">
        <v>0</v>
      </c>
      <c r="O45" s="265">
        <v>0</v>
      </c>
      <c r="P45" s="265">
        <v>3.2907823620691055</v>
      </c>
      <c r="Q45" s="265">
        <v>5.3873538995419041</v>
      </c>
      <c r="R45" s="265">
        <v>7.7303894093135215</v>
      </c>
      <c r="S45" s="124"/>
      <c r="T45" s="266">
        <f t="shared" si="5"/>
        <v>16.408525670924529</v>
      </c>
      <c r="U45" s="124"/>
      <c r="V45" s="192"/>
      <c r="W45" s="124"/>
      <c r="X45" s="290">
        <v>0</v>
      </c>
      <c r="Y45" s="290">
        <v>0</v>
      </c>
      <c r="Z45" s="290">
        <v>0</v>
      </c>
      <c r="AA45" s="290">
        <v>0</v>
      </c>
      <c r="AB45" s="290">
        <v>0</v>
      </c>
      <c r="AC45" s="290">
        <v>0</v>
      </c>
      <c r="AD45" s="290">
        <v>0</v>
      </c>
      <c r="AE45" s="290">
        <v>0</v>
      </c>
      <c r="AF45" s="274"/>
      <c r="AG45" s="276">
        <f t="shared" si="6"/>
        <v>0</v>
      </c>
      <c r="AH45" s="294"/>
      <c r="AI45" s="276">
        <v>0</v>
      </c>
    </row>
    <row r="46" spans="1:35" ht="14.6">
      <c r="A46" s="124"/>
      <c r="B46" s="642">
        <v>22</v>
      </c>
      <c r="C46" s="124"/>
      <c r="D46" s="281" t="s">
        <v>260</v>
      </c>
      <c r="E46" s="610"/>
      <c r="F46" s="281">
        <v>2023</v>
      </c>
      <c r="G46" s="610"/>
      <c r="H46" s="610"/>
      <c r="I46" s="610"/>
      <c r="J46" s="610"/>
      <c r="K46" s="265">
        <v>0</v>
      </c>
      <c r="L46" s="265">
        <v>0</v>
      </c>
      <c r="M46" s="265">
        <v>0</v>
      </c>
      <c r="N46" s="265">
        <v>0</v>
      </c>
      <c r="O46" s="265">
        <v>0</v>
      </c>
      <c r="P46" s="265">
        <v>0</v>
      </c>
      <c r="Q46" s="265">
        <v>2.9640982341677748</v>
      </c>
      <c r="R46" s="265">
        <v>4.856724267005724</v>
      </c>
      <c r="S46" s="124"/>
      <c r="T46" s="266">
        <f t="shared" si="5"/>
        <v>7.8208225011734989</v>
      </c>
      <c r="U46" s="124"/>
      <c r="V46" s="192"/>
      <c r="W46" s="124"/>
      <c r="X46" s="290">
        <v>0</v>
      </c>
      <c r="Y46" s="290">
        <v>0</v>
      </c>
      <c r="Z46" s="290">
        <v>0</v>
      </c>
      <c r="AA46" s="290">
        <v>0</v>
      </c>
      <c r="AB46" s="290">
        <v>0</v>
      </c>
      <c r="AC46" s="290">
        <v>0</v>
      </c>
      <c r="AD46" s="290">
        <v>0</v>
      </c>
      <c r="AE46" s="290">
        <v>0.14190137231158917</v>
      </c>
      <c r="AF46" s="274"/>
      <c r="AG46" s="276">
        <f t="shared" si="6"/>
        <v>0.14190137231158917</v>
      </c>
      <c r="AH46" s="294"/>
      <c r="AI46" s="276">
        <v>47.212298031638689</v>
      </c>
    </row>
    <row r="47" spans="1:35" ht="14.6">
      <c r="A47" s="124"/>
      <c r="B47" s="642">
        <v>23</v>
      </c>
      <c r="C47" s="124"/>
      <c r="D47" s="281" t="s">
        <v>252</v>
      </c>
      <c r="E47" s="610"/>
      <c r="F47" s="281">
        <v>2023</v>
      </c>
      <c r="G47" s="610"/>
      <c r="H47" s="610"/>
      <c r="I47" s="610"/>
      <c r="J47" s="610"/>
      <c r="K47" s="265">
        <v>0</v>
      </c>
      <c r="L47" s="265">
        <v>0</v>
      </c>
      <c r="M47" s="265">
        <v>0</v>
      </c>
      <c r="N47" s="265">
        <v>0</v>
      </c>
      <c r="O47" s="265">
        <v>0</v>
      </c>
      <c r="P47" s="265">
        <v>0</v>
      </c>
      <c r="Q47" s="265">
        <v>17.950913326994758</v>
      </c>
      <c r="R47" s="265">
        <v>29.412870115153261</v>
      </c>
      <c r="S47" s="124"/>
      <c r="T47" s="266">
        <f t="shared" si="5"/>
        <v>47.363783442148019</v>
      </c>
      <c r="U47" s="124"/>
      <c r="V47" s="192"/>
      <c r="W47" s="124"/>
      <c r="X47" s="290">
        <v>0</v>
      </c>
      <c r="Y47" s="290">
        <v>0</v>
      </c>
      <c r="Z47" s="290">
        <v>0</v>
      </c>
      <c r="AA47" s="290">
        <v>0</v>
      </c>
      <c r="AB47" s="290">
        <v>0</v>
      </c>
      <c r="AC47" s="290">
        <v>0</v>
      </c>
      <c r="AD47" s="290">
        <v>0</v>
      </c>
      <c r="AE47" s="290">
        <v>0</v>
      </c>
      <c r="AF47" s="274"/>
      <c r="AG47" s="276">
        <f t="shared" si="6"/>
        <v>0</v>
      </c>
      <c r="AH47" s="294"/>
      <c r="AI47" s="276">
        <v>0</v>
      </c>
    </row>
    <row r="48" spans="1:35" ht="14.6">
      <c r="A48" s="124"/>
      <c r="B48" s="643">
        <v>24</v>
      </c>
      <c r="C48" s="285"/>
      <c r="D48" s="286" t="s">
        <v>262</v>
      </c>
      <c r="E48" s="610"/>
      <c r="F48" s="286">
        <v>2023</v>
      </c>
      <c r="G48" s="610"/>
      <c r="H48" s="610"/>
      <c r="I48" s="610"/>
      <c r="J48" s="610"/>
      <c r="K48" s="265">
        <v>0</v>
      </c>
      <c r="L48" s="265">
        <v>0</v>
      </c>
      <c r="M48" s="265">
        <v>0</v>
      </c>
      <c r="N48" s="265">
        <v>0</v>
      </c>
      <c r="O48" s="265">
        <v>0</v>
      </c>
      <c r="P48" s="265">
        <v>0</v>
      </c>
      <c r="Q48" s="265">
        <v>1.1325574810900108</v>
      </c>
      <c r="R48" s="265">
        <v>1.855714273833136</v>
      </c>
      <c r="S48" s="124"/>
      <c r="T48" s="266">
        <f t="shared" si="5"/>
        <v>2.9882717549231468</v>
      </c>
      <c r="U48" s="124"/>
      <c r="V48" s="192"/>
      <c r="W48" s="124"/>
      <c r="X48" s="290">
        <v>3.6069672092601941</v>
      </c>
      <c r="Y48" s="290">
        <v>-4.4445523892488614</v>
      </c>
      <c r="Z48" s="290">
        <v>-3.5818505741366748</v>
      </c>
      <c r="AA48" s="290">
        <v>0.66627072654268793</v>
      </c>
      <c r="AB48" s="290">
        <v>5.1527783840412157E-2</v>
      </c>
      <c r="AC48" s="290">
        <v>-0.54424432999999972</v>
      </c>
      <c r="AD48" s="290">
        <v>0.65879720917296403</v>
      </c>
      <c r="AE48" s="290">
        <v>0.10377746649503169</v>
      </c>
      <c r="AF48" s="274"/>
      <c r="AG48" s="650">
        <f t="shared" si="6"/>
        <v>-3.4833068980742454</v>
      </c>
      <c r="AH48" s="294"/>
      <c r="AI48" s="276">
        <v>0.43667055866732279</v>
      </c>
    </row>
    <row r="49" spans="1:35" ht="14.6">
      <c r="A49" s="124"/>
      <c r="B49" s="642">
        <v>25</v>
      </c>
      <c r="C49" s="192"/>
      <c r="D49" s="281" t="s">
        <v>260</v>
      </c>
      <c r="E49" s="610"/>
      <c r="F49" s="281">
        <v>2022</v>
      </c>
      <c r="G49" s="610"/>
      <c r="H49" s="610"/>
      <c r="I49" s="610"/>
      <c r="J49" s="610"/>
      <c r="K49" s="265">
        <v>0</v>
      </c>
      <c r="L49" s="265">
        <v>0</v>
      </c>
      <c r="M49" s="265">
        <v>0</v>
      </c>
      <c r="N49" s="265">
        <v>0</v>
      </c>
      <c r="O49" s="265">
        <v>0</v>
      </c>
      <c r="P49" s="265">
        <v>5.9261970503363131</v>
      </c>
      <c r="Q49" s="265">
        <v>9.7018025733275817</v>
      </c>
      <c r="R49" s="265">
        <v>13.921252114229858</v>
      </c>
      <c r="S49" s="124"/>
      <c r="T49" s="266">
        <f t="shared" si="5"/>
        <v>29.549251737893755</v>
      </c>
      <c r="U49" s="124"/>
      <c r="V49" s="192"/>
      <c r="W49" s="124"/>
      <c r="X49" s="290">
        <v>0</v>
      </c>
      <c r="Y49" s="290">
        <v>0</v>
      </c>
      <c r="Z49" s="290">
        <v>0</v>
      </c>
      <c r="AA49" s="290">
        <v>0</v>
      </c>
      <c r="AB49" s="290">
        <v>0</v>
      </c>
      <c r="AC49" s="290">
        <v>0</v>
      </c>
      <c r="AD49" s="290">
        <v>8.0474198060309963</v>
      </c>
      <c r="AE49" s="290">
        <v>5.8171385826901458</v>
      </c>
      <c r="AF49" s="274"/>
      <c r="AG49" s="276">
        <f t="shared" si="6"/>
        <v>13.864558388721143</v>
      </c>
      <c r="AH49" s="294"/>
      <c r="AI49" s="276">
        <v>0</v>
      </c>
    </row>
    <row r="50" spans="1:35" ht="14.6">
      <c r="A50" s="124"/>
      <c r="B50" s="642">
        <v>26</v>
      </c>
      <c r="C50" s="192"/>
      <c r="D50" s="281" t="s">
        <v>252</v>
      </c>
      <c r="E50" s="610"/>
      <c r="F50" s="281">
        <v>2022</v>
      </c>
      <c r="G50" s="610"/>
      <c r="H50" s="610"/>
      <c r="I50" s="610"/>
      <c r="J50" s="610"/>
      <c r="K50" s="265">
        <v>0</v>
      </c>
      <c r="L50" s="265">
        <v>0</v>
      </c>
      <c r="M50" s="265">
        <v>0</v>
      </c>
      <c r="N50" s="265">
        <v>0</v>
      </c>
      <c r="O50" s="265">
        <v>0</v>
      </c>
      <c r="P50" s="265">
        <v>16.733603942978188</v>
      </c>
      <c r="Q50" s="265">
        <v>27.394654685978963</v>
      </c>
      <c r="R50" s="265">
        <v>39.308972903061019</v>
      </c>
      <c r="S50" s="124"/>
      <c r="T50" s="266">
        <f t="shared" si="5"/>
        <v>83.437231532018174</v>
      </c>
      <c r="U50" s="124"/>
      <c r="V50" s="192"/>
      <c r="W50" s="124"/>
      <c r="X50" s="290">
        <v>0</v>
      </c>
      <c r="Y50" s="290">
        <v>0</v>
      </c>
      <c r="Z50" s="290">
        <v>0</v>
      </c>
      <c r="AA50" s="290">
        <v>0</v>
      </c>
      <c r="AB50" s="290">
        <v>0</v>
      </c>
      <c r="AC50" s="290">
        <v>0</v>
      </c>
      <c r="AD50" s="290">
        <v>0</v>
      </c>
      <c r="AE50" s="290">
        <v>0</v>
      </c>
      <c r="AF50" s="274"/>
      <c r="AG50" s="276">
        <f t="shared" si="6"/>
        <v>0</v>
      </c>
      <c r="AH50" s="294"/>
      <c r="AI50" s="276">
        <v>0</v>
      </c>
    </row>
    <row r="51" spans="1:35" ht="14.6">
      <c r="A51" s="124"/>
      <c r="B51" s="642">
        <v>27</v>
      </c>
      <c r="C51" s="192"/>
      <c r="D51" s="281" t="s">
        <v>259</v>
      </c>
      <c r="E51" s="610"/>
      <c r="F51" s="281">
        <v>2022</v>
      </c>
      <c r="G51" s="610"/>
      <c r="H51" s="610"/>
      <c r="I51" s="610"/>
      <c r="J51" s="610"/>
      <c r="K51" s="265">
        <v>0</v>
      </c>
      <c r="L51" s="265">
        <v>0</v>
      </c>
      <c r="M51" s="265">
        <v>0</v>
      </c>
      <c r="N51" s="265">
        <v>0</v>
      </c>
      <c r="O51" s="265">
        <v>0</v>
      </c>
      <c r="P51" s="265">
        <v>12.224685177507002</v>
      </c>
      <c r="Q51" s="265">
        <v>20.013084463083505</v>
      </c>
      <c r="R51" s="265">
        <v>28.717054618274275</v>
      </c>
      <c r="S51" s="124"/>
      <c r="T51" s="266">
        <f t="shared" si="5"/>
        <v>60.954824258864782</v>
      </c>
      <c r="U51" s="124"/>
      <c r="V51" s="192"/>
      <c r="W51" s="124"/>
      <c r="X51" s="290">
        <v>0</v>
      </c>
      <c r="Y51" s="290">
        <v>0</v>
      </c>
      <c r="Z51" s="290">
        <v>0</v>
      </c>
      <c r="AA51" s="290">
        <v>0</v>
      </c>
      <c r="AB51" s="290">
        <v>0</v>
      </c>
      <c r="AC51" s="290">
        <v>0</v>
      </c>
      <c r="AD51" s="290">
        <v>0</v>
      </c>
      <c r="AE51" s="290">
        <v>11.740871236545047</v>
      </c>
      <c r="AF51" s="274"/>
      <c r="AG51" s="276">
        <f t="shared" si="6"/>
        <v>11.740871236545047</v>
      </c>
      <c r="AH51" s="294"/>
      <c r="AI51" s="276">
        <v>7.2375925182242771</v>
      </c>
    </row>
    <row r="52" spans="1:35" ht="14.6">
      <c r="A52" s="124"/>
      <c r="B52" s="642">
        <v>28</v>
      </c>
      <c r="D52" s="281" t="s">
        <v>261</v>
      </c>
      <c r="E52" s="610"/>
      <c r="F52" s="281">
        <v>2023</v>
      </c>
      <c r="G52" s="610"/>
      <c r="H52" s="610"/>
      <c r="I52" s="610"/>
      <c r="J52" s="610"/>
      <c r="K52" s="265">
        <v>0</v>
      </c>
      <c r="L52" s="265">
        <v>0</v>
      </c>
      <c r="M52" s="265">
        <v>0</v>
      </c>
      <c r="N52" s="265">
        <v>0</v>
      </c>
      <c r="O52" s="265">
        <v>0</v>
      </c>
      <c r="P52" s="265">
        <v>0</v>
      </c>
      <c r="Q52" s="265">
        <v>3.6227109601051142</v>
      </c>
      <c r="R52" s="265">
        <v>5.9358721750428405</v>
      </c>
      <c r="S52" s="124"/>
      <c r="T52" s="266">
        <f t="shared" si="5"/>
        <v>9.5585831351479555</v>
      </c>
      <c r="U52" s="124"/>
      <c r="V52" s="192"/>
      <c r="W52" s="124"/>
      <c r="X52" s="290">
        <v>0</v>
      </c>
      <c r="Y52" s="290">
        <v>0</v>
      </c>
      <c r="Z52" s="290">
        <v>0</v>
      </c>
      <c r="AA52" s="290">
        <v>0</v>
      </c>
      <c r="AB52" s="290">
        <v>0</v>
      </c>
      <c r="AC52" s="290">
        <v>0</v>
      </c>
      <c r="AD52" s="290">
        <v>0</v>
      </c>
      <c r="AE52" s="290">
        <v>0.1352680936357914</v>
      </c>
      <c r="AF52" s="274"/>
      <c r="AG52" s="276">
        <f t="shared" si="6"/>
        <v>0.1352680936357914</v>
      </c>
      <c r="AH52" s="294"/>
      <c r="AI52" s="276">
        <v>16.691166865012555</v>
      </c>
    </row>
    <row r="53" spans="1:35" ht="14.6">
      <c r="A53" s="124"/>
      <c r="B53" s="644">
        <v>29</v>
      </c>
      <c r="C53" s="192"/>
      <c r="D53" s="281" t="s">
        <v>259</v>
      </c>
      <c r="E53" s="610"/>
      <c r="F53" s="281">
        <v>2022</v>
      </c>
      <c r="G53" s="610"/>
      <c r="H53" s="610"/>
      <c r="I53" s="610"/>
      <c r="J53" s="610"/>
      <c r="K53" s="265">
        <v>0</v>
      </c>
      <c r="L53" s="265">
        <v>0</v>
      </c>
      <c r="M53" s="265">
        <v>0</v>
      </c>
      <c r="N53" s="265">
        <v>0</v>
      </c>
      <c r="O53" s="265">
        <v>0</v>
      </c>
      <c r="P53" s="265">
        <v>15.7087204530965</v>
      </c>
      <c r="Q53" s="265">
        <v>25.716813535062307</v>
      </c>
      <c r="R53" s="265">
        <v>36.901415184482438</v>
      </c>
      <c r="S53" s="124"/>
      <c r="T53" s="266">
        <f t="shared" si="5"/>
        <v>78.326949172641235</v>
      </c>
      <c r="U53" s="124"/>
      <c r="V53" s="192"/>
      <c r="W53" s="124"/>
      <c r="X53" s="290">
        <v>0</v>
      </c>
      <c r="Y53" s="290">
        <v>0</v>
      </c>
      <c r="Z53" s="290">
        <v>0</v>
      </c>
      <c r="AA53" s="290">
        <v>0</v>
      </c>
      <c r="AB53" s="290">
        <v>0</v>
      </c>
      <c r="AC53" s="289">
        <v>1.3868750000000001E-2</v>
      </c>
      <c r="AD53" s="289">
        <v>0.10112985412414388</v>
      </c>
      <c r="AE53" s="289">
        <v>6.0329578564370419</v>
      </c>
      <c r="AF53" s="274"/>
      <c r="AG53" s="276">
        <f t="shared" si="6"/>
        <v>6.1479564605611854</v>
      </c>
      <c r="AH53" s="294"/>
      <c r="AI53" s="276">
        <v>4.9096966142969061</v>
      </c>
    </row>
    <row r="54" spans="1:35" ht="14.6">
      <c r="A54" s="124"/>
      <c r="B54" s="644">
        <v>30</v>
      </c>
      <c r="C54" s="192"/>
      <c r="D54" s="281" t="s">
        <v>260</v>
      </c>
      <c r="E54" s="610"/>
      <c r="F54" s="281">
        <v>2022</v>
      </c>
      <c r="G54" s="610"/>
      <c r="H54" s="610"/>
      <c r="I54" s="610"/>
      <c r="J54" s="610"/>
      <c r="K54" s="265">
        <v>0</v>
      </c>
      <c r="L54" s="265">
        <v>0</v>
      </c>
      <c r="M54" s="265">
        <v>0</v>
      </c>
      <c r="N54" s="265">
        <v>0</v>
      </c>
      <c r="O54" s="265">
        <v>0</v>
      </c>
      <c r="P54" s="265">
        <v>7.0556604881651159</v>
      </c>
      <c r="Q54" s="265">
        <v>11.550852004950015</v>
      </c>
      <c r="R54" s="265">
        <v>16.574478987765431</v>
      </c>
      <c r="S54" s="124"/>
      <c r="T54" s="266">
        <f t="shared" si="5"/>
        <v>35.180991480880564</v>
      </c>
      <c r="U54" s="124"/>
      <c r="V54" s="192"/>
      <c r="W54" s="124"/>
      <c r="X54" s="290">
        <v>0</v>
      </c>
      <c r="Y54" s="290">
        <v>0</v>
      </c>
      <c r="Z54" s="290">
        <v>0</v>
      </c>
      <c r="AA54" s="290">
        <v>0</v>
      </c>
      <c r="AB54" s="290">
        <v>0</v>
      </c>
      <c r="AC54" s="289">
        <v>0</v>
      </c>
      <c r="AD54" s="289">
        <v>0</v>
      </c>
      <c r="AE54" s="289">
        <v>0</v>
      </c>
      <c r="AF54" s="274"/>
      <c r="AG54" s="276">
        <f t="shared" si="6"/>
        <v>0</v>
      </c>
      <c r="AH54" s="294"/>
      <c r="AI54" s="276">
        <v>0</v>
      </c>
    </row>
    <row r="55" spans="1:35" ht="14.6">
      <c r="A55" s="124"/>
      <c r="B55" s="644">
        <v>31</v>
      </c>
      <c r="C55" s="192"/>
      <c r="D55" s="281" t="s">
        <v>252</v>
      </c>
      <c r="E55" s="610"/>
      <c r="F55" s="281">
        <v>2022</v>
      </c>
      <c r="G55" s="610"/>
      <c r="H55" s="610"/>
      <c r="I55" s="610"/>
      <c r="J55" s="610"/>
      <c r="K55" s="265">
        <v>0</v>
      </c>
      <c r="L55" s="265">
        <v>0</v>
      </c>
      <c r="M55" s="265">
        <v>0</v>
      </c>
      <c r="N55" s="265">
        <v>0</v>
      </c>
      <c r="O55" s="265">
        <v>0</v>
      </c>
      <c r="P55" s="265">
        <v>4.2350479114944797</v>
      </c>
      <c r="Q55" s="265">
        <v>6.933215074846526</v>
      </c>
      <c r="R55" s="265">
        <v>9.9485672162068006</v>
      </c>
      <c r="S55" s="124"/>
      <c r="T55" s="266">
        <f t="shared" si="5"/>
        <v>21.116830202547806</v>
      </c>
      <c r="U55" s="124"/>
      <c r="V55" s="192"/>
      <c r="W55" s="124"/>
      <c r="X55" s="290">
        <v>0</v>
      </c>
      <c r="Y55" s="290">
        <v>0</v>
      </c>
      <c r="Z55" s="290">
        <v>0</v>
      </c>
      <c r="AA55" s="290">
        <v>0</v>
      </c>
      <c r="AB55" s="290">
        <v>0</v>
      </c>
      <c r="AC55" s="289">
        <v>0</v>
      </c>
      <c r="AD55" s="289">
        <v>0</v>
      </c>
      <c r="AE55" s="289">
        <v>0</v>
      </c>
      <c r="AF55" s="274"/>
      <c r="AG55" s="276">
        <f t="shared" si="6"/>
        <v>0</v>
      </c>
      <c r="AH55" s="294"/>
      <c r="AI55" s="276">
        <v>0</v>
      </c>
    </row>
    <row r="56" spans="1:35" ht="14.6">
      <c r="A56" s="124"/>
      <c r="B56" s="644">
        <v>32</v>
      </c>
      <c r="C56" s="192"/>
      <c r="D56" s="281"/>
      <c r="E56" s="610"/>
      <c r="F56" s="281"/>
      <c r="G56" s="610"/>
      <c r="H56" s="610"/>
      <c r="I56" s="610"/>
      <c r="J56" s="610"/>
      <c r="K56" s="265">
        <v>0</v>
      </c>
      <c r="L56" s="265">
        <v>0</v>
      </c>
      <c r="M56" s="265">
        <v>0</v>
      </c>
      <c r="N56" s="265">
        <v>0</v>
      </c>
      <c r="O56" s="265">
        <v>0</v>
      </c>
      <c r="P56" s="265">
        <v>0</v>
      </c>
      <c r="Q56" s="265">
        <v>0</v>
      </c>
      <c r="R56" s="265">
        <v>0</v>
      </c>
      <c r="S56" s="124"/>
      <c r="T56" s="266">
        <f t="shared" si="5"/>
        <v>0</v>
      </c>
      <c r="U56" s="124"/>
      <c r="V56" s="192"/>
      <c r="W56" s="124"/>
      <c r="X56" s="290">
        <v>7.2073822528359935E-2</v>
      </c>
      <c r="Y56" s="290">
        <v>8.7362209125284775E-3</v>
      </c>
      <c r="Z56" s="290">
        <v>1.0920276140660597E-3</v>
      </c>
      <c r="AA56" s="290">
        <v>0</v>
      </c>
      <c r="AB56" s="290">
        <v>0</v>
      </c>
      <c r="AC56" s="289">
        <v>0</v>
      </c>
      <c r="AD56" s="289">
        <v>3.4752029745591306</v>
      </c>
      <c r="AE56" s="289">
        <v>2.9551153789530042</v>
      </c>
      <c r="AF56" s="274"/>
      <c r="AG56" s="276">
        <f t="shared" si="6"/>
        <v>6.5122204245670892</v>
      </c>
      <c r="AH56" s="294"/>
      <c r="AI56" s="276">
        <v>3.3094397445120562</v>
      </c>
    </row>
    <row r="57" spans="1:35" ht="15" thickBot="1">
      <c r="A57" s="124"/>
      <c r="E57" s="610"/>
      <c r="G57" s="610"/>
      <c r="H57" s="610"/>
      <c r="I57" s="610"/>
      <c r="J57" s="610"/>
      <c r="K57" s="267">
        <f t="shared" ref="K57:R57" si="7">SUM(K38:K56)</f>
        <v>0</v>
      </c>
      <c r="L57" s="267">
        <f t="shared" si="7"/>
        <v>0</v>
      </c>
      <c r="M57" s="267">
        <f t="shared" si="7"/>
        <v>0</v>
      </c>
      <c r="N57" s="267">
        <f t="shared" si="7"/>
        <v>0</v>
      </c>
      <c r="O57" s="267">
        <f t="shared" si="7"/>
        <v>0</v>
      </c>
      <c r="P57" s="267">
        <f t="shared" si="7"/>
        <v>76.380658798361452</v>
      </c>
      <c r="Q57" s="267">
        <f t="shared" si="7"/>
        <v>226.79833792649981</v>
      </c>
      <c r="R57" s="267">
        <f t="shared" si="7"/>
        <v>346.15374129609023</v>
      </c>
      <c r="S57" s="124"/>
      <c r="T57" s="268">
        <f>SUM(T38:T56)</f>
        <v>649.33273802095152</v>
      </c>
      <c r="U57" s="124"/>
      <c r="V57" s="192"/>
      <c r="W57" s="124"/>
      <c r="X57" s="291">
        <f t="shared" ref="X57:AE57" si="8">SUM(X38:X56)</f>
        <v>3.6790410317885542</v>
      </c>
      <c r="Y57" s="291">
        <f t="shared" si="8"/>
        <v>-4.4336321131082013</v>
      </c>
      <c r="Z57" s="291">
        <f t="shared" si="8"/>
        <v>-3.5807585465226088</v>
      </c>
      <c r="AA57" s="291">
        <f t="shared" si="8"/>
        <v>0.66627072654268793</v>
      </c>
      <c r="AB57" s="291">
        <f t="shared" si="8"/>
        <v>5.1527783840412157E-2</v>
      </c>
      <c r="AC57" s="291">
        <f t="shared" si="8"/>
        <v>-0.52731556999999973</v>
      </c>
      <c r="AD57" s="291">
        <f t="shared" si="8"/>
        <v>13.514136890033512</v>
      </c>
      <c r="AE57" s="291">
        <f t="shared" si="8"/>
        <v>31.134302636338063</v>
      </c>
      <c r="AF57" s="274"/>
      <c r="AG57" s="268">
        <f>SUM(AG38:AG56)</f>
        <v>40.503572838912426</v>
      </c>
      <c r="AH57" s="292"/>
      <c r="AI57" s="268">
        <f>SUM(AI38:AI56)</f>
        <v>186.89972771462817</v>
      </c>
    </row>
    <row r="58" spans="1:35" ht="12.9" thickTop="1">
      <c r="D58" s="1"/>
      <c r="E58" s="610"/>
      <c r="F58" s="1"/>
      <c r="G58" s="610"/>
      <c r="H58" s="610"/>
      <c r="I58" s="610"/>
      <c r="J58" s="610"/>
      <c r="S58" s="124"/>
      <c r="V58" s="192"/>
    </row>
    <row r="59" spans="1:35" ht="75" customHeight="1">
      <c r="H59" s="610"/>
      <c r="S59" s="238" t="s">
        <v>226</v>
      </c>
      <c r="T59" s="282">
        <f>T57*'Universal data'!$C$52</f>
        <v>494.53027124099998</v>
      </c>
      <c r="U59" s="282"/>
      <c r="V59" s="192"/>
      <c r="W59" s="124"/>
      <c r="X59" s="124"/>
      <c r="Y59" s="124"/>
      <c r="Z59" s="124"/>
      <c r="AA59" s="124"/>
      <c r="AB59" s="124"/>
      <c r="AC59" s="124"/>
      <c r="AD59" s="124"/>
      <c r="AE59" s="124"/>
      <c r="AF59" s="238" t="s">
        <v>226</v>
      </c>
      <c r="AG59" s="282">
        <f>AG57*'Universal data'!$C$52</f>
        <v>30.847424886207818</v>
      </c>
      <c r="AH59" s="282"/>
      <c r="AI59" s="282">
        <f>AI57*'Universal data'!$C$52</f>
        <v>142.34238877788081</v>
      </c>
    </row>
    <row r="60" spans="1:35" ht="26.25" customHeight="1">
      <c r="B60" s="124"/>
      <c r="C60" s="124"/>
      <c r="F60" s="124"/>
      <c r="G60" s="124"/>
      <c r="Q60" s="124"/>
      <c r="R60" s="124"/>
      <c r="S60" s="124"/>
      <c r="T60" s="124"/>
      <c r="U60" s="124"/>
      <c r="W60" s="124"/>
    </row>
    <row r="61" spans="1:35">
      <c r="B61" s="124"/>
      <c r="C61" s="124"/>
      <c r="F61" s="124"/>
      <c r="G61" s="124"/>
      <c r="Q61" s="124"/>
      <c r="R61" s="124"/>
      <c r="S61" s="124"/>
      <c r="T61" s="124"/>
      <c r="U61" s="124"/>
      <c r="W61" s="124"/>
    </row>
    <row r="62" spans="1:35">
      <c r="B62" s="124"/>
      <c r="C62" s="124"/>
      <c r="F62" s="124"/>
      <c r="G62" s="124"/>
      <c r="Q62" s="124"/>
      <c r="R62" s="124"/>
      <c r="S62" s="124"/>
      <c r="T62" s="124"/>
      <c r="U62" s="124"/>
      <c r="W62" s="124"/>
    </row>
    <row r="63" spans="1:35">
      <c r="B63" s="124"/>
      <c r="C63" s="124"/>
      <c r="F63" s="124"/>
      <c r="G63" s="124"/>
      <c r="Q63" s="124"/>
      <c r="R63" s="124"/>
      <c r="S63" s="124"/>
      <c r="T63" s="124"/>
      <c r="U63" s="124"/>
      <c r="W63" s="124"/>
    </row>
    <row r="64" spans="1:35">
      <c r="B64" s="124"/>
      <c r="C64" s="124"/>
      <c r="F64" s="124"/>
      <c r="G64" s="124"/>
      <c r="Q64" s="124"/>
      <c r="R64" s="124"/>
      <c r="S64" s="124"/>
      <c r="T64" s="124"/>
      <c r="U64" s="124"/>
      <c r="W64" s="124"/>
    </row>
    <row r="65" spans="2:23">
      <c r="B65" s="124"/>
      <c r="C65" s="124"/>
      <c r="F65" s="124"/>
      <c r="G65" s="124"/>
      <c r="Q65" s="124"/>
      <c r="R65" s="124"/>
      <c r="S65" s="124"/>
      <c r="T65" s="124"/>
      <c r="U65" s="124"/>
      <c r="W65" s="124"/>
    </row>
    <row r="66" spans="2:23">
      <c r="B66" s="124"/>
      <c r="C66" s="124"/>
      <c r="F66" s="124"/>
      <c r="G66" s="124"/>
      <c r="Q66" s="124"/>
      <c r="R66" s="124"/>
      <c r="S66" s="124"/>
      <c r="T66" s="124"/>
      <c r="U66" s="124"/>
      <c r="W66" s="124"/>
    </row>
    <row r="67" spans="2:23">
      <c r="B67" s="124"/>
      <c r="C67" s="124"/>
      <c r="F67" s="124"/>
      <c r="G67" s="124"/>
      <c r="Q67" s="124"/>
      <c r="R67" s="124"/>
      <c r="S67" s="124"/>
      <c r="T67" s="124"/>
      <c r="U67" s="124"/>
      <c r="W67" s="124"/>
    </row>
    <row r="68" spans="2:23">
      <c r="B68" s="124"/>
      <c r="C68" s="124"/>
      <c r="F68" s="124"/>
      <c r="G68" s="124"/>
      <c r="Q68" s="124"/>
      <c r="R68" s="124"/>
      <c r="S68" s="124"/>
      <c r="T68" s="124"/>
      <c r="U68" s="124"/>
      <c r="W68" s="124"/>
    </row>
    <row r="69" spans="2:23">
      <c r="B69" s="124"/>
      <c r="C69" s="124"/>
      <c r="F69" s="124"/>
      <c r="G69" s="124"/>
      <c r="Q69" s="124"/>
      <c r="R69" s="124"/>
      <c r="S69" s="124"/>
      <c r="T69" s="124"/>
      <c r="U69" s="124"/>
      <c r="W69" s="124"/>
    </row>
    <row r="70" spans="2:23">
      <c r="B70" s="124"/>
      <c r="C70" s="124"/>
      <c r="F70" s="124"/>
      <c r="G70" s="124"/>
      <c r="Q70" s="124"/>
      <c r="R70" s="124"/>
      <c r="S70" s="124"/>
      <c r="T70" s="124"/>
      <c r="U70" s="124"/>
      <c r="W70" s="124"/>
    </row>
    <row r="71" spans="2:23">
      <c r="B71" s="124"/>
      <c r="C71" s="124"/>
      <c r="F71" s="124"/>
      <c r="G71" s="124"/>
      <c r="Q71" s="124"/>
      <c r="R71" s="124"/>
      <c r="S71" s="124"/>
      <c r="T71" s="124"/>
      <c r="U71" s="124"/>
      <c r="W71" s="124"/>
    </row>
    <row r="72" spans="2:23">
      <c r="B72" s="124"/>
      <c r="C72" s="124"/>
      <c r="F72" s="124"/>
      <c r="G72" s="124"/>
      <c r="Q72" s="124"/>
      <c r="R72" s="124"/>
      <c r="S72" s="124"/>
      <c r="T72" s="124"/>
      <c r="U72" s="124"/>
      <c r="W72" s="124"/>
    </row>
    <row r="73" spans="2:23">
      <c r="B73" s="124"/>
      <c r="C73" s="124"/>
      <c r="F73" s="124"/>
      <c r="G73" s="124"/>
      <c r="Q73" s="124"/>
      <c r="R73" s="124"/>
      <c r="S73" s="124"/>
      <c r="T73" s="124"/>
      <c r="U73" s="124"/>
      <c r="W73" s="124"/>
    </row>
    <row r="74" spans="2:23">
      <c r="B74" s="124"/>
      <c r="C74" s="124"/>
      <c r="F74" s="124"/>
      <c r="G74" s="124"/>
      <c r="Q74" s="124"/>
      <c r="R74" s="124"/>
      <c r="S74" s="124"/>
      <c r="T74" s="124"/>
      <c r="U74" s="124"/>
      <c r="W74" s="124"/>
    </row>
    <row r="75" spans="2:23">
      <c r="B75" s="124"/>
      <c r="C75" s="124"/>
      <c r="F75" s="124"/>
      <c r="G75" s="124"/>
      <c r="Q75" s="124"/>
      <c r="R75" s="124"/>
      <c r="S75" s="124"/>
      <c r="T75" s="124"/>
      <c r="U75" s="124"/>
      <c r="W75" s="124"/>
    </row>
    <row r="76" spans="2:23">
      <c r="B76" s="124"/>
      <c r="C76" s="124"/>
      <c r="F76" s="124"/>
      <c r="G76" s="124"/>
      <c r="Q76" s="124"/>
      <c r="R76" s="124"/>
      <c r="S76" s="124"/>
      <c r="T76" s="124"/>
      <c r="U76" s="124"/>
      <c r="W76" s="124"/>
    </row>
    <row r="77" spans="2:23">
      <c r="B77" s="124"/>
      <c r="C77" s="124"/>
      <c r="F77" s="124"/>
      <c r="G77" s="124"/>
      <c r="Q77" s="124"/>
      <c r="R77" s="124"/>
      <c r="S77" s="124"/>
      <c r="T77" s="124"/>
      <c r="U77" s="124"/>
      <c r="W77" s="124"/>
    </row>
    <row r="78" spans="2:23">
      <c r="B78" s="124"/>
      <c r="C78" s="124"/>
      <c r="F78" s="124"/>
      <c r="G78" s="124"/>
      <c r="Q78" s="124"/>
      <c r="R78" s="124"/>
      <c r="S78" s="124"/>
      <c r="T78" s="124"/>
      <c r="U78" s="124"/>
      <c r="W78" s="124"/>
    </row>
    <row r="79" spans="2:23">
      <c r="B79" s="124"/>
      <c r="C79" s="124"/>
      <c r="F79" s="124"/>
      <c r="G79" s="124"/>
      <c r="L79" s="124"/>
      <c r="M79" s="124"/>
      <c r="N79" s="124"/>
      <c r="O79" s="124"/>
      <c r="P79" s="124"/>
      <c r="Q79" s="124"/>
      <c r="R79" s="124"/>
      <c r="S79" s="124"/>
      <c r="T79" s="124"/>
      <c r="U79" s="124"/>
      <c r="W79" s="124"/>
    </row>
    <row r="80" spans="2:23">
      <c r="B80" s="124"/>
      <c r="C80" s="124"/>
      <c r="F80" s="124"/>
      <c r="K80" s="124"/>
      <c r="L80" s="124"/>
      <c r="M80" s="124"/>
      <c r="N80" s="124"/>
      <c r="O80" s="124"/>
      <c r="P80" s="124"/>
      <c r="Q80" s="124"/>
      <c r="R80" s="124"/>
      <c r="S80" s="124"/>
      <c r="T80" s="124"/>
      <c r="U80" s="124"/>
      <c r="W80" s="124"/>
    </row>
  </sheetData>
  <mergeCells count="8">
    <mergeCell ref="AA3:AJ4"/>
    <mergeCell ref="B9:B10"/>
    <mergeCell ref="B13:B14"/>
    <mergeCell ref="F9:F10"/>
    <mergeCell ref="F13:F14"/>
    <mergeCell ref="G9:G10"/>
    <mergeCell ref="G13:G14"/>
    <mergeCell ref="B2:X4"/>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AR30"/>
  <sheetViews>
    <sheetView zoomScale="70" zoomScaleNormal="70" workbookViewId="0">
      <selection activeCell="AP25" sqref="AP25"/>
    </sheetView>
  </sheetViews>
  <sheetFormatPr defaultRowHeight="12.45"/>
  <cols>
    <col min="2" max="2" width="12.3984375" customWidth="1"/>
    <col min="19" max="19" width="12.46484375" customWidth="1"/>
    <col min="21" max="21" width="16.59765625" customWidth="1"/>
    <col min="22" max="22" width="10.73046875" style="586" customWidth="1"/>
    <col min="23" max="23" width="11.1328125" style="586" customWidth="1"/>
    <col min="24" max="24" width="10.1328125" style="586" customWidth="1"/>
    <col min="25" max="25" width="11.1328125" style="586" customWidth="1"/>
    <col min="26" max="26" width="12.265625" style="586" customWidth="1"/>
    <col min="27" max="27" width="10.59765625" style="586" customWidth="1"/>
    <col min="28" max="29" width="9" style="124"/>
    <col min="39" max="39" width="13.46484375" customWidth="1"/>
    <col min="41" max="41" width="5.1328125" customWidth="1"/>
  </cols>
  <sheetData>
    <row r="1" spans="2:42" ht="12.9" thickBot="1"/>
    <row r="2" spans="2:42">
      <c r="B2" s="799" t="s">
        <v>441</v>
      </c>
      <c r="C2" s="800"/>
      <c r="D2" s="800"/>
      <c r="E2" s="800"/>
      <c r="F2" s="800"/>
      <c r="G2" s="800"/>
      <c r="H2" s="800"/>
      <c r="I2" s="800"/>
      <c r="J2" s="800"/>
      <c r="K2" s="800"/>
      <c r="L2" s="800"/>
      <c r="M2" s="800"/>
      <c r="N2" s="800"/>
      <c r="O2" s="800"/>
      <c r="P2" s="800"/>
      <c r="Q2" s="800"/>
      <c r="R2" s="801"/>
    </row>
    <row r="3" spans="2:42">
      <c r="B3" s="802"/>
      <c r="C3" s="803"/>
      <c r="D3" s="803"/>
      <c r="E3" s="803"/>
      <c r="F3" s="803"/>
      <c r="G3" s="803"/>
      <c r="H3" s="803"/>
      <c r="I3" s="803"/>
      <c r="J3" s="803"/>
      <c r="K3" s="803"/>
      <c r="L3" s="803"/>
      <c r="M3" s="803"/>
      <c r="N3" s="803"/>
      <c r="O3" s="803"/>
      <c r="P3" s="803"/>
      <c r="Q3" s="803"/>
      <c r="R3" s="804"/>
    </row>
    <row r="4" spans="2:42">
      <c r="B4" s="802"/>
      <c r="C4" s="803"/>
      <c r="D4" s="803"/>
      <c r="E4" s="803"/>
      <c r="F4" s="803"/>
      <c r="G4" s="803"/>
      <c r="H4" s="803"/>
      <c r="I4" s="803"/>
      <c r="J4" s="803"/>
      <c r="K4" s="803"/>
      <c r="L4" s="803"/>
      <c r="M4" s="803"/>
      <c r="N4" s="803"/>
      <c r="O4" s="803"/>
      <c r="P4" s="803"/>
      <c r="Q4" s="803"/>
      <c r="R4" s="804"/>
    </row>
    <row r="5" spans="2:42" ht="94.5" customHeight="1" thickBot="1">
      <c r="B5" s="805"/>
      <c r="C5" s="806"/>
      <c r="D5" s="806"/>
      <c r="E5" s="806"/>
      <c r="F5" s="806"/>
      <c r="G5" s="806"/>
      <c r="H5" s="806"/>
      <c r="I5" s="806"/>
      <c r="J5" s="806"/>
      <c r="K5" s="806"/>
      <c r="L5" s="806"/>
      <c r="M5" s="806"/>
      <c r="N5" s="806"/>
      <c r="O5" s="806"/>
      <c r="P5" s="806"/>
      <c r="Q5" s="806"/>
      <c r="R5" s="807"/>
    </row>
    <row r="8" spans="2:42">
      <c r="B8" s="261" t="s">
        <v>265</v>
      </c>
      <c r="C8" s="192"/>
      <c r="D8" s="192"/>
      <c r="E8" s="192"/>
      <c r="F8" s="192"/>
      <c r="G8" s="192"/>
      <c r="H8" s="192"/>
      <c r="I8" s="192"/>
      <c r="J8" s="192"/>
      <c r="K8" s="124"/>
      <c r="L8" s="124"/>
      <c r="M8" s="124"/>
      <c r="N8" s="124"/>
      <c r="O8" s="124"/>
      <c r="P8" s="124"/>
      <c r="Q8" s="124"/>
      <c r="R8" s="124"/>
      <c r="S8" s="124"/>
      <c r="T8" s="157"/>
      <c r="U8" s="192"/>
      <c r="V8" s="587"/>
      <c r="W8" s="587"/>
      <c r="X8" s="587"/>
      <c r="Y8" s="587"/>
      <c r="Z8" s="587"/>
      <c r="AA8" s="587"/>
      <c r="AB8" s="192"/>
      <c r="AC8" s="192"/>
      <c r="AD8" s="192"/>
      <c r="AE8" s="124"/>
      <c r="AF8" s="124"/>
      <c r="AG8" s="124"/>
      <c r="AH8" s="124"/>
      <c r="AI8" s="124"/>
      <c r="AJ8" s="124"/>
      <c r="AK8" s="124"/>
      <c r="AL8" s="124"/>
      <c r="AM8" s="124"/>
      <c r="AN8" s="124"/>
    </row>
    <row r="9" spans="2:42" ht="14.6">
      <c r="B9" s="192"/>
      <c r="C9" s="192"/>
      <c r="D9" s="192"/>
      <c r="E9" s="192"/>
      <c r="F9" s="192"/>
      <c r="G9" s="192"/>
      <c r="H9" s="192"/>
      <c r="I9" s="192"/>
      <c r="J9" s="192"/>
      <c r="K9" s="262" t="s">
        <v>272</v>
      </c>
      <c r="L9" s="263"/>
      <c r="M9" s="263"/>
      <c r="N9" s="263"/>
      <c r="O9" s="263"/>
      <c r="P9" s="263"/>
      <c r="Q9" s="263"/>
      <c r="R9" s="263"/>
      <c r="S9" s="192"/>
      <c r="T9" s="192"/>
      <c r="U9" s="192"/>
      <c r="V9" s="587"/>
      <c r="W9" s="587"/>
      <c r="X9" s="587"/>
      <c r="Y9" s="587"/>
      <c r="Z9" s="587"/>
      <c r="AA9" s="587"/>
      <c r="AB9" s="192"/>
      <c r="AC9" s="192"/>
      <c r="AD9" s="192"/>
      <c r="AE9" s="272" t="s">
        <v>271</v>
      </c>
      <c r="AF9" s="273"/>
      <c r="AG9" s="273"/>
      <c r="AH9" s="273"/>
      <c r="AI9" s="273"/>
      <c r="AJ9" s="273"/>
      <c r="AK9" s="273"/>
      <c r="AL9" s="273"/>
      <c r="AM9" s="274"/>
      <c r="AN9" s="124"/>
      <c r="AO9" s="124"/>
      <c r="AP9" s="124"/>
    </row>
    <row r="10" spans="2:42" ht="29.15">
      <c r="B10" s="645" t="s">
        <v>557</v>
      </c>
      <c r="C10" s="192"/>
      <c r="D10" s="192"/>
      <c r="E10" s="192"/>
      <c r="F10" s="610"/>
      <c r="G10" s="257" t="s">
        <v>254</v>
      </c>
      <c r="H10" s="257"/>
      <c r="I10" s="257"/>
      <c r="J10" s="257"/>
      <c r="K10" s="264" t="s">
        <v>39</v>
      </c>
      <c r="L10" s="264" t="s">
        <v>40</v>
      </c>
      <c r="M10" s="264" t="s">
        <v>41</v>
      </c>
      <c r="N10" s="264" t="s">
        <v>42</v>
      </c>
      <c r="O10" s="264" t="s">
        <v>43</v>
      </c>
      <c r="P10" s="264" t="s">
        <v>44</v>
      </c>
      <c r="Q10" s="264" t="s">
        <v>45</v>
      </c>
      <c r="R10" s="264" t="s">
        <v>46</v>
      </c>
      <c r="S10" s="124"/>
      <c r="T10" s="264" t="s">
        <v>267</v>
      </c>
      <c r="U10" s="192"/>
      <c r="V10" s="264" t="s">
        <v>535</v>
      </c>
      <c r="W10" s="264" t="s">
        <v>536</v>
      </c>
      <c r="X10" s="264" t="s">
        <v>537</v>
      </c>
      <c r="Y10" s="264" t="s">
        <v>538</v>
      </c>
      <c r="Z10" s="264" t="s">
        <v>539</v>
      </c>
      <c r="AA10" s="587"/>
      <c r="AB10" s="264" t="s">
        <v>268</v>
      </c>
      <c r="AC10" s="192"/>
      <c r="AD10" s="192"/>
      <c r="AE10" s="270" t="s">
        <v>39</v>
      </c>
      <c r="AF10" s="270" t="s">
        <v>40</v>
      </c>
      <c r="AG10" s="270" t="s">
        <v>41</v>
      </c>
      <c r="AH10" s="270" t="s">
        <v>42</v>
      </c>
      <c r="AI10" s="270" t="s">
        <v>43</v>
      </c>
      <c r="AJ10" s="270" t="s">
        <v>44</v>
      </c>
      <c r="AK10" s="270" t="s">
        <v>45</v>
      </c>
      <c r="AL10" s="270" t="s">
        <v>46</v>
      </c>
      <c r="AM10" s="274"/>
      <c r="AN10" s="271" t="str">
        <f>T10</f>
        <v>T1 Total</v>
      </c>
      <c r="AP10" s="271" t="str">
        <f>AB10</f>
        <v>T1+2 total</v>
      </c>
    </row>
    <row r="11" spans="2:42" ht="14.6">
      <c r="B11" s="124">
        <v>1</v>
      </c>
      <c r="C11" s="192"/>
      <c r="D11" s="192"/>
      <c r="E11" s="192"/>
      <c r="F11" s="610"/>
      <c r="G11" s="259">
        <v>2022</v>
      </c>
      <c r="H11" s="259"/>
      <c r="J11" s="259"/>
      <c r="K11" s="649">
        <v>0</v>
      </c>
      <c r="L11" s="649">
        <v>0</v>
      </c>
      <c r="M11" s="649">
        <v>0</v>
      </c>
      <c r="N11" s="649">
        <v>0</v>
      </c>
      <c r="O11" s="649">
        <v>0</v>
      </c>
      <c r="P11" s="649">
        <v>24.343855489225977</v>
      </c>
      <c r="Q11" s="649">
        <v>24.711391495724065</v>
      </c>
      <c r="R11" s="649">
        <v>25.100547267310272</v>
      </c>
      <c r="S11" s="124"/>
      <c r="T11" s="283">
        <f t="shared" ref="T11:T16" si="0">SUM(K11:R11)</f>
        <v>74.155794252260321</v>
      </c>
      <c r="V11" s="649">
        <v>25.46808327380835</v>
      </c>
      <c r="W11" s="649">
        <v>0</v>
      </c>
      <c r="X11" s="649">
        <v>0</v>
      </c>
      <c r="Y11" s="649">
        <v>0</v>
      </c>
      <c r="Z11" s="649">
        <v>0</v>
      </c>
      <c r="AB11" s="284">
        <f t="shared" ref="AB11:AB16" si="1">SUM(V11:Z11)</f>
        <v>25.46808327380835</v>
      </c>
      <c r="AC11" s="192"/>
      <c r="AD11" s="124"/>
      <c r="AE11" s="646">
        <v>0</v>
      </c>
      <c r="AF11" s="646">
        <v>0</v>
      </c>
      <c r="AG11" s="646">
        <v>2.5336475569065051</v>
      </c>
      <c r="AH11" s="646">
        <v>1.5867049575514955</v>
      </c>
      <c r="AI11" s="646">
        <v>0.21049054786799995</v>
      </c>
      <c r="AJ11" s="646">
        <v>-9.4798190000000004E-2</v>
      </c>
      <c r="AK11" s="646">
        <v>6.3354038529411802</v>
      </c>
      <c r="AL11" s="646">
        <v>55.427107244385603</v>
      </c>
      <c r="AM11" s="647"/>
      <c r="AN11" s="648">
        <f t="shared" ref="AN11:AN16" si="2">SUM(AE11:AL11)</f>
        <v>65.998555969652784</v>
      </c>
      <c r="AO11" s="157"/>
      <c r="AP11" s="648">
        <v>15.470308867763153</v>
      </c>
    </row>
    <row r="12" spans="2:42" ht="14.6">
      <c r="B12" s="124">
        <v>2</v>
      </c>
      <c r="C12" s="192"/>
      <c r="D12" s="192"/>
      <c r="E12" s="192"/>
      <c r="F12" s="610"/>
      <c r="G12" s="259">
        <v>2022</v>
      </c>
      <c r="H12" s="590"/>
      <c r="I12" s="586"/>
      <c r="J12" s="259"/>
      <c r="K12" s="649">
        <v>0</v>
      </c>
      <c r="L12" s="649">
        <v>0</v>
      </c>
      <c r="M12" s="649">
        <v>0</v>
      </c>
      <c r="N12" s="649">
        <v>0</v>
      </c>
      <c r="O12" s="649">
        <v>0</v>
      </c>
      <c r="P12" s="649">
        <v>1.3444845626085953</v>
      </c>
      <c r="Q12" s="649">
        <v>1.3647831750103236</v>
      </c>
      <c r="R12" s="649">
        <v>1.3862758234356831</v>
      </c>
      <c r="S12" s="124"/>
      <c r="T12" s="283">
        <f t="shared" si="0"/>
        <v>4.095543561054602</v>
      </c>
      <c r="V12" s="649">
        <v>1.4065744358374113</v>
      </c>
      <c r="W12" s="649">
        <v>0</v>
      </c>
      <c r="X12" s="649">
        <v>0</v>
      </c>
      <c r="Y12" s="649">
        <v>0</v>
      </c>
      <c r="Z12" s="649">
        <v>0</v>
      </c>
      <c r="AB12" s="284">
        <f t="shared" si="1"/>
        <v>1.4065744358374113</v>
      </c>
      <c r="AC12" s="192"/>
      <c r="AD12" s="124"/>
      <c r="AE12" s="646">
        <v>0</v>
      </c>
      <c r="AF12" s="646">
        <v>6.9540533472751298E-2</v>
      </c>
      <c r="AG12" s="646">
        <v>4.6957037633688005E-2</v>
      </c>
      <c r="AH12" s="646">
        <v>4.8054770996013595E-2</v>
      </c>
      <c r="AI12" s="646">
        <v>-4.3874600140000004E-2</v>
      </c>
      <c r="AJ12" s="646">
        <v>1.4126900000000001E-3</v>
      </c>
      <c r="AK12" s="646">
        <v>0.23970493936342838</v>
      </c>
      <c r="AL12" s="646">
        <v>3.6058876994410807</v>
      </c>
      <c r="AM12" s="647"/>
      <c r="AN12" s="648">
        <f t="shared" si="2"/>
        <v>3.9676830707669621</v>
      </c>
      <c r="AO12" s="157"/>
      <c r="AP12" s="648">
        <v>0</v>
      </c>
    </row>
    <row r="13" spans="2:42" ht="14.6">
      <c r="B13" s="124">
        <v>3</v>
      </c>
      <c r="C13" s="192"/>
      <c r="D13" s="192"/>
      <c r="E13" s="192"/>
      <c r="F13" s="610"/>
      <c r="G13" s="259">
        <v>2022</v>
      </c>
      <c r="H13" s="590"/>
      <c r="I13" s="586"/>
      <c r="J13" s="259"/>
      <c r="K13" s="649">
        <v>0</v>
      </c>
      <c r="L13" s="649">
        <v>0</v>
      </c>
      <c r="M13" s="649">
        <v>0</v>
      </c>
      <c r="N13" s="649">
        <v>0</v>
      </c>
      <c r="O13" s="649">
        <v>0</v>
      </c>
      <c r="P13" s="649">
        <v>0.69303327969515216</v>
      </c>
      <c r="Q13" s="649">
        <v>0.70349648196408443</v>
      </c>
      <c r="R13" s="649">
        <v>0.71457516671942434</v>
      </c>
      <c r="S13" s="124"/>
      <c r="T13" s="283">
        <f t="shared" si="0"/>
        <v>2.1111049283786611</v>
      </c>
      <c r="V13" s="649">
        <v>0.72503836898835639</v>
      </c>
      <c r="W13" s="649">
        <v>0</v>
      </c>
      <c r="X13" s="649">
        <v>0</v>
      </c>
      <c r="Y13" s="649">
        <v>0</v>
      </c>
      <c r="Z13" s="649">
        <v>0</v>
      </c>
      <c r="AB13" s="284">
        <f t="shared" si="1"/>
        <v>0.72503836898835639</v>
      </c>
      <c r="AC13" s="192"/>
      <c r="AD13" s="124"/>
      <c r="AE13" s="646">
        <v>0</v>
      </c>
      <c r="AF13" s="646">
        <v>2.5387813807512375E-2</v>
      </c>
      <c r="AG13" s="646">
        <v>9.8282171791440002E-3</v>
      </c>
      <c r="AH13" s="646">
        <v>6.9663313421520004E-4</v>
      </c>
      <c r="AI13" s="646">
        <v>8.7011496799999999E-4</v>
      </c>
      <c r="AJ13" s="646">
        <v>0</v>
      </c>
      <c r="AK13" s="646">
        <v>0.10468459261600213</v>
      </c>
      <c r="AL13" s="646">
        <v>0.49678973515151342</v>
      </c>
      <c r="AM13" s="647"/>
      <c r="AN13" s="648">
        <f t="shared" si="2"/>
        <v>0.63825710685638715</v>
      </c>
      <c r="AO13" s="157"/>
      <c r="AP13" s="648">
        <v>1.3247281013945378</v>
      </c>
    </row>
    <row r="14" spans="2:42" ht="14.6">
      <c r="B14" s="124">
        <v>4</v>
      </c>
      <c r="C14" s="192"/>
      <c r="D14" s="192"/>
      <c r="E14" s="192"/>
      <c r="F14" s="610"/>
      <c r="G14" s="259">
        <v>2022</v>
      </c>
      <c r="H14" s="590"/>
      <c r="I14" s="586"/>
      <c r="J14" s="259"/>
      <c r="K14" s="649">
        <v>0</v>
      </c>
      <c r="L14" s="649">
        <v>0</v>
      </c>
      <c r="M14" s="649">
        <v>0</v>
      </c>
      <c r="N14" s="649">
        <v>0</v>
      </c>
      <c r="O14" s="649">
        <v>0</v>
      </c>
      <c r="P14" s="649">
        <v>2.4949198069025478</v>
      </c>
      <c r="Q14" s="649">
        <v>2.532587335070704</v>
      </c>
      <c r="R14" s="649">
        <v>2.5724706001899276</v>
      </c>
      <c r="S14" s="124"/>
      <c r="T14" s="283">
        <f t="shared" si="0"/>
        <v>7.5999777421631798</v>
      </c>
      <c r="V14" s="649">
        <v>2.6101381283580829</v>
      </c>
      <c r="W14" s="649">
        <v>0</v>
      </c>
      <c r="X14" s="649">
        <v>0</v>
      </c>
      <c r="Y14" s="649">
        <v>0</v>
      </c>
      <c r="Z14" s="649">
        <v>0</v>
      </c>
      <c r="AB14" s="284">
        <f t="shared" si="1"/>
        <v>2.6101381283580829</v>
      </c>
      <c r="AC14" s="192"/>
      <c r="AD14" s="124"/>
      <c r="AE14" s="646">
        <v>0</v>
      </c>
      <c r="AF14" s="646">
        <v>0</v>
      </c>
      <c r="AG14" s="646">
        <v>0</v>
      </c>
      <c r="AH14" s="646">
        <v>1.6394260842960001E-4</v>
      </c>
      <c r="AI14" s="646">
        <v>6.1518492751999991E-2</v>
      </c>
      <c r="AJ14" s="646">
        <v>0.14922684000000003</v>
      </c>
      <c r="AK14" s="646">
        <v>0.1524062645680106</v>
      </c>
      <c r="AL14" s="646">
        <v>2.1431573461130498</v>
      </c>
      <c r="AM14" s="647"/>
      <c r="AN14" s="648">
        <f t="shared" si="2"/>
        <v>2.50647288604149</v>
      </c>
      <c r="AO14" s="157"/>
      <c r="AP14" s="648">
        <v>3.0346597025585376</v>
      </c>
    </row>
    <row r="15" spans="2:42" ht="14.6">
      <c r="B15" s="124">
        <v>5</v>
      </c>
      <c r="C15" s="192"/>
      <c r="D15" s="192"/>
      <c r="E15" s="192"/>
      <c r="F15" s="610"/>
      <c r="G15" s="259">
        <v>2023</v>
      </c>
      <c r="H15" s="590"/>
      <c r="I15" s="586"/>
      <c r="J15" s="259"/>
      <c r="K15" s="649">
        <v>0</v>
      </c>
      <c r="L15" s="649">
        <v>0</v>
      </c>
      <c r="M15" s="649">
        <v>0</v>
      </c>
      <c r="N15" s="649">
        <v>0</v>
      </c>
      <c r="O15" s="649">
        <v>0</v>
      </c>
      <c r="P15" s="649">
        <v>0</v>
      </c>
      <c r="Q15" s="649">
        <v>2.2286768548622198</v>
      </c>
      <c r="R15" s="649">
        <v>2.2637741281671362</v>
      </c>
      <c r="S15" s="124"/>
      <c r="T15" s="283">
        <f>SUM(K15:R15)</f>
        <v>4.4924509830293555</v>
      </c>
      <c r="V15" s="649">
        <v>2.2969215529551135</v>
      </c>
      <c r="W15" s="649">
        <v>2.3320188262600299</v>
      </c>
      <c r="X15" s="649">
        <v>0</v>
      </c>
      <c r="Y15" s="649">
        <v>0</v>
      </c>
      <c r="Z15" s="649">
        <v>0</v>
      </c>
      <c r="AB15" s="284">
        <f t="shared" si="1"/>
        <v>4.6289403792151429</v>
      </c>
      <c r="AC15" s="192"/>
      <c r="AD15" s="124"/>
      <c r="AE15" s="646">
        <f>'[8]SHET Sole use'!BG65</f>
        <v>0</v>
      </c>
      <c r="AF15" s="646">
        <f>'[8]SHET Sole use'!BH65</f>
        <v>0</v>
      </c>
      <c r="AG15" s="646">
        <f>'[8]SHET Sole use'!BI65</f>
        <v>0</v>
      </c>
      <c r="AH15" s="646">
        <f>'[8]SHET Sole use'!BJ65</f>
        <v>0</v>
      </c>
      <c r="AI15" s="646">
        <f>'[8]SHET Sole use'!BK65</f>
        <v>7.6906432881999998E-2</v>
      </c>
      <c r="AJ15" s="646">
        <f>'[8]SHET Sole use'!BL65</f>
        <v>0.23823735000000001</v>
      </c>
      <c r="AK15" s="646">
        <f>'[8]SHET Sole use'!BM65</f>
        <v>0.41982225754798386</v>
      </c>
      <c r="AL15" s="646">
        <f>'[8]SHET Sole use'!BN65</f>
        <v>4.3354816835013068</v>
      </c>
      <c r="AM15" s="647"/>
      <c r="AN15" s="648">
        <f>SUM(AE15:AL15)</f>
        <v>5.0704477239312906</v>
      </c>
      <c r="AO15" s="157"/>
      <c r="AP15" s="648">
        <v>6.1389386924687637</v>
      </c>
    </row>
    <row r="16" spans="2:42" ht="14.6">
      <c r="B16" s="124">
        <v>6</v>
      </c>
      <c r="C16" s="192"/>
      <c r="D16" s="192"/>
      <c r="E16" s="192"/>
      <c r="F16" s="610"/>
      <c r="G16" s="259">
        <v>2023</v>
      </c>
      <c r="H16" s="590"/>
      <c r="I16" s="586"/>
      <c r="J16" s="259"/>
      <c r="K16" s="649">
        <v>0</v>
      </c>
      <c r="L16" s="649">
        <v>0</v>
      </c>
      <c r="M16" s="649">
        <v>0</v>
      </c>
      <c r="N16" s="649">
        <v>0</v>
      </c>
      <c r="O16" s="649">
        <v>0</v>
      </c>
      <c r="P16" s="649">
        <v>0</v>
      </c>
      <c r="Q16" s="649">
        <v>2.4397257994514447</v>
      </c>
      <c r="R16" s="649">
        <v>2.4781466781829637</v>
      </c>
      <c r="S16" s="124"/>
      <c r="T16" s="283">
        <f t="shared" si="0"/>
        <v>4.9178724776344085</v>
      </c>
      <c r="V16" s="649">
        <v>2.5144330636516203</v>
      </c>
      <c r="W16" s="649">
        <v>2.5528539423831393</v>
      </c>
      <c r="X16" s="649">
        <v>0</v>
      </c>
      <c r="Y16" s="649">
        <v>0</v>
      </c>
      <c r="Z16" s="649">
        <v>0</v>
      </c>
      <c r="AB16" s="284">
        <f t="shared" si="1"/>
        <v>5.0672870060347597</v>
      </c>
      <c r="AC16" s="192"/>
      <c r="AD16" s="124"/>
      <c r="AE16" s="646">
        <v>0</v>
      </c>
      <c r="AF16" s="646">
        <v>0</v>
      </c>
      <c r="AG16" s="646">
        <v>0</v>
      </c>
      <c r="AH16" s="646">
        <v>0</v>
      </c>
      <c r="AI16" s="646">
        <v>0</v>
      </c>
      <c r="AJ16" s="646">
        <v>0</v>
      </c>
      <c r="AK16" s="646">
        <v>3.5666007845067557E-2</v>
      </c>
      <c r="AL16" s="646">
        <v>0.105596011216378</v>
      </c>
      <c r="AM16" s="647"/>
      <c r="AN16" s="648">
        <f t="shared" si="2"/>
        <v>0.14126201906144556</v>
      </c>
      <c r="AO16" s="157"/>
      <c r="AP16" s="648">
        <v>0.46392510373855711</v>
      </c>
    </row>
    <row r="17" spans="2:44" ht="15" thickBot="1">
      <c r="B17" s="124"/>
      <c r="C17" s="192"/>
      <c r="D17" s="192"/>
      <c r="E17" s="192"/>
      <c r="G17" s="192"/>
      <c r="H17" s="192"/>
      <c r="I17" s="192"/>
      <c r="J17" s="192"/>
      <c r="K17" s="267">
        <f t="shared" ref="K17:Q17" si="3">SUM(K11:K16)</f>
        <v>0</v>
      </c>
      <c r="L17" s="267">
        <f t="shared" si="3"/>
        <v>0</v>
      </c>
      <c r="M17" s="267">
        <f t="shared" si="3"/>
        <v>0</v>
      </c>
      <c r="N17" s="267">
        <f t="shared" si="3"/>
        <v>0</v>
      </c>
      <c r="O17" s="267">
        <f t="shared" si="3"/>
        <v>0</v>
      </c>
      <c r="P17" s="267">
        <f t="shared" si="3"/>
        <v>28.876293138432271</v>
      </c>
      <c r="Q17" s="267">
        <f t="shared" si="3"/>
        <v>33.980661142082838</v>
      </c>
      <c r="R17" s="267">
        <f>SUM(R11:R16)</f>
        <v>34.51578966400541</v>
      </c>
      <c r="S17" s="124"/>
      <c r="T17" s="268">
        <f>SUM(T11:T16)</f>
        <v>97.372743944520522</v>
      </c>
      <c r="U17" s="124"/>
      <c r="AB17" s="268">
        <f>SUM(AB11:AB16)</f>
        <v>39.906061592242104</v>
      </c>
      <c r="AC17" s="592">
        <f>AB17+T17</f>
        <v>137.27880553676263</v>
      </c>
      <c r="AD17" s="124"/>
      <c r="AE17" s="275">
        <f t="shared" ref="AE17:AL17" si="4">SUM(AE11:AE16)</f>
        <v>0</v>
      </c>
      <c r="AF17" s="275">
        <f t="shared" si="4"/>
        <v>9.492834728026367E-2</v>
      </c>
      <c r="AG17" s="275">
        <f t="shared" si="4"/>
        <v>2.5904328117193374</v>
      </c>
      <c r="AH17" s="275">
        <f t="shared" si="4"/>
        <v>1.635620304290154</v>
      </c>
      <c r="AI17" s="275">
        <f t="shared" si="4"/>
        <v>0.30591098832999997</v>
      </c>
      <c r="AJ17" s="275">
        <f t="shared" si="4"/>
        <v>0.29407869000000003</v>
      </c>
      <c r="AK17" s="275">
        <f t="shared" si="4"/>
        <v>7.2876879148816727</v>
      </c>
      <c r="AL17" s="275">
        <f t="shared" si="4"/>
        <v>66.114019719808937</v>
      </c>
      <c r="AM17" s="274"/>
      <c r="AN17" s="279">
        <f>SUM(AN11:AN16)</f>
        <v>78.322678776310369</v>
      </c>
      <c r="AP17" s="279">
        <f>SUM(AP11:AP16)</f>
        <v>26.432560467923551</v>
      </c>
      <c r="AR17" s="585">
        <f>AN17+AP17</f>
        <v>104.75523924423392</v>
      </c>
    </row>
    <row r="18" spans="2:44" ht="12.9" thickTop="1">
      <c r="F18" s="278"/>
      <c r="G18" s="1" t="s">
        <v>253</v>
      </c>
      <c r="AP18" s="124"/>
    </row>
    <row r="19" spans="2:44">
      <c r="S19" s="238" t="s">
        <v>226</v>
      </c>
      <c r="T19" s="282">
        <f>T17*'Universal data'!C52</f>
        <v>74.158850547298968</v>
      </c>
      <c r="U19" s="282"/>
      <c r="V19" s="282"/>
      <c r="W19" s="282"/>
      <c r="X19" s="282"/>
      <c r="Y19" s="282"/>
      <c r="Z19" s="282"/>
      <c r="AA19" s="282"/>
      <c r="AB19" s="282">
        <f>AB17*'Universal data'!C52</f>
        <v>30.392361739713753</v>
      </c>
      <c r="AC19" s="238"/>
      <c r="AM19" s="238" t="s">
        <v>226</v>
      </c>
      <c r="AN19" s="282">
        <f>AN17*'Universal data'!C52</f>
        <v>59.650366155295735</v>
      </c>
      <c r="AP19" s="282">
        <f>AP17*'Universal data'!C52</f>
        <v>20.130975280310899</v>
      </c>
    </row>
    <row r="20" spans="2:44">
      <c r="AP20" s="124"/>
    </row>
    <row r="21" spans="2:44">
      <c r="P21" s="124"/>
      <c r="Q21" s="124"/>
      <c r="R21" s="124"/>
      <c r="S21" s="124"/>
      <c r="T21" s="124"/>
      <c r="U21" s="124"/>
      <c r="AP21" s="124"/>
    </row>
    <row r="22" spans="2:44">
      <c r="B22" s="261" t="s">
        <v>266</v>
      </c>
      <c r="C22" s="192"/>
      <c r="D22" s="192"/>
      <c r="E22" s="192"/>
      <c r="F22" s="192"/>
      <c r="G22" s="192"/>
      <c r="H22" s="192"/>
      <c r="I22" s="192"/>
      <c r="J22" s="192"/>
      <c r="K22" s="124"/>
      <c r="L22" s="124"/>
      <c r="M22" s="124"/>
      <c r="N22" s="124"/>
      <c r="O22" s="124"/>
      <c r="P22" s="124"/>
      <c r="Q22" s="124"/>
      <c r="R22" s="124"/>
      <c r="S22" s="124"/>
      <c r="T22" s="124"/>
      <c r="U22" s="192"/>
      <c r="V22" s="587"/>
      <c r="W22" s="587"/>
      <c r="X22" s="587"/>
      <c r="Y22" s="587"/>
      <c r="Z22" s="587"/>
      <c r="AA22" s="587"/>
      <c r="AB22" s="192"/>
      <c r="AC22" s="192"/>
      <c r="AD22" s="192"/>
      <c r="AE22" s="124"/>
      <c r="AF22" s="124"/>
      <c r="AG22" s="124"/>
      <c r="AH22" s="124"/>
      <c r="AI22" s="124"/>
      <c r="AJ22" s="124"/>
      <c r="AK22" s="124"/>
      <c r="AL22" s="124"/>
      <c r="AM22" s="124"/>
      <c r="AN22" s="124"/>
      <c r="AO22" s="124"/>
      <c r="AP22" s="124"/>
    </row>
    <row r="23" spans="2:44" ht="14.6">
      <c r="B23" s="192"/>
      <c r="C23" s="192"/>
      <c r="D23" s="192"/>
      <c r="E23" s="192"/>
      <c r="F23" s="192"/>
      <c r="G23" s="192"/>
      <c r="H23" s="192"/>
      <c r="I23" s="192"/>
      <c r="J23" s="192"/>
      <c r="K23" s="262" t="str">
        <f>K9</f>
        <v>ALLOWANCES (£m, 2018/19 prices)</v>
      </c>
      <c r="L23" s="263"/>
      <c r="M23" s="263"/>
      <c r="N23" s="263"/>
      <c r="O23" s="263"/>
      <c r="P23" s="263"/>
      <c r="Q23" s="263"/>
      <c r="R23" s="263"/>
      <c r="S23" s="124"/>
      <c r="T23" s="192"/>
      <c r="U23" s="192"/>
      <c r="V23" s="587"/>
      <c r="W23" s="587"/>
      <c r="X23" s="587"/>
      <c r="Y23" s="587"/>
      <c r="Z23" s="587"/>
      <c r="AA23" s="587"/>
      <c r="AB23" s="192"/>
      <c r="AC23" s="192"/>
      <c r="AD23" s="192"/>
      <c r="AE23" s="272" t="str">
        <f>AE9</f>
        <v>EXPENDITURE (£m, 2018/19 prices)</v>
      </c>
      <c r="AF23" s="273"/>
      <c r="AG23" s="273"/>
      <c r="AH23" s="273"/>
      <c r="AI23" s="273"/>
      <c r="AJ23" s="273"/>
      <c r="AK23" s="273"/>
      <c r="AL23" s="273"/>
      <c r="AM23" s="124"/>
      <c r="AN23" s="124"/>
      <c r="AO23" s="124"/>
      <c r="AP23" s="124"/>
    </row>
    <row r="24" spans="2:44" ht="29.15">
      <c r="B24" s="645" t="str">
        <f>B10</f>
        <v xml:space="preserve">Scheme </v>
      </c>
      <c r="C24" s="192"/>
      <c r="D24" s="192"/>
      <c r="E24" s="192"/>
      <c r="F24" s="258"/>
      <c r="G24" s="257" t="s">
        <v>254</v>
      </c>
      <c r="H24" s="257"/>
      <c r="I24" s="257"/>
      <c r="J24" s="257"/>
      <c r="K24" s="264" t="s">
        <v>39</v>
      </c>
      <c r="L24" s="264" t="s">
        <v>40</v>
      </c>
      <c r="M24" s="264" t="s">
        <v>41</v>
      </c>
      <c r="N24" s="264" t="s">
        <v>42</v>
      </c>
      <c r="O24" s="264" t="s">
        <v>43</v>
      </c>
      <c r="P24" s="264" t="s">
        <v>44</v>
      </c>
      <c r="Q24" s="264" t="s">
        <v>45</v>
      </c>
      <c r="R24" s="264" t="s">
        <v>46</v>
      </c>
      <c r="S24" s="124"/>
      <c r="T24" s="264" t="s">
        <v>267</v>
      </c>
      <c r="U24" s="192"/>
      <c r="V24" s="587"/>
      <c r="W24" s="587"/>
      <c r="X24" s="587"/>
      <c r="Y24" s="587"/>
      <c r="Z24" s="587"/>
      <c r="AA24" s="587"/>
      <c r="AB24" s="264" t="s">
        <v>268</v>
      </c>
      <c r="AC24" s="192"/>
      <c r="AD24" s="192"/>
      <c r="AE24" s="270" t="s">
        <v>39</v>
      </c>
      <c r="AF24" s="270" t="s">
        <v>40</v>
      </c>
      <c r="AG24" s="270" t="s">
        <v>41</v>
      </c>
      <c r="AH24" s="270" t="s">
        <v>42</v>
      </c>
      <c r="AI24" s="270" t="s">
        <v>43</v>
      </c>
      <c r="AJ24" s="270" t="s">
        <v>44</v>
      </c>
      <c r="AK24" s="270" t="s">
        <v>45</v>
      </c>
      <c r="AL24" s="270" t="s">
        <v>46</v>
      </c>
      <c r="AM24" s="274"/>
      <c r="AN24" s="271" t="str">
        <f>T24</f>
        <v>T1 Total</v>
      </c>
      <c r="AO24" s="124"/>
      <c r="AP24" s="271" t="str">
        <f>AB24</f>
        <v>T1+2 total</v>
      </c>
    </row>
    <row r="25" spans="2:44" ht="14.6">
      <c r="B25" s="124">
        <v>7</v>
      </c>
      <c r="C25" s="192"/>
      <c r="D25" s="192"/>
      <c r="E25" s="192"/>
      <c r="F25" s="260"/>
      <c r="G25" s="259">
        <v>2023</v>
      </c>
      <c r="H25" s="259"/>
      <c r="I25" s="259"/>
      <c r="J25" s="259"/>
      <c r="K25" s="265">
        <v>0</v>
      </c>
      <c r="L25" s="265">
        <v>0</v>
      </c>
      <c r="M25" s="265">
        <v>0</v>
      </c>
      <c r="N25" s="265">
        <v>0</v>
      </c>
      <c r="O25" s="265">
        <v>0</v>
      </c>
      <c r="P25" s="265">
        <v>0</v>
      </c>
      <c r="Q25" s="265">
        <v>18.803517012198871</v>
      </c>
      <c r="R25" s="265">
        <v>19.099635390343739</v>
      </c>
      <c r="S25" s="124"/>
      <c r="T25" s="591">
        <f>SUM(K25:R25)</f>
        <v>37.903152402542609</v>
      </c>
      <c r="U25" s="124"/>
      <c r="V25" s="649">
        <v>19.379302747480551</v>
      </c>
      <c r="W25" s="649">
        <v>19.675421125625416</v>
      </c>
      <c r="X25" s="263"/>
      <c r="Y25" s="263"/>
      <c r="Z25" s="263"/>
      <c r="AB25" s="284">
        <f>SUM(V25:Z25)</f>
        <v>39.054723873105971</v>
      </c>
      <c r="AD25" s="124"/>
      <c r="AE25" s="646">
        <v>0</v>
      </c>
      <c r="AF25" s="646">
        <v>0</v>
      </c>
      <c r="AG25" s="646">
        <v>0</v>
      </c>
      <c r="AH25" s="646">
        <v>0</v>
      </c>
      <c r="AI25" s="646">
        <v>0</v>
      </c>
      <c r="AJ25" s="646">
        <v>0</v>
      </c>
      <c r="AK25" s="646">
        <v>1.2527535333333333</v>
      </c>
      <c r="AL25" s="646">
        <v>27.930650872066256</v>
      </c>
      <c r="AM25" s="647"/>
      <c r="AN25" s="648">
        <f>SUM(AE25:AL25)</f>
        <v>29.183404405399589</v>
      </c>
      <c r="AO25" s="157"/>
      <c r="AP25" s="648">
        <v>28.458727314600413</v>
      </c>
    </row>
    <row r="26" spans="2:44" ht="15" thickBot="1">
      <c r="B26" s="124"/>
      <c r="C26" s="192"/>
      <c r="D26" s="192"/>
      <c r="E26" s="192"/>
      <c r="F26" s="124"/>
      <c r="G26" s="192"/>
      <c r="H26" s="192"/>
      <c r="I26" s="192"/>
      <c r="J26" s="192"/>
      <c r="K26" s="267">
        <f t="shared" ref="K26:R26" si="5">SUM(K25:K25)</f>
        <v>0</v>
      </c>
      <c r="L26" s="267">
        <f t="shared" si="5"/>
        <v>0</v>
      </c>
      <c r="M26" s="267">
        <f t="shared" si="5"/>
        <v>0</v>
      </c>
      <c r="N26" s="267">
        <f t="shared" si="5"/>
        <v>0</v>
      </c>
      <c r="O26" s="267">
        <f t="shared" si="5"/>
        <v>0</v>
      </c>
      <c r="P26" s="267">
        <f t="shared" si="5"/>
        <v>0</v>
      </c>
      <c r="Q26" s="267">
        <f>SUM(Q25:Q25)</f>
        <v>18.803517012198871</v>
      </c>
      <c r="R26" s="267">
        <f t="shared" si="5"/>
        <v>19.099635390343739</v>
      </c>
      <c r="S26" s="124"/>
      <c r="T26" s="268">
        <f>SUM(T25:T25)</f>
        <v>37.903152402542609</v>
      </c>
      <c r="U26" s="124"/>
      <c r="AB26" s="268">
        <f>SUM(AB25:AB25)</f>
        <v>39.054723873105971</v>
      </c>
      <c r="AC26" s="593">
        <f>AB26+T26</f>
        <v>76.957876275648573</v>
      </c>
      <c r="AD26" s="124"/>
      <c r="AE26" s="275">
        <f t="shared" ref="AE26:AL26" si="6">SUM(AE25:AE25)</f>
        <v>0</v>
      </c>
      <c r="AF26" s="275">
        <f t="shared" si="6"/>
        <v>0</v>
      </c>
      <c r="AG26" s="275">
        <f t="shared" si="6"/>
        <v>0</v>
      </c>
      <c r="AH26" s="275">
        <f t="shared" si="6"/>
        <v>0</v>
      </c>
      <c r="AI26" s="275">
        <f t="shared" si="6"/>
        <v>0</v>
      </c>
      <c r="AJ26" s="275">
        <f t="shared" si="6"/>
        <v>0</v>
      </c>
      <c r="AK26" s="275">
        <f t="shared" si="6"/>
        <v>1.2527535333333333</v>
      </c>
      <c r="AL26" s="275">
        <f t="shared" si="6"/>
        <v>27.930650872066256</v>
      </c>
      <c r="AM26" s="274"/>
      <c r="AN26" s="279">
        <f>SUM(AN25:AN25)</f>
        <v>29.183404405399589</v>
      </c>
      <c r="AO26" s="124"/>
      <c r="AP26" s="279">
        <f>SUM(AP25:AP25)</f>
        <v>28.458727314600413</v>
      </c>
      <c r="AR26" s="585">
        <f>AN26+AP26</f>
        <v>57.642131720000002</v>
      </c>
    </row>
    <row r="27" spans="2:44" ht="12.9" thickTop="1">
      <c r="B27" s="124"/>
      <c r="C27" s="124"/>
      <c r="D27" s="124"/>
      <c r="E27" s="124"/>
      <c r="F27" s="278"/>
      <c r="G27" s="1" t="s">
        <v>253</v>
      </c>
      <c r="H27" s="124"/>
      <c r="I27" s="124"/>
      <c r="J27" s="124"/>
      <c r="K27" s="124"/>
      <c r="L27" s="124"/>
      <c r="M27" s="124"/>
      <c r="N27" s="124"/>
      <c r="O27" s="124"/>
      <c r="P27" s="124"/>
      <c r="Q27" s="124"/>
      <c r="R27" s="124"/>
      <c r="S27" s="124"/>
      <c r="T27" s="124"/>
      <c r="U27" s="124"/>
      <c r="V27" s="292"/>
      <c r="AD27" s="124"/>
      <c r="AE27" s="124"/>
      <c r="AF27" s="124"/>
      <c r="AG27" s="124"/>
      <c r="AH27" s="124"/>
      <c r="AI27" s="124"/>
      <c r="AJ27" s="124"/>
      <c r="AK27" s="124"/>
      <c r="AL27" s="124"/>
      <c r="AN27" s="124"/>
      <c r="AO27" s="124"/>
      <c r="AP27" s="124"/>
    </row>
    <row r="28" spans="2:44">
      <c r="B28" s="124"/>
      <c r="C28" s="124"/>
      <c r="D28" s="124"/>
      <c r="E28" s="124"/>
      <c r="F28" s="124"/>
      <c r="G28" s="124"/>
      <c r="H28" s="124"/>
      <c r="I28" s="124"/>
      <c r="J28" s="124"/>
      <c r="K28" s="124"/>
      <c r="L28" s="124"/>
      <c r="M28" s="124"/>
      <c r="N28" s="124"/>
      <c r="O28" s="124"/>
      <c r="P28" s="124"/>
      <c r="Q28" s="124"/>
      <c r="R28" s="124"/>
      <c r="S28" s="238" t="s">
        <v>226</v>
      </c>
      <c r="T28" s="282">
        <f>T26*'Universal data'!$C$52</f>
        <v>28.866950857348503</v>
      </c>
      <c r="U28" s="282"/>
      <c r="V28" s="282"/>
      <c r="W28" s="282"/>
      <c r="X28" s="282"/>
      <c r="Y28" s="282"/>
      <c r="Z28" s="282"/>
      <c r="AA28" s="282"/>
      <c r="AB28" s="282">
        <f>AB26*'Universal data'!C52</f>
        <v>29.743984954576973</v>
      </c>
      <c r="AC28" s="282"/>
      <c r="AD28" s="282"/>
      <c r="AE28" s="282"/>
      <c r="AF28" s="282"/>
      <c r="AG28" s="282"/>
      <c r="AH28" s="282"/>
      <c r="AI28" s="282"/>
      <c r="AJ28" s="282"/>
      <c r="AK28" s="282"/>
      <c r="AL28" s="282"/>
      <c r="AM28" s="238" t="s">
        <v>226</v>
      </c>
      <c r="AN28" s="282">
        <f>AN26*'Universal data'!$C$52</f>
        <v>22.226011490386895</v>
      </c>
      <c r="AP28" s="282">
        <f>AP26*'Universal data'!$C$52</f>
        <v>21.674099138997814</v>
      </c>
    </row>
    <row r="30" spans="2:44">
      <c r="Q30" s="124"/>
      <c r="R30" s="124"/>
    </row>
  </sheetData>
  <mergeCells count="1">
    <mergeCell ref="B2:R5"/>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AQ38"/>
  <sheetViews>
    <sheetView zoomScale="80" zoomScaleNormal="80" workbookViewId="0">
      <selection activeCell="O41" sqref="O41"/>
    </sheetView>
  </sheetViews>
  <sheetFormatPr defaultRowHeight="12.45"/>
  <cols>
    <col min="9" max="9" width="11.59765625" customWidth="1"/>
    <col min="10" max="17" width="9.3984375" bestFit="1" customWidth="1"/>
    <col min="19" max="19" width="9.3984375" bestFit="1" customWidth="1"/>
    <col min="20" max="21" width="10.3984375" bestFit="1" customWidth="1"/>
    <col min="22" max="23" width="9.3984375" bestFit="1" customWidth="1"/>
    <col min="25" max="25" width="10.3984375" customWidth="1"/>
    <col min="26" max="26" width="10.3984375" bestFit="1" customWidth="1"/>
  </cols>
  <sheetData>
    <row r="1" spans="2:28" ht="12.9" thickBot="1"/>
    <row r="2" spans="2:28">
      <c r="B2" s="808" t="s">
        <v>558</v>
      </c>
      <c r="C2" s="809"/>
      <c r="D2" s="809"/>
      <c r="E2" s="809"/>
      <c r="F2" s="809"/>
      <c r="G2" s="809"/>
      <c r="H2" s="809"/>
      <c r="I2" s="809"/>
      <c r="J2" s="809"/>
      <c r="K2" s="809"/>
      <c r="L2" s="809"/>
      <c r="M2" s="809"/>
      <c r="N2" s="809"/>
      <c r="O2" s="809"/>
      <c r="P2" s="809"/>
      <c r="Q2" s="809"/>
      <c r="R2" s="810"/>
    </row>
    <row r="3" spans="2:28">
      <c r="B3" s="811"/>
      <c r="C3" s="812"/>
      <c r="D3" s="812"/>
      <c r="E3" s="812"/>
      <c r="F3" s="812"/>
      <c r="G3" s="812"/>
      <c r="H3" s="812"/>
      <c r="I3" s="812"/>
      <c r="J3" s="812"/>
      <c r="K3" s="812"/>
      <c r="L3" s="812"/>
      <c r="M3" s="812"/>
      <c r="N3" s="812"/>
      <c r="O3" s="812"/>
      <c r="P3" s="812"/>
      <c r="Q3" s="812"/>
      <c r="R3" s="813"/>
    </row>
    <row r="4" spans="2:28">
      <c r="B4" s="811"/>
      <c r="C4" s="812"/>
      <c r="D4" s="812"/>
      <c r="E4" s="812"/>
      <c r="F4" s="812"/>
      <c r="G4" s="812"/>
      <c r="H4" s="812"/>
      <c r="I4" s="812"/>
      <c r="J4" s="812"/>
      <c r="K4" s="812"/>
      <c r="L4" s="812"/>
      <c r="M4" s="812"/>
      <c r="N4" s="812"/>
      <c r="O4" s="812"/>
      <c r="P4" s="812"/>
      <c r="Q4" s="812"/>
      <c r="R4" s="813"/>
    </row>
    <row r="5" spans="2:28">
      <c r="B5" s="811"/>
      <c r="C5" s="812"/>
      <c r="D5" s="812"/>
      <c r="E5" s="812"/>
      <c r="F5" s="812"/>
      <c r="G5" s="812"/>
      <c r="H5" s="812"/>
      <c r="I5" s="812"/>
      <c r="J5" s="812"/>
      <c r="K5" s="812"/>
      <c r="L5" s="812"/>
      <c r="M5" s="812"/>
      <c r="N5" s="812"/>
      <c r="O5" s="812"/>
      <c r="P5" s="812"/>
      <c r="Q5" s="812"/>
      <c r="R5" s="813"/>
    </row>
    <row r="6" spans="2:28">
      <c r="B6" s="811"/>
      <c r="C6" s="812"/>
      <c r="D6" s="812"/>
      <c r="E6" s="812"/>
      <c r="F6" s="812"/>
      <c r="G6" s="812"/>
      <c r="H6" s="812"/>
      <c r="I6" s="812"/>
      <c r="J6" s="812"/>
      <c r="K6" s="812"/>
      <c r="L6" s="812"/>
      <c r="M6" s="812"/>
      <c r="N6" s="812"/>
      <c r="O6" s="812"/>
      <c r="P6" s="812"/>
      <c r="Q6" s="812"/>
      <c r="R6" s="813"/>
    </row>
    <row r="7" spans="2:28">
      <c r="B7" s="811"/>
      <c r="C7" s="812"/>
      <c r="D7" s="812"/>
      <c r="E7" s="812"/>
      <c r="F7" s="812"/>
      <c r="G7" s="812"/>
      <c r="H7" s="812"/>
      <c r="I7" s="812"/>
      <c r="J7" s="812"/>
      <c r="K7" s="812"/>
      <c r="L7" s="812"/>
      <c r="M7" s="812"/>
      <c r="N7" s="812"/>
      <c r="O7" s="812"/>
      <c r="P7" s="812"/>
      <c r="Q7" s="812"/>
      <c r="R7" s="813"/>
    </row>
    <row r="8" spans="2:28" ht="31.5" customHeight="1" thickBot="1">
      <c r="B8" s="814"/>
      <c r="C8" s="815"/>
      <c r="D8" s="815"/>
      <c r="E8" s="815"/>
      <c r="F8" s="815"/>
      <c r="G8" s="815"/>
      <c r="H8" s="815"/>
      <c r="I8" s="815"/>
      <c r="J8" s="815"/>
      <c r="K8" s="815"/>
      <c r="L8" s="815"/>
      <c r="M8" s="815"/>
      <c r="N8" s="815"/>
      <c r="O8" s="815"/>
      <c r="P8" s="815"/>
      <c r="Q8" s="815"/>
      <c r="R8" s="816"/>
    </row>
    <row r="9" spans="2:28">
      <c r="Y9" t="s">
        <v>247</v>
      </c>
      <c r="Z9" s="124" t="s">
        <v>391</v>
      </c>
    </row>
    <row r="10" spans="2:28">
      <c r="B10" s="1" t="s">
        <v>248</v>
      </c>
      <c r="J10" s="256" t="s">
        <v>131</v>
      </c>
      <c r="K10" s="256" t="s">
        <v>131</v>
      </c>
      <c r="L10" s="256" t="s">
        <v>131</v>
      </c>
      <c r="M10" s="256" t="s">
        <v>131</v>
      </c>
      <c r="N10" s="256" t="s">
        <v>131</v>
      </c>
      <c r="O10" s="256" t="s">
        <v>131</v>
      </c>
      <c r="P10" s="256" t="s">
        <v>132</v>
      </c>
      <c r="Q10" s="256" t="s">
        <v>132</v>
      </c>
      <c r="R10" s="256"/>
      <c r="S10" s="256" t="s">
        <v>132</v>
      </c>
      <c r="T10" s="256" t="s">
        <v>132</v>
      </c>
      <c r="U10" s="256" t="s">
        <v>132</v>
      </c>
      <c r="V10" s="256" t="s">
        <v>132</v>
      </c>
      <c r="W10" s="256" t="s">
        <v>132</v>
      </c>
      <c r="Y10" s="124"/>
      <c r="Z10" s="124"/>
      <c r="AA10" s="124"/>
      <c r="AB10" s="124"/>
    </row>
    <row r="11" spans="2:28">
      <c r="B11" s="195"/>
      <c r="H11" s="1" t="s">
        <v>250</v>
      </c>
      <c r="I11" s="124"/>
      <c r="J11" s="652">
        <v>2014</v>
      </c>
      <c r="K11" s="652">
        <v>2015</v>
      </c>
      <c r="L11" s="652">
        <v>2016</v>
      </c>
      <c r="M11" s="652">
        <v>2017</v>
      </c>
      <c r="N11" s="652">
        <v>2018</v>
      </c>
      <c r="O11" s="652">
        <v>2019</v>
      </c>
      <c r="P11" s="652">
        <v>2020</v>
      </c>
      <c r="Q11" s="652">
        <v>2021</v>
      </c>
      <c r="R11" s="652"/>
      <c r="S11" s="652">
        <v>2022</v>
      </c>
      <c r="T11" s="652">
        <v>2023</v>
      </c>
      <c r="U11" s="652">
        <v>2024</v>
      </c>
      <c r="V11" s="652">
        <v>2025</v>
      </c>
      <c r="W11" s="652">
        <v>2026</v>
      </c>
      <c r="Y11" s="124"/>
      <c r="Z11" s="124"/>
      <c r="AA11" s="124"/>
    </row>
    <row r="12" spans="2:28" ht="14.6">
      <c r="B12" s="255">
        <v>1</v>
      </c>
      <c r="H12" s="285">
        <v>2024</v>
      </c>
      <c r="I12" s="124"/>
      <c r="J12" s="157">
        <v>0</v>
      </c>
      <c r="K12" s="157">
        <v>7.6163441422537143E-2</v>
      </c>
      <c r="L12" s="157">
        <v>4.3680965240639998E-3</v>
      </c>
      <c r="M12" s="157">
        <v>2.4286353664263603E-2</v>
      </c>
      <c r="N12" s="157">
        <v>2.9398895599999999E-4</v>
      </c>
      <c r="O12" s="157">
        <v>6.5963670000000002E-2</v>
      </c>
      <c r="P12" s="157">
        <v>0.35018039215686275</v>
      </c>
      <c r="Q12" s="157">
        <v>2.3144521337946942</v>
      </c>
      <c r="R12" s="157"/>
      <c r="S12" s="157">
        <v>3.3215505348621575</v>
      </c>
      <c r="T12" s="157">
        <v>3.2656605472623799</v>
      </c>
      <c r="U12" s="157">
        <v>1.0754901240547172</v>
      </c>
      <c r="V12" s="157">
        <v>0</v>
      </c>
      <c r="W12" s="157">
        <v>0</v>
      </c>
      <c r="Y12" s="124"/>
      <c r="Z12" s="124"/>
    </row>
    <row r="13" spans="2:28" ht="14.6">
      <c r="B13" s="255">
        <v>2</v>
      </c>
      <c r="H13" s="285">
        <v>2024</v>
      </c>
      <c r="I13" s="124"/>
      <c r="J13" s="653">
        <v>0</v>
      </c>
      <c r="K13" s="653">
        <v>0</v>
      </c>
      <c r="L13" s="653">
        <v>0</v>
      </c>
      <c r="M13" s="653">
        <v>3.0630988206E-2</v>
      </c>
      <c r="N13" s="653">
        <v>0</v>
      </c>
      <c r="O13" s="653">
        <v>0.1002677</v>
      </c>
      <c r="P13" s="653">
        <v>0.38719215686274511</v>
      </c>
      <c r="Q13" s="653">
        <v>5.1290590157631684</v>
      </c>
      <c r="R13" s="653"/>
      <c r="S13" s="653">
        <v>7.5851604963400208</v>
      </c>
      <c r="T13" s="653">
        <v>7.4364318591568832</v>
      </c>
      <c r="U13" s="653">
        <v>2.6014400319934801</v>
      </c>
      <c r="V13" s="653">
        <v>0</v>
      </c>
      <c r="W13" s="653">
        <v>0</v>
      </c>
      <c r="Y13" s="124"/>
      <c r="Z13" s="124"/>
    </row>
    <row r="14" spans="2:28" ht="14.6">
      <c r="B14" s="255">
        <v>3</v>
      </c>
      <c r="H14" s="285">
        <v>2024</v>
      </c>
      <c r="I14" s="124"/>
      <c r="J14" s="653">
        <v>0</v>
      </c>
      <c r="K14" s="653">
        <v>0</v>
      </c>
      <c r="L14" s="653">
        <v>0</v>
      </c>
      <c r="M14" s="653">
        <v>0</v>
      </c>
      <c r="N14" s="653">
        <v>0</v>
      </c>
      <c r="O14" s="653">
        <v>0.21224610949895312</v>
      </c>
      <c r="P14" s="653">
        <v>9.3493137254901965E-2</v>
      </c>
      <c r="Q14" s="653">
        <v>0.75930699730872742</v>
      </c>
      <c r="R14" s="653"/>
      <c r="S14" s="653">
        <v>2.1201762519694536</v>
      </c>
      <c r="T14" s="653">
        <v>1.5728108078385254</v>
      </c>
      <c r="U14" s="653">
        <v>4.5286540491495794E-3</v>
      </c>
      <c r="V14" s="653">
        <v>0</v>
      </c>
      <c r="W14" s="653">
        <v>0</v>
      </c>
      <c r="Y14" s="124"/>
      <c r="Z14" s="124"/>
    </row>
    <row r="15" spans="2:28" ht="14.6">
      <c r="B15" s="255">
        <v>4</v>
      </c>
      <c r="H15" s="285">
        <v>2019</v>
      </c>
      <c r="I15" s="124"/>
      <c r="J15" s="653">
        <v>0</v>
      </c>
      <c r="K15" s="653">
        <v>0</v>
      </c>
      <c r="L15" s="653">
        <v>0</v>
      </c>
      <c r="M15" s="653">
        <v>0</v>
      </c>
      <c r="N15" s="653">
        <v>0</v>
      </c>
      <c r="O15" s="653">
        <v>2.5270018783455903</v>
      </c>
      <c r="P15" s="653">
        <v>0</v>
      </c>
      <c r="Q15" s="653">
        <v>0</v>
      </c>
      <c r="R15" s="653"/>
      <c r="S15" s="653">
        <v>0</v>
      </c>
      <c r="T15" s="653">
        <v>0</v>
      </c>
      <c r="U15" s="653">
        <v>0</v>
      </c>
      <c r="V15" s="653">
        <v>0</v>
      </c>
      <c r="W15" s="653">
        <v>0</v>
      </c>
      <c r="Y15" s="124"/>
      <c r="Z15" s="124"/>
    </row>
    <row r="16" spans="2:28" ht="14.6">
      <c r="B16" s="255">
        <v>5</v>
      </c>
      <c r="H16" s="285">
        <v>2024</v>
      </c>
      <c r="I16" s="124"/>
      <c r="J16" s="653">
        <v>0</v>
      </c>
      <c r="K16" s="653">
        <v>0</v>
      </c>
      <c r="L16" s="653">
        <v>0</v>
      </c>
      <c r="M16" s="653">
        <v>0</v>
      </c>
      <c r="N16" s="653">
        <v>0</v>
      </c>
      <c r="O16" s="653">
        <v>0.54258371494053992</v>
      </c>
      <c r="P16" s="653">
        <v>0.19692058823529413</v>
      </c>
      <c r="Q16" s="653">
        <v>1.9303489042675896</v>
      </c>
      <c r="R16" s="653"/>
      <c r="S16" s="653">
        <v>5.2251811143526998</v>
      </c>
      <c r="T16" s="653">
        <v>3.8974756625856353</v>
      </c>
      <c r="U16" s="653">
        <v>1.8114616196598318E-2</v>
      </c>
      <c r="V16" s="653">
        <v>0</v>
      </c>
      <c r="W16" s="653">
        <v>0</v>
      </c>
      <c r="Y16" s="124"/>
      <c r="Z16" s="124"/>
    </row>
    <row r="17" spans="2:26" ht="14.6">
      <c r="B17" s="255">
        <v>6</v>
      </c>
      <c r="H17" s="285">
        <v>2024</v>
      </c>
      <c r="I17" s="124"/>
      <c r="J17" s="653">
        <v>0</v>
      </c>
      <c r="K17" s="653">
        <v>0</v>
      </c>
      <c r="L17" s="653">
        <v>0</v>
      </c>
      <c r="M17" s="653">
        <v>0</v>
      </c>
      <c r="N17" s="653">
        <v>0</v>
      </c>
      <c r="O17" s="653">
        <v>0.51385861427106594</v>
      </c>
      <c r="P17" s="653">
        <v>0.27822941176470589</v>
      </c>
      <c r="Q17" s="653">
        <v>1.8930084582852751</v>
      </c>
      <c r="R17" s="653"/>
      <c r="S17" s="653">
        <v>5.0022794777272699</v>
      </c>
      <c r="T17" s="653">
        <v>3.7566733050503598</v>
      </c>
      <c r="U17" s="653">
        <v>1.3585962147448737E-2</v>
      </c>
      <c r="V17" s="653">
        <v>0</v>
      </c>
      <c r="W17" s="653">
        <v>0</v>
      </c>
      <c r="Y17" s="124"/>
      <c r="Z17" s="124"/>
    </row>
    <row r="18" spans="2:26" ht="14.6">
      <c r="B18" s="255">
        <v>7</v>
      </c>
      <c r="H18" s="285">
        <v>2018</v>
      </c>
      <c r="I18" s="124"/>
      <c r="J18" s="653">
        <v>0</v>
      </c>
      <c r="K18" s="653">
        <v>0</v>
      </c>
      <c r="L18" s="653">
        <v>2.1840482620319999E-3</v>
      </c>
      <c r="M18" s="653">
        <v>1.7207131360692E-3</v>
      </c>
      <c r="N18" s="653">
        <v>6.3463523519999999E-3</v>
      </c>
      <c r="O18" s="653">
        <v>0</v>
      </c>
      <c r="P18" s="653">
        <v>0</v>
      </c>
      <c r="Q18" s="653">
        <v>0</v>
      </c>
      <c r="R18" s="653"/>
      <c r="S18" s="653">
        <v>0</v>
      </c>
      <c r="T18" s="653">
        <v>0</v>
      </c>
      <c r="U18" s="653">
        <v>0</v>
      </c>
      <c r="V18" s="653">
        <v>0</v>
      </c>
      <c r="W18" s="653">
        <v>0</v>
      </c>
      <c r="Y18" s="124"/>
      <c r="Z18" s="124"/>
    </row>
    <row r="19" spans="2:26" ht="14.6">
      <c r="B19" s="255">
        <v>8</v>
      </c>
      <c r="H19" s="285">
        <v>2024</v>
      </c>
      <c r="I19" s="124"/>
      <c r="J19" s="653">
        <v>0</v>
      </c>
      <c r="K19" s="653">
        <v>0</v>
      </c>
      <c r="L19" s="653">
        <v>0</v>
      </c>
      <c r="M19" s="653">
        <v>0</v>
      </c>
      <c r="N19" s="653">
        <v>0</v>
      </c>
      <c r="O19" s="653">
        <v>5.1285310000000001E-2</v>
      </c>
      <c r="P19" s="653">
        <v>0.30452352941176469</v>
      </c>
      <c r="Q19" s="653">
        <v>1.2345982314494426</v>
      </c>
      <c r="R19" s="653"/>
      <c r="S19" s="653">
        <v>1.7294752772312301</v>
      </c>
      <c r="T19" s="653">
        <v>1.6955639972855201</v>
      </c>
      <c r="U19" s="653">
        <v>0.6</v>
      </c>
      <c r="V19" s="653">
        <v>0</v>
      </c>
      <c r="W19" s="653">
        <v>0</v>
      </c>
      <c r="Y19" s="124"/>
      <c r="Z19" s="124"/>
    </row>
    <row r="20" spans="2:26" ht="14.6">
      <c r="B20" s="255">
        <v>9</v>
      </c>
      <c r="H20" s="285">
        <v>2024</v>
      </c>
      <c r="I20" s="124"/>
      <c r="J20" s="653">
        <v>0</v>
      </c>
      <c r="K20" s="653">
        <v>0</v>
      </c>
      <c r="L20" s="653">
        <v>0</v>
      </c>
      <c r="M20" s="653">
        <v>0</v>
      </c>
      <c r="N20" s="653">
        <v>0</v>
      </c>
      <c r="O20" s="653">
        <v>0</v>
      </c>
      <c r="P20" s="653">
        <v>0.60033137254902003</v>
      </c>
      <c r="Q20" s="653">
        <v>5.8855988081507098</v>
      </c>
      <c r="R20" s="653"/>
      <c r="S20" s="653">
        <v>2.8850979261370102</v>
      </c>
      <c r="T20" s="653">
        <v>9.3341397025749906</v>
      </c>
      <c r="U20" s="653">
        <v>9.7057298423644909</v>
      </c>
      <c r="V20" s="653">
        <v>0</v>
      </c>
      <c r="W20" s="653">
        <v>0</v>
      </c>
      <c r="Y20" s="124"/>
      <c r="Z20" s="124"/>
    </row>
    <row r="21" spans="2:26" ht="14.6">
      <c r="B21" s="255">
        <v>10</v>
      </c>
      <c r="H21" s="285">
        <v>2026</v>
      </c>
      <c r="I21" s="124"/>
      <c r="J21" s="653">
        <v>0</v>
      </c>
      <c r="K21" s="653">
        <v>0</v>
      </c>
      <c r="L21" s="653">
        <v>0</v>
      </c>
      <c r="M21" s="653">
        <v>0</v>
      </c>
      <c r="N21" s="653">
        <v>0</v>
      </c>
      <c r="O21" s="653">
        <v>0</v>
      </c>
      <c r="P21" s="653">
        <v>0</v>
      </c>
      <c r="Q21" s="653">
        <v>0.253859092656671</v>
      </c>
      <c r="R21" s="653"/>
      <c r="S21" s="653">
        <v>2.48880992227725</v>
      </c>
      <c r="T21" s="653">
        <v>1.2200053257841099</v>
      </c>
      <c r="U21" s="653">
        <v>3.5882500524577501</v>
      </c>
      <c r="V21" s="653">
        <v>4.1042081683214899</v>
      </c>
      <c r="W21" s="653">
        <v>0.344891567081832</v>
      </c>
      <c r="Y21" s="124"/>
      <c r="Z21" s="124"/>
    </row>
    <row r="22" spans="2:26" ht="12.9" thickBot="1">
      <c r="H22" s="285"/>
      <c r="J22" s="157"/>
      <c r="K22" s="157"/>
      <c r="L22" s="157"/>
      <c r="M22" s="157"/>
      <c r="N22" s="157"/>
      <c r="O22" s="157"/>
      <c r="P22" s="157"/>
      <c r="Q22" s="157"/>
      <c r="R22" s="157"/>
      <c r="S22" s="157"/>
      <c r="T22" s="157"/>
      <c r="U22" s="157"/>
      <c r="V22" s="157"/>
      <c r="W22" s="157"/>
      <c r="Y22" s="124"/>
      <c r="Z22" s="124"/>
    </row>
    <row r="23" spans="2:26" ht="12.9" thickBot="1">
      <c r="H23" s="285"/>
      <c r="J23" s="451">
        <f>SUM(J12:J21)</f>
        <v>0</v>
      </c>
      <c r="K23" s="452">
        <f t="shared" ref="K23:W23" si="0">SUM(K12:K21)</f>
        <v>7.6163441422537143E-2</v>
      </c>
      <c r="L23" s="452">
        <f t="shared" si="0"/>
        <v>6.5521447860960001E-3</v>
      </c>
      <c r="M23" s="452">
        <f t="shared" si="0"/>
        <v>5.6638055006332809E-2</v>
      </c>
      <c r="N23" s="452">
        <f t="shared" si="0"/>
        <v>6.6403413079999998E-3</v>
      </c>
      <c r="O23" s="452">
        <f t="shared" si="0"/>
        <v>4.013206997056149</v>
      </c>
      <c r="P23" s="452">
        <f t="shared" si="0"/>
        <v>2.210870588235295</v>
      </c>
      <c r="Q23" s="453">
        <f t="shared" si="0"/>
        <v>19.400231641676278</v>
      </c>
      <c r="R23" s="157"/>
      <c r="S23" s="157">
        <f t="shared" si="0"/>
        <v>30.357731000897097</v>
      </c>
      <c r="T23" s="157">
        <f t="shared" si="0"/>
        <v>32.178761207538408</v>
      </c>
      <c r="U23" s="157">
        <f t="shared" si="0"/>
        <v>17.607139283263635</v>
      </c>
      <c r="V23" s="157">
        <f t="shared" si="0"/>
        <v>4.1042081683214899</v>
      </c>
      <c r="W23" s="157">
        <f t="shared" si="0"/>
        <v>0.344891567081832</v>
      </c>
      <c r="Y23" s="521">
        <f>SUM(J23:Q23)</f>
        <v>25.770303209490688</v>
      </c>
      <c r="Z23" s="157">
        <f>SUM(S23:W23)</f>
        <v>84.592731227102462</v>
      </c>
    </row>
    <row r="24" spans="2:26">
      <c r="H24" s="285"/>
      <c r="J24" s="157"/>
      <c r="K24" s="157"/>
      <c r="L24" s="157"/>
      <c r="M24" s="157"/>
      <c r="N24" s="157"/>
      <c r="O24" s="157"/>
      <c r="P24" s="157"/>
      <c r="Q24" s="157"/>
      <c r="R24" s="157"/>
      <c r="S24" s="157"/>
      <c r="T24" s="157"/>
      <c r="U24" s="157"/>
      <c r="V24" s="157"/>
      <c r="W24" s="157"/>
      <c r="X24" s="466"/>
      <c r="Y24" s="520"/>
      <c r="Z24" s="157"/>
    </row>
    <row r="25" spans="2:26">
      <c r="B25" s="1" t="s">
        <v>249</v>
      </c>
      <c r="H25" s="285"/>
      <c r="J25" s="454" t="s">
        <v>131</v>
      </c>
      <c r="K25" s="454" t="s">
        <v>131</v>
      </c>
      <c r="L25" s="454" t="s">
        <v>131</v>
      </c>
      <c r="M25" s="454" t="s">
        <v>131</v>
      </c>
      <c r="N25" s="454" t="s">
        <v>131</v>
      </c>
      <c r="O25" s="454" t="s">
        <v>131</v>
      </c>
      <c r="P25" s="454" t="s">
        <v>132</v>
      </c>
      <c r="Q25" s="454" t="s">
        <v>132</v>
      </c>
      <c r="R25" s="454"/>
      <c r="S25" s="454" t="s">
        <v>132</v>
      </c>
      <c r="T25" s="454" t="s">
        <v>132</v>
      </c>
      <c r="U25" s="454" t="s">
        <v>132</v>
      </c>
      <c r="V25" s="454" t="s">
        <v>132</v>
      </c>
      <c r="W25" s="454" t="s">
        <v>132</v>
      </c>
      <c r="X25" s="124"/>
      <c r="Y25" s="157"/>
      <c r="Z25" s="157"/>
    </row>
    <row r="26" spans="2:26">
      <c r="B26" s="195"/>
      <c r="H26" s="651" t="s">
        <v>250</v>
      </c>
      <c r="J26" s="652">
        <v>2014</v>
      </c>
      <c r="K26" s="652">
        <v>2015</v>
      </c>
      <c r="L26" s="652">
        <v>2016</v>
      </c>
      <c r="M26" s="652">
        <v>2017</v>
      </c>
      <c r="N26" s="652">
        <v>2018</v>
      </c>
      <c r="O26" s="652">
        <v>2019</v>
      </c>
      <c r="P26" s="652">
        <v>2020</v>
      </c>
      <c r="Q26" s="652">
        <v>2021</v>
      </c>
      <c r="R26" s="652"/>
      <c r="S26" s="652">
        <v>2022</v>
      </c>
      <c r="T26" s="652">
        <v>2023</v>
      </c>
      <c r="U26" s="652">
        <v>2024</v>
      </c>
      <c r="V26" s="652">
        <v>2025</v>
      </c>
      <c r="W26" s="652">
        <v>2026</v>
      </c>
      <c r="X26" s="124"/>
      <c r="Y26" s="157"/>
      <c r="Z26" s="519"/>
    </row>
    <row r="27" spans="2:26">
      <c r="B27">
        <v>11</v>
      </c>
      <c r="H27" s="285">
        <v>2023</v>
      </c>
      <c r="J27" s="157">
        <v>0</v>
      </c>
      <c r="K27" s="157">
        <v>0</v>
      </c>
      <c r="L27" s="157">
        <v>0</v>
      </c>
      <c r="M27" s="157">
        <v>0</v>
      </c>
      <c r="N27" s="157">
        <v>0</v>
      </c>
      <c r="O27" s="157">
        <v>0</v>
      </c>
      <c r="P27" s="157">
        <v>0</v>
      </c>
      <c r="Q27" s="157">
        <v>1.0388379736307374</v>
      </c>
      <c r="S27" s="157">
        <v>13.68950090873108</v>
      </c>
      <c r="T27" s="157">
        <v>53.900457788865545</v>
      </c>
      <c r="U27" s="157">
        <v>15.461411821113074</v>
      </c>
      <c r="V27" s="157">
        <v>0</v>
      </c>
      <c r="W27" s="157">
        <v>0</v>
      </c>
      <c r="X27" s="124"/>
      <c r="Y27" s="157"/>
      <c r="Z27" s="519"/>
    </row>
    <row r="28" spans="2:26">
      <c r="B28">
        <v>12</v>
      </c>
      <c r="H28" s="285">
        <v>2024</v>
      </c>
      <c r="J28" s="157">
        <v>0</v>
      </c>
      <c r="K28" s="157">
        <v>0</v>
      </c>
      <c r="L28" s="157">
        <v>0</v>
      </c>
      <c r="M28" s="157">
        <v>0</v>
      </c>
      <c r="N28" s="157">
        <v>0</v>
      </c>
      <c r="O28" s="157">
        <v>0</v>
      </c>
      <c r="P28" s="157">
        <v>3.040375869027633</v>
      </c>
      <c r="Q28" s="157">
        <v>10.708726656065362</v>
      </c>
      <c r="S28" s="157">
        <v>24.522421278390215</v>
      </c>
      <c r="T28" s="157">
        <v>32.357608657886686</v>
      </c>
      <c r="U28" s="157">
        <v>8.6095895684729129</v>
      </c>
      <c r="V28" s="157">
        <v>0</v>
      </c>
      <c r="W28" s="157">
        <v>0</v>
      </c>
      <c r="X28" s="124"/>
      <c r="Y28" s="157"/>
      <c r="Z28" s="519"/>
    </row>
    <row r="29" spans="2:26">
      <c r="B29">
        <v>13</v>
      </c>
      <c r="H29" s="285">
        <v>2024</v>
      </c>
      <c r="J29" s="157">
        <v>0</v>
      </c>
      <c r="K29" s="157">
        <v>0</v>
      </c>
      <c r="L29" s="157">
        <v>0</v>
      </c>
      <c r="M29" s="157">
        <v>0</v>
      </c>
      <c r="N29" s="157">
        <v>0</v>
      </c>
      <c r="O29" s="157">
        <v>0</v>
      </c>
      <c r="P29" s="157">
        <v>0</v>
      </c>
      <c r="Q29" s="157">
        <v>3.5508938869665498</v>
      </c>
      <c r="S29" s="157">
        <v>10.443805549901622</v>
      </c>
      <c r="T29" s="157">
        <v>7.8640383338203845</v>
      </c>
      <c r="U29" s="157">
        <v>2.2643270245747898E-2</v>
      </c>
      <c r="V29" s="157">
        <v>0</v>
      </c>
      <c r="W29" s="157">
        <v>0</v>
      </c>
      <c r="X29" s="124"/>
      <c r="Y29" s="157"/>
      <c r="Z29" s="519"/>
    </row>
    <row r="30" spans="2:26">
      <c r="B30">
        <v>14</v>
      </c>
      <c r="H30">
        <v>2024</v>
      </c>
      <c r="J30" s="157">
        <v>0</v>
      </c>
      <c r="K30" s="157">
        <v>0</v>
      </c>
      <c r="L30" s="157">
        <v>0</v>
      </c>
      <c r="M30" s="157">
        <v>0</v>
      </c>
      <c r="N30" s="157">
        <v>0</v>
      </c>
      <c r="O30" s="157">
        <v>0</v>
      </c>
      <c r="P30" s="157">
        <v>1.0194852868765447</v>
      </c>
      <c r="Q30" s="157">
        <v>1.4696796174278566</v>
      </c>
      <c r="S30" s="157">
        <v>15.116606269005713</v>
      </c>
      <c r="T30" s="157">
        <v>39.067806421230102</v>
      </c>
      <c r="U30" s="157">
        <v>11.295311543889859</v>
      </c>
      <c r="V30" s="157">
        <v>0</v>
      </c>
      <c r="W30" s="157">
        <v>0</v>
      </c>
      <c r="X30" s="124"/>
      <c r="Y30" s="157"/>
      <c r="Z30" s="157"/>
    </row>
    <row r="31" spans="2:26" ht="12.9" thickBot="1">
      <c r="J31" s="157"/>
      <c r="K31" s="157"/>
      <c r="L31" s="157"/>
      <c r="M31" s="157"/>
      <c r="N31" s="157"/>
      <c r="O31" s="157"/>
      <c r="P31" s="157"/>
      <c r="Q31" s="157"/>
      <c r="R31" s="157"/>
      <c r="S31" s="157"/>
      <c r="T31" s="157"/>
      <c r="U31" s="157"/>
      <c r="V31" s="157"/>
      <c r="W31" s="157"/>
      <c r="Y31" s="157"/>
      <c r="Z31" s="157"/>
    </row>
    <row r="32" spans="2:26" ht="12.9" thickBot="1">
      <c r="J32" s="451">
        <f>SUM(J27:J30)</f>
        <v>0</v>
      </c>
      <c r="K32" s="452">
        <f t="shared" ref="K32:W32" si="1">SUM(K27:K30)</f>
        <v>0</v>
      </c>
      <c r="L32" s="452">
        <f t="shared" si="1"/>
        <v>0</v>
      </c>
      <c r="M32" s="452">
        <f t="shared" si="1"/>
        <v>0</v>
      </c>
      <c r="N32" s="452">
        <f t="shared" si="1"/>
        <v>0</v>
      </c>
      <c r="O32" s="452">
        <f t="shared" si="1"/>
        <v>0</v>
      </c>
      <c r="P32" s="452">
        <f t="shared" si="1"/>
        <v>4.0598611559041782</v>
      </c>
      <c r="Q32" s="453">
        <f t="shared" si="1"/>
        <v>16.768138134090506</v>
      </c>
      <c r="R32" s="157"/>
      <c r="S32" s="157">
        <f>SUM(S27:S30)</f>
        <v>63.772334006028629</v>
      </c>
      <c r="T32" s="157">
        <f t="shared" si="1"/>
        <v>133.18991120180272</v>
      </c>
      <c r="U32" s="157">
        <f t="shared" si="1"/>
        <v>35.388956203721591</v>
      </c>
      <c r="V32" s="157">
        <f t="shared" si="1"/>
        <v>0</v>
      </c>
      <c r="W32" s="157">
        <f t="shared" si="1"/>
        <v>0</v>
      </c>
      <c r="Y32" s="521">
        <f>SUM(J32:Q32)</f>
        <v>20.827999289994686</v>
      </c>
      <c r="Z32" s="157">
        <f t="shared" ref="Z32:Z34" si="2">SUM(S32:W32)</f>
        <v>232.35120141155295</v>
      </c>
    </row>
    <row r="33" spans="9:43" ht="12.9" thickBot="1">
      <c r="J33" s="157"/>
      <c r="K33" s="157"/>
      <c r="L33" s="157"/>
      <c r="M33" s="157"/>
      <c r="N33" s="157"/>
      <c r="O33" s="157"/>
      <c r="P33" s="157"/>
      <c r="Q33" s="157"/>
      <c r="R33" s="157"/>
      <c r="S33" s="157"/>
      <c r="T33" s="157"/>
      <c r="U33" s="157"/>
      <c r="V33" s="157"/>
      <c r="W33" s="157"/>
      <c r="Y33" s="157"/>
      <c r="Z33" s="157"/>
    </row>
    <row r="34" spans="9:43" ht="12.9" thickBot="1">
      <c r="I34" s="460"/>
      <c r="J34" s="654">
        <f>J32+J23</f>
        <v>0</v>
      </c>
      <c r="K34" s="654">
        <f t="shared" ref="K34:W34" si="3">K32+K23</f>
        <v>7.6163441422537143E-2</v>
      </c>
      <c r="L34" s="654">
        <f t="shared" si="3"/>
        <v>6.5521447860960001E-3</v>
      </c>
      <c r="M34" s="654">
        <f t="shared" si="3"/>
        <v>5.6638055006332809E-2</v>
      </c>
      <c r="N34" s="654">
        <f t="shared" si="3"/>
        <v>6.6403413079999998E-3</v>
      </c>
      <c r="O34" s="654">
        <f t="shared" si="3"/>
        <v>4.013206997056149</v>
      </c>
      <c r="P34" s="654">
        <f t="shared" si="3"/>
        <v>6.2707317441394732</v>
      </c>
      <c r="Q34" s="654">
        <f t="shared" si="3"/>
        <v>36.168369775766784</v>
      </c>
      <c r="R34" s="654"/>
      <c r="S34" s="654">
        <f t="shared" si="3"/>
        <v>94.130065006925719</v>
      </c>
      <c r="T34" s="654">
        <f t="shared" si="3"/>
        <v>165.36867240934112</v>
      </c>
      <c r="U34" s="654">
        <f t="shared" si="3"/>
        <v>52.996095486985226</v>
      </c>
      <c r="V34" s="654">
        <f t="shared" si="3"/>
        <v>4.1042081683214899</v>
      </c>
      <c r="W34" s="654">
        <f t="shared" si="3"/>
        <v>0.344891567081832</v>
      </c>
      <c r="X34" s="458"/>
      <c r="Y34" s="655">
        <f>SUM(J34:Q34)</f>
        <v>46.598302499485371</v>
      </c>
      <c r="Z34" s="656">
        <f t="shared" si="2"/>
        <v>316.94393263865538</v>
      </c>
    </row>
    <row r="35" spans="9:43">
      <c r="Y35" s="157"/>
      <c r="Z35" s="157"/>
    </row>
    <row r="36" spans="9:43">
      <c r="AD36" s="124"/>
      <c r="AE36" s="124"/>
      <c r="AF36" s="124"/>
      <c r="AG36" s="124"/>
      <c r="AH36" s="124"/>
      <c r="AI36" s="124"/>
      <c r="AJ36" s="124"/>
      <c r="AK36" s="124"/>
      <c r="AL36" s="124"/>
      <c r="AM36" s="124"/>
      <c r="AN36" s="124"/>
      <c r="AO36" s="124"/>
      <c r="AP36" s="124"/>
      <c r="AQ36" s="124"/>
    </row>
    <row r="38" spans="9:43">
      <c r="J38" s="124"/>
      <c r="K38" s="124"/>
      <c r="L38" s="124"/>
      <c r="M38" s="124"/>
      <c r="N38" s="124"/>
      <c r="O38" s="124"/>
      <c r="P38" s="124"/>
      <c r="Q38" s="124"/>
      <c r="R38" s="124"/>
      <c r="S38" s="124"/>
      <c r="T38" s="124"/>
      <c r="U38" s="124"/>
      <c r="V38" s="124"/>
    </row>
  </sheetData>
  <mergeCells count="1">
    <mergeCell ref="B2:R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56"/>
  <sheetViews>
    <sheetView topLeftCell="A9" zoomScale="50" zoomScaleNormal="50" workbookViewId="0">
      <selection activeCell="C51" sqref="C51"/>
    </sheetView>
  </sheetViews>
  <sheetFormatPr defaultColWidth="9" defaultRowHeight="14.6"/>
  <cols>
    <col min="1" max="1" width="16" style="23" customWidth="1"/>
    <col min="2" max="2" width="52.3984375" style="23" bestFit="1" customWidth="1"/>
    <col min="3" max="3" width="26.46484375" style="23" bestFit="1" customWidth="1"/>
  </cols>
  <sheetData>
    <row r="1" spans="1:3" ht="25.3">
      <c r="A1" s="6" t="s">
        <v>7</v>
      </c>
      <c r="B1" s="7"/>
      <c r="C1" s="7"/>
    </row>
    <row r="2" spans="1:3" ht="25.3">
      <c r="A2" s="6"/>
      <c r="B2" s="7"/>
      <c r="C2" s="7"/>
    </row>
    <row r="3" spans="1:3" ht="20.6" thickBot="1">
      <c r="A3" s="8" t="s">
        <v>44</v>
      </c>
      <c r="B3" s="7"/>
      <c r="C3" s="7"/>
    </row>
    <row r="4" spans="1:3" ht="12.45">
      <c r="A4" s="9"/>
      <c r="B4"/>
      <c r="C4"/>
    </row>
    <row r="5" spans="1:3" ht="20.149999999999999">
      <c r="A5" s="10" t="s">
        <v>8</v>
      </c>
      <c r="B5"/>
      <c r="C5"/>
    </row>
    <row r="6" spans="1:3" ht="12.45">
      <c r="A6"/>
      <c r="B6"/>
      <c r="C6"/>
    </row>
    <row r="7" spans="1:3" ht="12.45">
      <c r="A7"/>
      <c r="B7"/>
      <c r="C7"/>
    </row>
    <row r="8" spans="1:3" ht="12.45">
      <c r="A8"/>
      <c r="B8" s="11" t="s">
        <v>9</v>
      </c>
      <c r="C8" s="12"/>
    </row>
    <row r="9" spans="1:3" ht="12.45">
      <c r="A9"/>
      <c r="B9" s="11" t="s">
        <v>10</v>
      </c>
      <c r="C9" s="12"/>
    </row>
    <row r="10" spans="1:3" ht="12.45">
      <c r="A10"/>
      <c r="B10" s="11" t="s">
        <v>11</v>
      </c>
      <c r="C10" s="12">
        <v>2019</v>
      </c>
    </row>
    <row r="11" spans="1:3" ht="12.45">
      <c r="A11"/>
      <c r="B11" s="11" t="s">
        <v>12</v>
      </c>
      <c r="C11" s="13"/>
    </row>
    <row r="12" spans="1:3" ht="12.45">
      <c r="A12"/>
      <c r="B12" s="11" t="s">
        <v>13</v>
      </c>
      <c r="C12" s="14">
        <v>43677</v>
      </c>
    </row>
    <row r="13" spans="1:3" ht="12.45">
      <c r="A13"/>
      <c r="B13" s="11"/>
      <c r="C13" s="11"/>
    </row>
    <row r="14" spans="1:3" ht="12.45">
      <c r="A14"/>
      <c r="B14" s="11"/>
      <c r="C14" s="11"/>
    </row>
    <row r="15" spans="1:3" ht="12.45">
      <c r="A15"/>
      <c r="B15" s="11" t="s">
        <v>14</v>
      </c>
      <c r="C15" s="15" t="str">
        <f>$C$10-6&amp;"/"&amp;RIGHT($C$10-5,2)</f>
        <v>2013/14</v>
      </c>
    </row>
    <row r="16" spans="1:3" ht="12.45">
      <c r="A16"/>
      <c r="B16" s="11" t="s">
        <v>15</v>
      </c>
      <c r="C16" s="15" t="str">
        <f>$C$10-6&amp;"/"&amp;RIGHT($C$10-5,2)</f>
        <v>2013/14</v>
      </c>
    </row>
    <row r="17" spans="1:3" ht="12.45">
      <c r="A17"/>
      <c r="B17" s="11" t="s">
        <v>16</v>
      </c>
      <c r="C17" s="15" t="str">
        <f>$C$10-5&amp;"/"&amp;RIGHT($C$10-4,2)</f>
        <v>2014/15</v>
      </c>
    </row>
    <row r="18" spans="1:3" ht="12.45">
      <c r="A18"/>
      <c r="B18" s="11" t="s">
        <v>17</v>
      </c>
      <c r="C18" s="15" t="str">
        <f>$C$10-4&amp;"/"&amp;RIGHT($C$10-3,2)</f>
        <v>2015/16</v>
      </c>
    </row>
    <row r="19" spans="1:3" ht="12.45">
      <c r="A19"/>
      <c r="B19" s="11" t="s">
        <v>18</v>
      </c>
      <c r="C19" s="15" t="str">
        <f>$C$10-3&amp;"/"&amp;RIGHT($C$10-2,2)</f>
        <v>2016/17</v>
      </c>
    </row>
    <row r="20" spans="1:3" ht="12.45">
      <c r="A20"/>
      <c r="B20" s="11" t="s">
        <v>19</v>
      </c>
      <c r="C20" s="15" t="str">
        <f>$C$10-2&amp;"/"&amp;RIGHT($C$10-1,2)</f>
        <v>2017/18</v>
      </c>
    </row>
    <row r="21" spans="1:3" ht="12.45">
      <c r="A21"/>
      <c r="B21" s="16" t="s">
        <v>20</v>
      </c>
      <c r="C21" s="15" t="str">
        <f>$C$10-1&amp;"/"&amp;RIGHT($C$10-0,2)</f>
        <v>2018/19</v>
      </c>
    </row>
    <row r="22" spans="1:3" ht="12.45">
      <c r="A22"/>
      <c r="B22" s="11" t="s">
        <v>21</v>
      </c>
      <c r="C22" s="15" t="str">
        <f>$C$10&amp;"/"&amp;RIGHT($C$10+1,2)</f>
        <v>2019/20</v>
      </c>
    </row>
    <row r="23" spans="1:3" ht="12.45">
      <c r="A23"/>
      <c r="B23" s="11" t="s">
        <v>22</v>
      </c>
      <c r="C23" s="15" t="str">
        <f>$C$10+1&amp;"/"&amp;RIGHT($C$10+2,2)</f>
        <v>2020/21</v>
      </c>
    </row>
    <row r="24" spans="1:3" ht="12.45">
      <c r="A24"/>
      <c r="B24" s="11" t="s">
        <v>23</v>
      </c>
      <c r="C24" s="15" t="str">
        <f>$C$10+2&amp;"/"&amp;RIGHT($C$10+3,2)</f>
        <v>2021/22</v>
      </c>
    </row>
    <row r="25" spans="1:3" ht="12.45">
      <c r="A25"/>
      <c r="B25" s="11" t="s">
        <v>24</v>
      </c>
      <c r="C25" s="15" t="str">
        <f>$C$10+3&amp;"/"&amp;RIGHT($C$10+4,2)</f>
        <v>2022/23</v>
      </c>
    </row>
    <row r="26" spans="1:3" ht="12.45">
      <c r="A26"/>
      <c r="B26" s="11" t="s">
        <v>25</v>
      </c>
      <c r="C26" s="15" t="str">
        <f>$C$10+4&amp;"/"&amp;RIGHT($C$10+5,2)</f>
        <v>2023/24</v>
      </c>
    </row>
    <row r="27" spans="1:3" ht="12.45">
      <c r="A27"/>
      <c r="B27" s="11"/>
      <c r="C27" s="11"/>
    </row>
    <row r="28" spans="1:3" ht="12.45">
      <c r="A28"/>
      <c r="B28" s="11"/>
      <c r="C28" s="11"/>
    </row>
    <row r="29" spans="1:3" ht="12.45">
      <c r="A29"/>
      <c r="B29" s="11" t="s">
        <v>26</v>
      </c>
      <c r="C29" s="17">
        <v>0.2</v>
      </c>
    </row>
    <row r="30" spans="1:3" ht="12.45">
      <c r="A30"/>
      <c r="B30" s="11"/>
      <c r="C30" s="11"/>
    </row>
    <row r="31" spans="1:3" ht="12.45">
      <c r="A31"/>
      <c r="B31" s="18" t="s">
        <v>27</v>
      </c>
      <c r="C31" s="19" t="s">
        <v>28</v>
      </c>
    </row>
    <row r="32" spans="1:3" ht="12.45">
      <c r="A32"/>
      <c r="B32" s="11" t="s">
        <v>29</v>
      </c>
      <c r="C32" s="20">
        <v>182.47499999999999</v>
      </c>
    </row>
    <row r="33" spans="1:8" ht="12.45">
      <c r="A33"/>
      <c r="B33" s="11" t="s">
        <v>30</v>
      </c>
      <c r="C33" s="20">
        <v>188.15</v>
      </c>
    </row>
    <row r="34" spans="1:8" ht="12.45">
      <c r="A34"/>
      <c r="B34" s="11" t="s">
        <v>31</v>
      </c>
      <c r="C34" s="20">
        <v>193.10830000000001</v>
      </c>
    </row>
    <row r="35" spans="1:8" ht="12.45">
      <c r="A35"/>
      <c r="B35" s="11" t="s">
        <v>32</v>
      </c>
      <c r="C35" s="20">
        <v>200.3167</v>
      </c>
    </row>
    <row r="36" spans="1:8" ht="12.45">
      <c r="A36"/>
      <c r="B36" s="11" t="s">
        <v>33</v>
      </c>
      <c r="C36" s="20">
        <v>208.5917</v>
      </c>
    </row>
    <row r="37" spans="1:8" ht="12.45">
      <c r="A37"/>
      <c r="B37" s="11" t="s">
        <v>34</v>
      </c>
      <c r="C37" s="20">
        <v>214.7833</v>
      </c>
    </row>
    <row r="38" spans="1:8" ht="12.45">
      <c r="A38"/>
      <c r="B38" s="11" t="s">
        <v>35</v>
      </c>
      <c r="C38" s="20">
        <v>215.76669999999999</v>
      </c>
    </row>
    <row r="39" spans="1:8" ht="12.45">
      <c r="A39"/>
      <c r="B39" s="11" t="s">
        <v>36</v>
      </c>
      <c r="C39" s="20">
        <v>226.47499999999999</v>
      </c>
    </row>
    <row r="40" spans="1:8" ht="12.45">
      <c r="A40"/>
      <c r="B40" s="11" t="s">
        <v>37</v>
      </c>
      <c r="C40" s="20">
        <v>237.3417</v>
      </c>
    </row>
    <row r="41" spans="1:8" ht="12.45">
      <c r="A41"/>
      <c r="B41" s="11" t="s">
        <v>38</v>
      </c>
      <c r="C41" s="20">
        <v>244.67500000000001</v>
      </c>
    </row>
    <row r="42" spans="1:8" ht="12.45">
      <c r="A42"/>
      <c r="B42" s="11" t="s">
        <v>39</v>
      </c>
      <c r="C42" s="20">
        <v>251.733</v>
      </c>
    </row>
    <row r="43" spans="1:8" ht="12.45">
      <c r="A43"/>
      <c r="B43" s="11" t="s">
        <v>40</v>
      </c>
      <c r="C43" s="20">
        <v>256.66666666666669</v>
      </c>
    </row>
    <row r="44" spans="1:8" ht="14.25" customHeight="1">
      <c r="A44"/>
      <c r="B44" s="11" t="s">
        <v>41</v>
      </c>
      <c r="C44" s="20">
        <v>259.43333333333334</v>
      </c>
    </row>
    <row r="45" spans="1:8" ht="12" customHeight="1">
      <c r="A45"/>
      <c r="B45" s="11" t="s">
        <v>42</v>
      </c>
      <c r="C45" s="21">
        <v>264.99200000000002</v>
      </c>
      <c r="H45" s="22"/>
    </row>
    <row r="46" spans="1:8" ht="12.45">
      <c r="A46"/>
      <c r="B46" s="11" t="s">
        <v>43</v>
      </c>
      <c r="C46" s="20">
        <v>274.90800000000002</v>
      </c>
    </row>
    <row r="47" spans="1:8" ht="12.45">
      <c r="A47"/>
      <c r="B47" s="11" t="s">
        <v>44</v>
      </c>
      <c r="C47" s="20">
        <v>283.30799999999999</v>
      </c>
    </row>
    <row r="48" spans="1:8" ht="12.45">
      <c r="A48"/>
      <c r="B48" s="11" t="s">
        <v>45</v>
      </c>
      <c r="C48" s="20"/>
    </row>
    <row r="49" spans="1:3" ht="12.45">
      <c r="A49"/>
      <c r="B49" s="11" t="s">
        <v>46</v>
      </c>
      <c r="C49" s="20"/>
    </row>
    <row r="50" spans="1:3">
      <c r="A50"/>
    </row>
    <row r="51" spans="1:3" ht="12.45">
      <c r="A51"/>
      <c r="B51" s="24" t="str">
        <f>"Convert 2009/10 prices to "&amp;$C$21</f>
        <v>Convert 2009/10 prices to 2018/19</v>
      </c>
      <c r="C51" s="25">
        <f>VLOOKUP($C$21,$B$32:$C$49,2,FALSE)/$C$38</f>
        <v>1.3130293043365822</v>
      </c>
    </row>
    <row r="52" spans="1:3" ht="12.45">
      <c r="A52"/>
      <c r="B52" s="24" t="str">
        <f>"Convert "&amp;$C$21&amp;" to 2009/10"</f>
        <v>Convert 2018/19 to 2009/10</v>
      </c>
      <c r="C52" s="25">
        <f>1/C51</f>
        <v>0.76159762519942953</v>
      </c>
    </row>
    <row r="53" spans="1:3">
      <c r="A53"/>
      <c r="B53" s="26"/>
      <c r="C53" s="26"/>
    </row>
    <row r="54" spans="1:3" ht="12.45">
      <c r="A54" s="108"/>
      <c r="B54" s="108"/>
      <c r="C54" s="108"/>
    </row>
    <row r="56" spans="1:3">
      <c r="C56" s="27"/>
    </row>
  </sheetData>
  <pageMargins left="0.74803149606299213" right="0.74803149606299213" top="0.98425196850393704" bottom="0.98425196850393704" header="0.51181102362204722" footer="0.51181102362204722"/>
  <pageSetup paperSize="8" orientation="portrait" r:id="rId1"/>
  <headerFooter alignWithMargins="0">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J99"/>
  <sheetViews>
    <sheetView zoomScale="80" zoomScaleNormal="80" workbookViewId="0">
      <selection activeCell="F39" sqref="F39"/>
    </sheetView>
  </sheetViews>
  <sheetFormatPr defaultRowHeight="12.45"/>
  <cols>
    <col min="1" max="1" width="2.73046875" customWidth="1"/>
    <col min="2" max="2" width="151.86328125" customWidth="1"/>
    <col min="5" max="5" width="14.59765625" customWidth="1"/>
  </cols>
  <sheetData>
    <row r="1" spans="2:10" ht="12.9" thickBot="1"/>
    <row r="2" spans="2:10" ht="15.45" thickBot="1">
      <c r="B2" s="5" t="s">
        <v>5</v>
      </c>
      <c r="F2" s="462" t="s">
        <v>524</v>
      </c>
      <c r="G2" s="458"/>
      <c r="H2" s="458"/>
      <c r="I2" s="458"/>
      <c r="J2" s="459"/>
    </row>
    <row r="3" spans="2:10">
      <c r="B3" s="250" t="s">
        <v>82</v>
      </c>
    </row>
    <row r="4" spans="2:10">
      <c r="B4" s="251" t="s">
        <v>330</v>
      </c>
      <c r="D4" s="124"/>
      <c r="F4" s="285" t="s">
        <v>527</v>
      </c>
    </row>
    <row r="5" spans="2:10">
      <c r="B5" s="252" t="s">
        <v>161</v>
      </c>
      <c r="F5" s="285" t="s">
        <v>526</v>
      </c>
    </row>
    <row r="6" spans="2:10" ht="13.75">
      <c r="B6" s="252" t="s">
        <v>162</v>
      </c>
      <c r="F6" s="285" t="s">
        <v>528</v>
      </c>
    </row>
    <row r="7" spans="2:10" ht="13.75">
      <c r="B7" s="252" t="s">
        <v>163</v>
      </c>
    </row>
    <row r="8" spans="2:10">
      <c r="B8" s="252" t="s">
        <v>192</v>
      </c>
    </row>
    <row r="9" spans="2:10">
      <c r="B9" s="252" t="s">
        <v>380</v>
      </c>
    </row>
    <row r="10" spans="2:10" s="124" customFormat="1">
      <c r="B10" s="252" t="s">
        <v>378</v>
      </c>
    </row>
    <row r="11" spans="2:10">
      <c r="B11" s="252" t="s">
        <v>244</v>
      </c>
      <c r="F11" t="s">
        <v>559</v>
      </c>
    </row>
    <row r="12" spans="2:10" s="124" customFormat="1">
      <c r="B12" s="252" t="s">
        <v>328</v>
      </c>
    </row>
    <row r="13" spans="2:10" s="124" customFormat="1">
      <c r="B13" s="252" t="s">
        <v>331</v>
      </c>
    </row>
    <row r="14" spans="2:10" s="124" customFormat="1">
      <c r="B14" s="252" t="s">
        <v>383</v>
      </c>
    </row>
    <row r="15" spans="2:10">
      <c r="B15" s="252" t="s">
        <v>212</v>
      </c>
      <c r="C15" s="124"/>
    </row>
    <row r="16" spans="2:10" s="124" customFormat="1">
      <c r="B16" s="252" t="s">
        <v>234</v>
      </c>
    </row>
    <row r="17" spans="2:6" s="124" customFormat="1">
      <c r="B17" s="252" t="s">
        <v>276</v>
      </c>
    </row>
    <row r="18" spans="2:6" s="124" customFormat="1">
      <c r="B18" s="252" t="s">
        <v>278</v>
      </c>
    </row>
    <row r="19" spans="2:6" s="124" customFormat="1">
      <c r="B19" s="252" t="s">
        <v>219</v>
      </c>
    </row>
    <row r="20" spans="2:6" s="124" customFormat="1">
      <c r="B20" s="252" t="s">
        <v>235</v>
      </c>
    </row>
    <row r="21" spans="2:6" s="124" customFormat="1">
      <c r="B21" s="581" t="s">
        <v>530</v>
      </c>
    </row>
    <row r="22" spans="2:6" s="124" customFormat="1">
      <c r="B22" s="252" t="s">
        <v>529</v>
      </c>
    </row>
    <row r="23" spans="2:6" s="124" customFormat="1">
      <c r="B23" s="252" t="s">
        <v>500</v>
      </c>
      <c r="F23" s="124" t="s">
        <v>560</v>
      </c>
    </row>
    <row r="24" spans="2:6" s="124" customFormat="1">
      <c r="B24" s="252" t="s">
        <v>500</v>
      </c>
    </row>
    <row r="25" spans="2:6" s="124" customFormat="1">
      <c r="B25" s="252" t="s">
        <v>501</v>
      </c>
    </row>
    <row r="26" spans="2:6" s="124" customFormat="1">
      <c r="B26" s="30" t="s">
        <v>502</v>
      </c>
      <c r="F26" s="285" t="s">
        <v>561</v>
      </c>
    </row>
    <row r="27" spans="2:6">
      <c r="B27" s="253" t="s">
        <v>236</v>
      </c>
    </row>
    <row r="28" spans="2:6" s="124" customFormat="1">
      <c r="B28" s="253" t="s">
        <v>237</v>
      </c>
    </row>
    <row r="29" spans="2:6">
      <c r="B29" s="253" t="s">
        <v>553</v>
      </c>
    </row>
    <row r="30" spans="2:6" s="596" customFormat="1">
      <c r="B30" s="253" t="s">
        <v>555</v>
      </c>
    </row>
    <row r="31" spans="2:6">
      <c r="B31" s="253" t="s">
        <v>239</v>
      </c>
    </row>
    <row r="32" spans="2:6" s="124" customFormat="1">
      <c r="B32" s="253" t="s">
        <v>238</v>
      </c>
    </row>
    <row r="33" spans="2:6" s="124" customFormat="1">
      <c r="B33" s="31" t="s">
        <v>479</v>
      </c>
    </row>
    <row r="34" spans="2:6" s="124" customFormat="1">
      <c r="B34" s="31" t="s">
        <v>480</v>
      </c>
    </row>
    <row r="35" spans="2:6">
      <c r="B35" s="253" t="s">
        <v>446</v>
      </c>
    </row>
    <row r="36" spans="2:6" s="124" customFormat="1">
      <c r="B36" s="253" t="s">
        <v>447</v>
      </c>
    </row>
    <row r="37" spans="2:6" s="124" customFormat="1">
      <c r="B37" s="253" t="s">
        <v>448</v>
      </c>
    </row>
    <row r="38" spans="2:6" s="124" customFormat="1">
      <c r="B38" s="253" t="s">
        <v>449</v>
      </c>
    </row>
    <row r="39" spans="2:6" s="124" customFormat="1">
      <c r="B39" s="30" t="s">
        <v>450</v>
      </c>
      <c r="F39" s="124" t="s">
        <v>562</v>
      </c>
    </row>
    <row r="40" spans="2:6" s="124" customFormat="1"/>
    <row r="41" spans="2:6" ht="12.9" thickBot="1">
      <c r="B41" s="32"/>
    </row>
    <row r="42" spans="2:6" ht="15" customHeight="1">
      <c r="B42" s="658" t="s">
        <v>246</v>
      </c>
    </row>
    <row r="43" spans="2:6" ht="13.5" customHeight="1">
      <c r="B43" s="659"/>
    </row>
    <row r="44" spans="2:6" ht="14.25" customHeight="1" thickBot="1">
      <c r="B44" s="660"/>
    </row>
    <row r="45" spans="2:6">
      <c r="B45" s="32"/>
    </row>
    <row r="47" spans="2:6">
      <c r="B47" s="1"/>
    </row>
    <row r="48" spans="2:6">
      <c r="B48" s="32"/>
    </row>
    <row r="49" spans="2:2">
      <c r="B49" s="32"/>
    </row>
    <row r="50" spans="2:2">
      <c r="B50" s="32"/>
    </row>
    <row r="51" spans="2:2">
      <c r="B51" s="32"/>
    </row>
    <row r="52" spans="2:2">
      <c r="B52" s="32"/>
    </row>
    <row r="53" spans="2:2">
      <c r="B53" s="32"/>
    </row>
    <row r="54" spans="2:2">
      <c r="B54" s="32"/>
    </row>
    <row r="55" spans="2:2">
      <c r="B55" s="1"/>
    </row>
    <row r="56" spans="2:2">
      <c r="B56" s="1"/>
    </row>
    <row r="57" spans="2:2">
      <c r="B57" s="32"/>
    </row>
    <row r="58" spans="2:2">
      <c r="B58" s="1"/>
    </row>
    <row r="59" spans="2:2">
      <c r="B59" s="1"/>
    </row>
    <row r="60" spans="2:2">
      <c r="B60" s="1"/>
    </row>
    <row r="61" spans="2:2">
      <c r="B61" s="32"/>
    </row>
    <row r="62" spans="2:2">
      <c r="B62" s="1"/>
    </row>
    <row r="63" spans="2:2">
      <c r="B63" s="1"/>
    </row>
    <row r="64" spans="2:2">
      <c r="B64" s="1"/>
    </row>
    <row r="65" spans="2:2">
      <c r="B65" s="1"/>
    </row>
    <row r="66" spans="2:2">
      <c r="B66" s="32"/>
    </row>
    <row r="67" spans="2:2">
      <c r="B67" s="32"/>
    </row>
    <row r="68" spans="2:2">
      <c r="B68" s="32"/>
    </row>
    <row r="69" spans="2:2">
      <c r="B69" s="1"/>
    </row>
    <row r="70" spans="2:2">
      <c r="B70" s="32"/>
    </row>
    <row r="71" spans="2:2">
      <c r="B71" s="32"/>
    </row>
    <row r="72" spans="2:2">
      <c r="B72" s="32"/>
    </row>
    <row r="73" spans="2:2">
      <c r="B73" s="32"/>
    </row>
    <row r="74" spans="2:2">
      <c r="B74" s="31"/>
    </row>
    <row r="75" spans="2:2">
      <c r="B75" s="30"/>
    </row>
    <row r="76" spans="2:2">
      <c r="B76" s="31"/>
    </row>
    <row r="77" spans="2:2">
      <c r="B77" s="31"/>
    </row>
    <row r="78" spans="2:2">
      <c r="B78" s="31"/>
    </row>
    <row r="79" spans="2:2">
      <c r="B79" s="31"/>
    </row>
    <row r="80" spans="2:2">
      <c r="B80" s="1"/>
    </row>
    <row r="81" spans="2:2">
      <c r="B81" s="32"/>
    </row>
    <row r="82" spans="2:2">
      <c r="B82" s="32"/>
    </row>
    <row r="83" spans="2:2">
      <c r="B83" s="32"/>
    </row>
    <row r="84" spans="2:2">
      <c r="B84" s="32"/>
    </row>
    <row r="85" spans="2:2">
      <c r="B85" s="1"/>
    </row>
    <row r="86" spans="2:2">
      <c r="B86" s="1"/>
    </row>
    <row r="87" spans="2:2">
      <c r="B87" s="1"/>
    </row>
    <row r="88" spans="2:2">
      <c r="B88" s="1"/>
    </row>
    <row r="89" spans="2:2">
      <c r="B89" s="1"/>
    </row>
    <row r="90" spans="2:2">
      <c r="B90" s="1"/>
    </row>
    <row r="91" spans="2:2">
      <c r="B91" s="1"/>
    </row>
    <row r="92" spans="2:2">
      <c r="B92" s="1"/>
    </row>
    <row r="93" spans="2:2">
      <c r="B93" s="32"/>
    </row>
    <row r="94" spans="2:2">
      <c r="B94" s="1"/>
    </row>
    <row r="95" spans="2:2">
      <c r="B95" s="1"/>
    </row>
    <row r="96" spans="2:2">
      <c r="B96" s="1"/>
    </row>
    <row r="97" spans="2:2">
      <c r="B97" s="30"/>
    </row>
    <row r="98" spans="2:2">
      <c r="B98" s="31"/>
    </row>
    <row r="99" spans="2:2">
      <c r="B99" s="30"/>
    </row>
  </sheetData>
  <mergeCells count="1">
    <mergeCell ref="B42:B44"/>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autoPageBreaks="0"/>
  </sheetPr>
  <dimension ref="B2:K94"/>
  <sheetViews>
    <sheetView zoomScale="80" zoomScaleNormal="80" workbookViewId="0">
      <selection activeCell="D99" sqref="D99"/>
    </sheetView>
  </sheetViews>
  <sheetFormatPr defaultRowHeight="12.45"/>
  <cols>
    <col min="2" max="2" width="54.265625" customWidth="1"/>
    <col min="3" max="3" width="45.265625" customWidth="1"/>
    <col min="4" max="4" width="49.86328125" customWidth="1"/>
    <col min="5" max="5" width="20.86328125" customWidth="1"/>
  </cols>
  <sheetData>
    <row r="2" spans="2:4" ht="22.75">
      <c r="B2" s="204" t="s">
        <v>82</v>
      </c>
    </row>
    <row r="3" spans="2:4" ht="12.9" thickBot="1">
      <c r="B3" s="36"/>
      <c r="C3" s="36"/>
      <c r="D3" s="36"/>
    </row>
    <row r="4" spans="2:4" ht="18" thickBot="1">
      <c r="B4" s="202" t="s">
        <v>54</v>
      </c>
      <c r="C4" s="203" t="s">
        <v>55</v>
      </c>
      <c r="D4" s="203" t="s">
        <v>204</v>
      </c>
    </row>
    <row r="5" spans="2:4" ht="15.45" thickBot="1">
      <c r="B5" s="668" t="s">
        <v>56</v>
      </c>
      <c r="C5" s="669"/>
      <c r="D5" s="670"/>
    </row>
    <row r="6" spans="2:4" ht="32.25" customHeight="1">
      <c r="B6" s="664" t="s">
        <v>83</v>
      </c>
      <c r="C6" s="671" t="s">
        <v>57</v>
      </c>
      <c r="D6" s="674" t="s">
        <v>58</v>
      </c>
    </row>
    <row r="7" spans="2:4" ht="12.9" thickBot="1">
      <c r="B7" s="667"/>
      <c r="C7" s="672"/>
      <c r="D7" s="675"/>
    </row>
    <row r="8" spans="2:4" ht="12.75" customHeight="1" thickBot="1">
      <c r="B8" s="668" t="s">
        <v>59</v>
      </c>
      <c r="C8" s="669"/>
      <c r="D8" s="670"/>
    </row>
    <row r="9" spans="2:4">
      <c r="B9" s="664" t="s">
        <v>60</v>
      </c>
      <c r="C9" s="66" t="s">
        <v>282</v>
      </c>
      <c r="D9" s="676" t="s">
        <v>84</v>
      </c>
    </row>
    <row r="10" spans="2:4">
      <c r="B10" s="673"/>
      <c r="C10" s="38"/>
      <c r="D10" s="665"/>
    </row>
    <row r="11" spans="2:4">
      <c r="B11" s="673"/>
      <c r="C11" s="38" t="s">
        <v>283</v>
      </c>
      <c r="D11" s="665"/>
    </row>
    <row r="12" spans="2:4">
      <c r="B12" s="673"/>
      <c r="C12" s="38" t="s">
        <v>284</v>
      </c>
      <c r="D12" s="665"/>
    </row>
    <row r="13" spans="2:4">
      <c r="B13" s="673"/>
      <c r="C13" s="38" t="s">
        <v>285</v>
      </c>
      <c r="D13" s="665"/>
    </row>
    <row r="14" spans="2:4" ht="12.9" thickBot="1">
      <c r="B14" s="667"/>
      <c r="C14" s="67"/>
      <c r="D14" s="666"/>
    </row>
    <row r="15" spans="2:4" ht="15.45" thickBot="1">
      <c r="B15" s="668" t="s">
        <v>61</v>
      </c>
      <c r="C15" s="669"/>
      <c r="D15" s="670"/>
    </row>
    <row r="16" spans="2:4" ht="24.45" customHeight="1" thickBot="1">
      <c r="B16" s="196" t="s">
        <v>85</v>
      </c>
      <c r="C16" s="44" t="s">
        <v>62</v>
      </c>
      <c r="D16" s="197" t="s">
        <v>58</v>
      </c>
    </row>
    <row r="17" spans="2:11" ht="15.45" thickBot="1">
      <c r="B17" s="668" t="s">
        <v>63</v>
      </c>
      <c r="C17" s="669"/>
      <c r="D17" s="670"/>
    </row>
    <row r="18" spans="2:11">
      <c r="B18" s="664" t="s">
        <v>196</v>
      </c>
      <c r="C18" s="103" t="s">
        <v>293</v>
      </c>
      <c r="D18" s="679" t="s">
        <v>86</v>
      </c>
      <c r="E18" s="124"/>
    </row>
    <row r="19" spans="2:11">
      <c r="B19" s="665"/>
      <c r="C19" s="109"/>
      <c r="D19" s="680"/>
    </row>
    <row r="20" spans="2:11">
      <c r="B20" s="665"/>
      <c r="C20" s="109" t="s">
        <v>280</v>
      </c>
      <c r="D20" s="680"/>
      <c r="H20" s="124"/>
      <c r="I20" s="124"/>
      <c r="J20" s="124"/>
      <c r="K20" s="124"/>
    </row>
    <row r="21" spans="2:11" ht="13.5" customHeight="1">
      <c r="B21" s="665"/>
      <c r="C21" s="109" t="s">
        <v>279</v>
      </c>
      <c r="D21" s="680"/>
    </row>
    <row r="22" spans="2:11" ht="12.9" thickBot="1">
      <c r="B22" s="666"/>
      <c r="C22" s="109" t="s">
        <v>281</v>
      </c>
      <c r="D22" s="681"/>
    </row>
    <row r="23" spans="2:11">
      <c r="B23" s="664" t="s">
        <v>197</v>
      </c>
      <c r="C23" s="110" t="s">
        <v>64</v>
      </c>
      <c r="D23" s="115" t="s">
        <v>87</v>
      </c>
    </row>
    <row r="24" spans="2:11" ht="12.75" customHeight="1">
      <c r="B24" s="665"/>
      <c r="C24" s="111"/>
      <c r="D24" s="113"/>
    </row>
    <row r="25" spans="2:11">
      <c r="B25" s="665"/>
      <c r="C25" s="109" t="s">
        <v>213</v>
      </c>
      <c r="D25" s="234" t="s">
        <v>216</v>
      </c>
      <c r="J25" s="124"/>
      <c r="K25" s="124"/>
    </row>
    <row r="26" spans="2:11">
      <c r="B26" s="665"/>
      <c r="C26" s="109" t="s">
        <v>214</v>
      </c>
      <c r="D26" s="234" t="s">
        <v>217</v>
      </c>
    </row>
    <row r="27" spans="2:11">
      <c r="B27" s="665"/>
      <c r="C27" s="109" t="s">
        <v>215</v>
      </c>
      <c r="D27" s="234" t="s">
        <v>218</v>
      </c>
    </row>
    <row r="28" spans="2:11" ht="12.9" thickBot="1">
      <c r="B28" s="666"/>
      <c r="C28" s="112"/>
      <c r="D28" s="114"/>
    </row>
    <row r="29" spans="2:11" ht="13.5" customHeight="1">
      <c r="B29" s="664" t="s">
        <v>198</v>
      </c>
      <c r="C29" s="671" t="s">
        <v>65</v>
      </c>
      <c r="D29" s="692" t="s">
        <v>58</v>
      </c>
    </row>
    <row r="30" spans="2:11">
      <c r="B30" s="684"/>
      <c r="C30" s="689"/>
      <c r="D30" s="682"/>
    </row>
    <row r="31" spans="2:11" ht="12.9" thickBot="1">
      <c r="B31" s="685"/>
      <c r="C31" s="672"/>
      <c r="D31" s="683"/>
    </row>
    <row r="32" spans="2:11" ht="15.45" thickBot="1">
      <c r="B32" s="668" t="s">
        <v>66</v>
      </c>
      <c r="C32" s="669"/>
      <c r="D32" s="670"/>
      <c r="H32" s="124"/>
    </row>
    <row r="33" spans="2:11">
      <c r="B33" s="677" t="s">
        <v>88</v>
      </c>
      <c r="C33" s="40" t="s">
        <v>145</v>
      </c>
      <c r="D33" s="41" t="s">
        <v>93</v>
      </c>
    </row>
    <row r="34" spans="2:11">
      <c r="B34" s="665"/>
      <c r="C34" s="68" t="s">
        <v>89</v>
      </c>
      <c r="D34" s="198" t="s">
        <v>148</v>
      </c>
    </row>
    <row r="35" spans="2:11">
      <c r="B35" s="665"/>
      <c r="C35" s="69"/>
      <c r="D35" s="198"/>
    </row>
    <row r="36" spans="2:11">
      <c r="B36" s="665"/>
      <c r="C36" s="68" t="s">
        <v>90</v>
      </c>
      <c r="D36" s="198" t="s">
        <v>148</v>
      </c>
    </row>
    <row r="37" spans="2:11">
      <c r="B37" s="665"/>
      <c r="C37" s="68" t="s">
        <v>91</v>
      </c>
      <c r="D37" s="198" t="s">
        <v>149</v>
      </c>
    </row>
    <row r="38" spans="2:11" ht="12.9" thickBot="1">
      <c r="B38" s="666"/>
      <c r="C38" s="70" t="s">
        <v>92</v>
      </c>
      <c r="D38" s="199" t="s">
        <v>150</v>
      </c>
    </row>
    <row r="39" spans="2:11" ht="12.75" customHeight="1">
      <c r="B39" s="677" t="s">
        <v>203</v>
      </c>
      <c r="C39" s="671" t="s">
        <v>94</v>
      </c>
      <c r="D39" s="200"/>
      <c r="G39" s="225"/>
      <c r="K39" s="226"/>
    </row>
    <row r="40" spans="2:11" s="124" customFormat="1" ht="12.75" customHeight="1">
      <c r="B40" s="661"/>
      <c r="C40" s="686"/>
      <c r="D40" s="228" t="s">
        <v>210</v>
      </c>
      <c r="G40" s="225"/>
      <c r="H40"/>
      <c r="I40" s="226"/>
      <c r="J40"/>
      <c r="K40"/>
    </row>
    <row r="41" spans="2:11" s="124" customFormat="1" ht="12.75" customHeight="1">
      <c r="B41" s="661"/>
      <c r="C41" s="686"/>
      <c r="D41" s="228" t="s">
        <v>209</v>
      </c>
      <c r="G41" s="225"/>
      <c r="H41"/>
      <c r="I41"/>
      <c r="J41" s="226"/>
      <c r="K41"/>
    </row>
    <row r="42" spans="2:11">
      <c r="B42" s="661"/>
      <c r="C42" s="686"/>
      <c r="D42" s="228" t="s">
        <v>211</v>
      </c>
      <c r="G42" s="225"/>
      <c r="I42" s="226"/>
    </row>
    <row r="43" spans="2:11" ht="12.9" thickBot="1">
      <c r="B43" s="678"/>
      <c r="C43" s="687"/>
      <c r="D43" s="201"/>
      <c r="G43" s="227"/>
    </row>
    <row r="44" spans="2:11" ht="15.45" thickBot="1">
      <c r="B44" s="668" t="s">
        <v>67</v>
      </c>
      <c r="C44" s="669"/>
      <c r="D44" s="670"/>
    </row>
    <row r="45" spans="2:11" ht="33.9" thickBot="1">
      <c r="B45" s="77" t="s">
        <v>95</v>
      </c>
      <c r="C45" s="39" t="s">
        <v>96</v>
      </c>
      <c r="D45" s="116" t="s">
        <v>195</v>
      </c>
    </row>
    <row r="46" spans="2:11" ht="15.45" thickBot="1">
      <c r="B46" s="668" t="s">
        <v>97</v>
      </c>
      <c r="C46" s="669"/>
      <c r="D46" s="670"/>
    </row>
    <row r="47" spans="2:11">
      <c r="B47" s="664" t="s">
        <v>68</v>
      </c>
      <c r="C47" s="369" t="s">
        <v>327</v>
      </c>
      <c r="D47" s="664" t="s">
        <v>101</v>
      </c>
    </row>
    <row r="48" spans="2:11" ht="12.75" customHeight="1">
      <c r="B48" s="662"/>
      <c r="C48" s="117" t="s">
        <v>146</v>
      </c>
      <c r="D48" s="662"/>
    </row>
    <row r="49" spans="2:10">
      <c r="B49" s="673" t="s">
        <v>98</v>
      </c>
      <c r="C49" s="118"/>
      <c r="D49" s="682"/>
    </row>
    <row r="50" spans="2:10" ht="13.5" customHeight="1">
      <c r="B50" s="665"/>
      <c r="C50" s="117" t="s">
        <v>99</v>
      </c>
      <c r="D50" s="682"/>
    </row>
    <row r="51" spans="2:10" ht="12.75" customHeight="1" thickBot="1">
      <c r="B51" s="666"/>
      <c r="C51" s="119" t="s">
        <v>100</v>
      </c>
      <c r="D51" s="682"/>
    </row>
    <row r="52" spans="2:10">
      <c r="B52" s="664" t="s">
        <v>69</v>
      </c>
      <c r="C52" s="367" t="s">
        <v>321</v>
      </c>
      <c r="D52" s="682"/>
    </row>
    <row r="53" spans="2:10">
      <c r="B53" s="662"/>
      <c r="C53" s="117" t="s">
        <v>295</v>
      </c>
      <c r="D53" s="682"/>
    </row>
    <row r="54" spans="2:10">
      <c r="B54" s="673" t="s">
        <v>201</v>
      </c>
      <c r="C54" s="118"/>
      <c r="D54" s="682"/>
    </row>
    <row r="55" spans="2:10">
      <c r="B55" s="665"/>
      <c r="C55" s="117" t="s">
        <v>102</v>
      </c>
      <c r="D55" s="682"/>
    </row>
    <row r="56" spans="2:10" ht="12.9" thickBot="1">
      <c r="B56" s="666"/>
      <c r="C56" s="119" t="s">
        <v>103</v>
      </c>
      <c r="D56" s="682"/>
    </row>
    <row r="57" spans="2:10">
      <c r="B57" s="664" t="s">
        <v>104</v>
      </c>
      <c r="C57" s="367" t="s">
        <v>322</v>
      </c>
      <c r="D57" s="682"/>
    </row>
    <row r="58" spans="2:10">
      <c r="B58" s="673"/>
      <c r="C58" s="118" t="s">
        <v>93</v>
      </c>
      <c r="D58" s="682"/>
    </row>
    <row r="59" spans="2:10" ht="12.9" thickBot="1">
      <c r="B59" s="667"/>
      <c r="C59" s="119" t="s">
        <v>147</v>
      </c>
      <c r="D59" s="683"/>
    </row>
    <row r="60" spans="2:10">
      <c r="B60" s="664" t="s">
        <v>70</v>
      </c>
      <c r="C60" s="368" t="s">
        <v>323</v>
      </c>
      <c r="D60" s="664" t="s">
        <v>106</v>
      </c>
      <c r="G60" s="124"/>
      <c r="H60" s="124"/>
      <c r="I60" s="124"/>
      <c r="J60" s="124"/>
    </row>
    <row r="61" spans="2:10" ht="22.5" customHeight="1">
      <c r="B61" s="673"/>
      <c r="C61" s="71"/>
      <c r="D61" s="682"/>
      <c r="G61" s="124"/>
      <c r="H61" s="124"/>
      <c r="I61" s="124"/>
      <c r="J61" s="124"/>
    </row>
    <row r="62" spans="2:10" ht="12.9" thickBot="1">
      <c r="B62" s="667"/>
      <c r="C62" s="70" t="s">
        <v>105</v>
      </c>
      <c r="D62" s="682"/>
      <c r="G62" s="124"/>
      <c r="H62" s="124"/>
      <c r="I62" s="124"/>
      <c r="J62" s="124"/>
    </row>
    <row r="63" spans="2:10">
      <c r="B63" s="664" t="s">
        <v>107</v>
      </c>
      <c r="C63" s="368" t="s">
        <v>324</v>
      </c>
      <c r="D63" s="682"/>
      <c r="G63" s="124"/>
      <c r="H63" s="124"/>
      <c r="I63" s="124"/>
      <c r="J63" s="124"/>
    </row>
    <row r="64" spans="2:10">
      <c r="B64" s="673"/>
      <c r="C64" s="71"/>
      <c r="D64" s="682"/>
      <c r="G64" s="124"/>
      <c r="H64" s="124"/>
      <c r="I64" s="124"/>
      <c r="J64" s="124"/>
    </row>
    <row r="65" spans="2:11" ht="12.9" thickBot="1">
      <c r="B65" s="667"/>
      <c r="C65" s="70" t="s">
        <v>108</v>
      </c>
      <c r="D65" s="682"/>
    </row>
    <row r="66" spans="2:11">
      <c r="B66" s="664" t="s">
        <v>202</v>
      </c>
      <c r="C66" s="368" t="s">
        <v>325</v>
      </c>
      <c r="D66" s="682"/>
    </row>
    <row r="67" spans="2:11">
      <c r="B67" s="673"/>
      <c r="C67" s="71"/>
      <c r="D67" s="682"/>
    </row>
    <row r="68" spans="2:11" ht="13.5" customHeight="1" thickBot="1">
      <c r="B68" s="667"/>
      <c r="C68" s="70" t="s">
        <v>151</v>
      </c>
      <c r="D68" s="682"/>
    </row>
    <row r="69" spans="2:11">
      <c r="B69" s="664" t="s">
        <v>109</v>
      </c>
      <c r="C69" s="368" t="s">
        <v>326</v>
      </c>
      <c r="D69" s="682"/>
    </row>
    <row r="70" spans="2:11">
      <c r="B70" s="673"/>
      <c r="C70" s="71"/>
      <c r="D70" s="682"/>
    </row>
    <row r="71" spans="2:11" ht="12.9" thickBot="1">
      <c r="B71" s="667"/>
      <c r="C71" s="70" t="s">
        <v>152</v>
      </c>
      <c r="D71" s="683"/>
    </row>
    <row r="72" spans="2:11" ht="37.5" customHeight="1">
      <c r="B72" s="677" t="s">
        <v>110</v>
      </c>
      <c r="C72" s="690" t="s">
        <v>199</v>
      </c>
      <c r="D72" s="664"/>
    </row>
    <row r="73" spans="2:11">
      <c r="B73" s="662"/>
      <c r="C73" s="682"/>
      <c r="D73" s="673"/>
    </row>
    <row r="74" spans="2:11">
      <c r="B74" s="662"/>
      <c r="C74" s="691" t="s">
        <v>111</v>
      </c>
      <c r="D74" s="673"/>
    </row>
    <row r="75" spans="2:11" ht="13.5" customHeight="1">
      <c r="B75" s="662"/>
      <c r="C75" s="686"/>
      <c r="D75" s="673"/>
      <c r="K75" s="34"/>
    </row>
    <row r="76" spans="2:11">
      <c r="B76" s="662"/>
      <c r="C76" s="691" t="s">
        <v>294</v>
      </c>
      <c r="D76" s="673"/>
    </row>
    <row r="77" spans="2:11" ht="12.9" thickBot="1">
      <c r="B77" s="663"/>
      <c r="C77" s="683"/>
      <c r="D77" s="673"/>
    </row>
    <row r="78" spans="2:11">
      <c r="B78" s="661" t="s">
        <v>112</v>
      </c>
      <c r="C78" s="688" t="s">
        <v>113</v>
      </c>
      <c r="D78" s="673"/>
    </row>
    <row r="79" spans="2:11">
      <c r="B79" s="662"/>
      <c r="C79" s="686"/>
      <c r="D79" s="673"/>
    </row>
    <row r="80" spans="2:11">
      <c r="B80" s="662"/>
      <c r="C80" s="691" t="s">
        <v>153</v>
      </c>
      <c r="D80" s="673"/>
    </row>
    <row r="81" spans="2:9">
      <c r="B81" s="662"/>
      <c r="C81" s="686"/>
      <c r="D81" s="673"/>
    </row>
    <row r="82" spans="2:9" ht="39.75" customHeight="1" thickBot="1">
      <c r="B82" s="663"/>
      <c r="C82" s="120" t="s">
        <v>200</v>
      </c>
      <c r="D82" s="667"/>
    </row>
    <row r="85" spans="2:9">
      <c r="B85" s="34" t="s">
        <v>114</v>
      </c>
    </row>
    <row r="86" spans="2:9">
      <c r="B86" s="34" t="s">
        <v>115</v>
      </c>
    </row>
    <row r="87" spans="2:9">
      <c r="B87" s="34" t="s">
        <v>154</v>
      </c>
    </row>
    <row r="88" spans="2:9">
      <c r="B88" s="193" t="s">
        <v>390</v>
      </c>
      <c r="D88" s="240"/>
      <c r="I88" s="195"/>
    </row>
    <row r="89" spans="2:9">
      <c r="B89" s="34" t="s">
        <v>531</v>
      </c>
      <c r="I89" s="195"/>
    </row>
    <row r="90" spans="2:9">
      <c r="B90" s="34" t="s">
        <v>389</v>
      </c>
      <c r="C90" s="34" t="s">
        <v>388</v>
      </c>
      <c r="I90" s="195"/>
    </row>
    <row r="91" spans="2:9">
      <c r="B91" s="34" t="s">
        <v>532</v>
      </c>
    </row>
    <row r="92" spans="2:9">
      <c r="B92" s="34" t="s">
        <v>296</v>
      </c>
    </row>
    <row r="93" spans="2:9">
      <c r="B93" s="34" t="s">
        <v>193</v>
      </c>
    </row>
    <row r="94" spans="2:9">
      <c r="B94" s="34" t="s">
        <v>194</v>
      </c>
    </row>
  </sheetData>
  <sortState ref="B6:E10">
    <sortCondition descending="1" ref="E6:E10"/>
  </sortState>
  <mergeCells count="40">
    <mergeCell ref="C78:C79"/>
    <mergeCell ref="D72:D82"/>
    <mergeCell ref="C29:C31"/>
    <mergeCell ref="C72:C73"/>
    <mergeCell ref="C74:C75"/>
    <mergeCell ref="C76:C77"/>
    <mergeCell ref="C80:C81"/>
    <mergeCell ref="D29:D31"/>
    <mergeCell ref="B72:B77"/>
    <mergeCell ref="B69:B71"/>
    <mergeCell ref="B32:D32"/>
    <mergeCell ref="B60:B62"/>
    <mergeCell ref="B63:B65"/>
    <mergeCell ref="B66:B68"/>
    <mergeCell ref="D60:D71"/>
    <mergeCell ref="C39:C43"/>
    <mergeCell ref="D18:D22"/>
    <mergeCell ref="D47:D59"/>
    <mergeCell ref="B29:B31"/>
    <mergeCell ref="B33:B38"/>
    <mergeCell ref="B47:B48"/>
    <mergeCell ref="B49:B51"/>
    <mergeCell ref="B52:B53"/>
    <mergeCell ref="B54:B56"/>
    <mergeCell ref="B78:B82"/>
    <mergeCell ref="B18:B22"/>
    <mergeCell ref="B23:B28"/>
    <mergeCell ref="B6:B7"/>
    <mergeCell ref="B5:D5"/>
    <mergeCell ref="C6:C7"/>
    <mergeCell ref="B8:D8"/>
    <mergeCell ref="B15:D15"/>
    <mergeCell ref="B9:B14"/>
    <mergeCell ref="D6:D7"/>
    <mergeCell ref="D9:D14"/>
    <mergeCell ref="B17:D17"/>
    <mergeCell ref="B39:B43"/>
    <mergeCell ref="B44:D44"/>
    <mergeCell ref="B46:D46"/>
    <mergeCell ref="B57:B59"/>
  </mergeCells>
  <hyperlinks>
    <hyperlink ref="B85" location="_ftnref1" display="_ftnref1"/>
    <hyperlink ref="B86" location="_ftnref2" display="_ftnref2"/>
    <hyperlink ref="B87" location="_ftnref3" display="_ftnref3"/>
    <hyperlink ref="B89" location="_ftnref5" display="_ftnref5"/>
    <hyperlink ref="B91" location="_ftnref6" display="_ftnref6"/>
    <hyperlink ref="B92" location="_ftnref7" display="_ftnref7"/>
    <hyperlink ref="B93" location="_ftnref8" display="_ftnref8"/>
    <hyperlink ref="B94" location="_ftnref9" display="_ftnref9"/>
    <hyperlink ref="C90" r:id="rId1" display="https://www.ofgem.gov.uk/publications-and-updates/panel-report-stakeholder-engagement-and-consumer-vulnerability-incentives"/>
    <hyperlink ref="B88" r:id="rId2" display="EDR decision letter"/>
  </hyperlinks>
  <pageMargins left="0.7" right="0.7" top="0.75" bottom="0.75" header="0.3" footer="0.3"/>
  <pageSetup paperSize="9" orientation="portrait" r:id="rId3"/>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autoPageBreaks="0"/>
  </sheetPr>
  <dimension ref="C2:AA63"/>
  <sheetViews>
    <sheetView zoomScale="50" zoomScaleNormal="50" workbookViewId="0">
      <selection activeCell="P47" sqref="P47"/>
    </sheetView>
  </sheetViews>
  <sheetFormatPr defaultRowHeight="12.45"/>
  <cols>
    <col min="2" max="2" width="20.86328125" customWidth="1"/>
    <col min="3" max="3" width="18" customWidth="1"/>
    <col min="4" max="4" width="11.86328125" customWidth="1"/>
    <col min="5" max="5" width="10.1328125" customWidth="1"/>
    <col min="6" max="6" width="10.46484375" style="105" customWidth="1"/>
    <col min="7" max="7" width="11" customWidth="1"/>
    <col min="8" max="8" width="10.59765625" customWidth="1"/>
    <col min="9" max="9" width="11" customWidth="1"/>
    <col min="11" max="11" width="10.86328125" bestFit="1" customWidth="1"/>
    <col min="14" max="15" width="9" style="105"/>
    <col min="16" max="16" width="10.46484375" bestFit="1" customWidth="1"/>
    <col min="18" max="18" width="21.86328125" customWidth="1"/>
    <col min="19" max="19" width="11.59765625" customWidth="1"/>
    <col min="20" max="20" width="10.46484375" bestFit="1" customWidth="1"/>
    <col min="21" max="21" width="10.73046875" customWidth="1"/>
    <col min="22" max="23" width="10.46484375" bestFit="1" customWidth="1"/>
  </cols>
  <sheetData>
    <row r="2" spans="3:24">
      <c r="C2" s="105"/>
      <c r="D2" s="105"/>
      <c r="E2" s="105"/>
      <c r="G2" s="105"/>
      <c r="H2" s="105"/>
      <c r="I2" s="89"/>
      <c r="J2" s="89"/>
      <c r="K2" s="89"/>
      <c r="L2" s="89"/>
      <c r="M2" s="89"/>
      <c r="N2" s="89"/>
      <c r="O2" s="89"/>
      <c r="P2" s="89"/>
    </row>
    <row r="3" spans="3:24" ht="12.9" thickBot="1">
      <c r="C3" s="32" t="s">
        <v>525</v>
      </c>
      <c r="H3" s="105"/>
      <c r="I3" s="94"/>
      <c r="J3" s="89"/>
      <c r="K3" s="89"/>
      <c r="L3" s="89"/>
      <c r="M3" s="89"/>
      <c r="N3" s="89"/>
      <c r="O3" s="89"/>
      <c r="P3" s="89"/>
    </row>
    <row r="4" spans="3:24" ht="12.9" thickBot="1">
      <c r="C4" s="75"/>
      <c r="D4" s="76" t="s">
        <v>122</v>
      </c>
      <c r="E4" s="76" t="s">
        <v>123</v>
      </c>
      <c r="F4" s="76" t="s">
        <v>156</v>
      </c>
      <c r="G4" s="76" t="s">
        <v>124</v>
      </c>
      <c r="H4" s="105"/>
      <c r="I4" s="95"/>
      <c r="J4" s="344"/>
      <c r="K4" s="344"/>
      <c r="L4" s="344"/>
      <c r="M4" s="344"/>
      <c r="N4" s="89"/>
      <c r="O4" s="89"/>
      <c r="P4" s="89"/>
    </row>
    <row r="5" spans="3:24" ht="12.9" thickBot="1">
      <c r="C5" s="693" t="s">
        <v>305</v>
      </c>
      <c r="D5" s="694"/>
      <c r="E5" s="694"/>
      <c r="F5" s="694"/>
      <c r="G5" s="695"/>
      <c r="H5" s="105"/>
      <c r="I5" s="89"/>
      <c r="J5" s="89"/>
      <c r="K5" s="89"/>
      <c r="L5" s="89"/>
      <c r="M5" s="89"/>
      <c r="N5" s="89"/>
      <c r="O5" s="89"/>
      <c r="P5" s="89"/>
    </row>
    <row r="6" spans="3:24" ht="32.25" customHeight="1" thickBot="1">
      <c r="C6" s="77" t="s">
        <v>121</v>
      </c>
      <c r="D6" s="121">
        <v>7.9</v>
      </c>
      <c r="E6" s="121">
        <v>8.3000000000000007</v>
      </c>
      <c r="F6" s="121">
        <v>8.5</v>
      </c>
      <c r="G6" s="701" t="s">
        <v>311</v>
      </c>
      <c r="H6" s="105"/>
    </row>
    <row r="7" spans="3:24" ht="12.9" thickBot="1">
      <c r="C7" s="77" t="s">
        <v>71</v>
      </c>
      <c r="D7" s="121">
        <v>8.6999999999999993</v>
      </c>
      <c r="E7" s="121">
        <v>8</v>
      </c>
      <c r="F7" s="121">
        <v>8.1999999999999993</v>
      </c>
      <c r="G7" s="702"/>
    </row>
    <row r="8" spans="3:24" ht="12.75" customHeight="1" thickBot="1">
      <c r="C8" s="77" t="s">
        <v>286</v>
      </c>
      <c r="D8" s="339">
        <v>7.6609999999999996</v>
      </c>
      <c r="E8" s="339">
        <v>7.883</v>
      </c>
      <c r="F8" s="121">
        <v>7.9189999999999996</v>
      </c>
      <c r="G8" s="703"/>
      <c r="H8" s="105"/>
    </row>
    <row r="9" spans="3:24" ht="15.75" customHeight="1" thickBot="1">
      <c r="C9" s="693" t="s">
        <v>125</v>
      </c>
      <c r="D9" s="694"/>
      <c r="E9" s="694"/>
      <c r="F9" s="694"/>
      <c r="G9" s="695"/>
      <c r="H9" s="105"/>
    </row>
    <row r="10" spans="3:24" ht="12.9" thickBot="1">
      <c r="C10" s="77" t="s">
        <v>121</v>
      </c>
      <c r="D10" s="78">
        <v>77</v>
      </c>
      <c r="E10" s="78">
        <v>78</v>
      </c>
      <c r="F10" s="338">
        <v>70.7</v>
      </c>
      <c r="G10" s="345" t="s">
        <v>309</v>
      </c>
      <c r="H10" s="105"/>
    </row>
    <row r="11" spans="3:24" ht="12.9" thickBot="1">
      <c r="C11" s="77" t="s">
        <v>51</v>
      </c>
      <c r="D11" s="78">
        <v>69</v>
      </c>
      <c r="E11" s="78">
        <v>76</v>
      </c>
      <c r="F11" s="339">
        <v>87</v>
      </c>
      <c r="G11" s="345" t="s">
        <v>310</v>
      </c>
      <c r="H11" s="105"/>
    </row>
    <row r="12" spans="3:24" s="124" customFormat="1" ht="12.9" thickBot="1">
      <c r="C12" s="693" t="s">
        <v>304</v>
      </c>
      <c r="D12" s="694"/>
      <c r="E12" s="694"/>
      <c r="F12" s="694"/>
      <c r="G12" s="695"/>
    </row>
    <row r="13" spans="3:24" s="124" customFormat="1" ht="12.9" thickBot="1">
      <c r="C13" s="77" t="s">
        <v>121</v>
      </c>
      <c r="D13" s="339">
        <v>6.25</v>
      </c>
      <c r="E13" s="339">
        <v>6.4</v>
      </c>
      <c r="F13" s="339">
        <v>4.9000000000000004</v>
      </c>
      <c r="G13" s="705" t="s">
        <v>308</v>
      </c>
    </row>
    <row r="14" spans="3:24" s="124" customFormat="1" ht="12.9" thickBot="1">
      <c r="C14" s="77" t="s">
        <v>51</v>
      </c>
      <c r="D14" s="339">
        <v>5.4</v>
      </c>
      <c r="E14" s="339">
        <v>3.25</v>
      </c>
      <c r="F14" s="339">
        <v>4.0599999999999996</v>
      </c>
      <c r="G14" s="706"/>
    </row>
    <row r="15" spans="3:24" ht="12.9" thickBot="1">
      <c r="C15" s="77" t="s">
        <v>286</v>
      </c>
      <c r="D15" s="339">
        <v>7</v>
      </c>
      <c r="E15" s="339">
        <v>5.0999999999999996</v>
      </c>
      <c r="F15" s="339">
        <v>5.54</v>
      </c>
      <c r="G15" s="707"/>
    </row>
    <row r="16" spans="3:24" ht="16.5" customHeight="1" thickBot="1">
      <c r="C16" s="693" t="s">
        <v>306</v>
      </c>
      <c r="D16" s="694"/>
      <c r="E16" s="694"/>
      <c r="F16" s="694"/>
      <c r="G16" s="695"/>
      <c r="R16" s="190"/>
      <c r="S16" s="189"/>
      <c r="T16" s="189"/>
      <c r="U16" s="189"/>
      <c r="V16" s="189"/>
      <c r="W16" s="189"/>
      <c r="X16" s="189"/>
    </row>
    <row r="17" spans="3:27" s="124" customFormat="1" ht="16.5" customHeight="1" thickBot="1">
      <c r="C17" s="77" t="s">
        <v>307</v>
      </c>
      <c r="D17" s="342">
        <v>7.41</v>
      </c>
      <c r="E17" s="342">
        <v>7.7430000000000003</v>
      </c>
      <c r="F17" s="342">
        <v>7.9240000000000004</v>
      </c>
      <c r="G17" s="345" t="s">
        <v>312</v>
      </c>
      <c r="R17" s="190"/>
      <c r="S17" s="189"/>
      <c r="T17" s="189"/>
      <c r="U17" s="189"/>
      <c r="V17" s="189"/>
      <c r="W17" s="189"/>
      <c r="X17" s="189"/>
    </row>
    <row r="18" spans="3:27" s="124" customFormat="1" ht="16.5" customHeight="1">
      <c r="C18" s="340"/>
      <c r="D18" s="343"/>
      <c r="E18" s="343"/>
      <c r="F18" s="343"/>
      <c r="G18" s="194" t="s">
        <v>521</v>
      </c>
      <c r="R18" s="190"/>
      <c r="S18" s="189"/>
      <c r="T18" s="189"/>
      <c r="U18" s="189"/>
      <c r="V18" s="189"/>
      <c r="W18" s="189"/>
      <c r="X18" s="189"/>
    </row>
    <row r="19" spans="3:27" s="124" customFormat="1" ht="16.5" customHeight="1">
      <c r="C19" s="340"/>
      <c r="D19" s="343"/>
      <c r="E19" s="343"/>
      <c r="F19" s="343"/>
      <c r="G19" s="341"/>
      <c r="R19" s="190"/>
      <c r="S19" s="189"/>
      <c r="T19" s="189"/>
      <c r="U19" s="189"/>
      <c r="V19" s="189"/>
      <c r="W19" s="189"/>
      <c r="X19" s="189"/>
    </row>
    <row r="20" spans="3:27" ht="14.6">
      <c r="C20" s="32" t="s">
        <v>164</v>
      </c>
      <c r="G20" s="124"/>
      <c r="H20" s="124"/>
      <c r="I20" s="124"/>
      <c r="J20" s="124"/>
      <c r="K20" s="124"/>
      <c r="L20" s="124"/>
      <c r="R20" s="191"/>
      <c r="S20" s="55"/>
      <c r="T20" s="55"/>
      <c r="U20" s="55"/>
      <c r="V20" s="55"/>
      <c r="W20" s="55"/>
      <c r="X20" s="55"/>
    </row>
    <row r="21" spans="3:27" ht="15" thickBot="1">
      <c r="C21" s="65"/>
      <c r="R21" s="56"/>
      <c r="S21" s="55"/>
      <c r="T21" s="55"/>
      <c r="U21" s="55"/>
      <c r="V21" s="55"/>
      <c r="W21" s="55"/>
      <c r="X21" s="55"/>
    </row>
    <row r="22" spans="3:27" ht="15" thickBot="1">
      <c r="C22" s="72"/>
      <c r="D22" s="699" t="s">
        <v>116</v>
      </c>
      <c r="E22" s="700"/>
      <c r="F22" s="699" t="s">
        <v>117</v>
      </c>
      <c r="G22" s="700"/>
      <c r="H22" s="699" t="s">
        <v>118</v>
      </c>
      <c r="I22" s="700"/>
      <c r="J22" s="699" t="s">
        <v>119</v>
      </c>
      <c r="K22" s="700"/>
      <c r="L22" s="699" t="s">
        <v>120</v>
      </c>
      <c r="M22" s="700"/>
      <c r="N22" s="699" t="s">
        <v>155</v>
      </c>
      <c r="O22" s="700"/>
      <c r="R22" s="56"/>
      <c r="S22" s="55"/>
      <c r="T22" s="55"/>
      <c r="U22" s="55"/>
      <c r="V22" s="55"/>
      <c r="W22" s="55"/>
      <c r="X22" s="55"/>
    </row>
    <row r="23" spans="3:27" ht="22.75" thickBot="1">
      <c r="C23" s="52"/>
      <c r="D23" s="39" t="s">
        <v>126</v>
      </c>
      <c r="E23" s="39" t="s">
        <v>127</v>
      </c>
      <c r="F23" s="39" t="s">
        <v>126</v>
      </c>
      <c r="G23" s="39" t="s">
        <v>127</v>
      </c>
      <c r="H23" s="39" t="s">
        <v>126</v>
      </c>
      <c r="I23" s="39" t="s">
        <v>127</v>
      </c>
      <c r="J23" s="39" t="s">
        <v>126</v>
      </c>
      <c r="K23" s="39" t="s">
        <v>127</v>
      </c>
      <c r="L23" s="39" t="s">
        <v>126</v>
      </c>
      <c r="M23" s="39" t="s">
        <v>127</v>
      </c>
      <c r="N23" s="39" t="s">
        <v>126</v>
      </c>
      <c r="O23" s="39" t="s">
        <v>127</v>
      </c>
      <c r="Q23" s="89"/>
      <c r="R23" s="56"/>
      <c r="S23" s="55"/>
      <c r="T23" s="55"/>
      <c r="U23" s="55"/>
      <c r="V23" s="55"/>
      <c r="W23" s="55"/>
      <c r="X23" s="55"/>
      <c r="Y23" s="89"/>
      <c r="Z23" s="89"/>
      <c r="AA23" s="89"/>
    </row>
    <row r="24" spans="3:27" ht="15" thickBot="1">
      <c r="C24" s="52" t="s">
        <v>121</v>
      </c>
      <c r="D24" s="39">
        <v>42.2</v>
      </c>
      <c r="E24" s="79">
        <v>0.81</v>
      </c>
      <c r="F24" s="39">
        <v>2.8</v>
      </c>
      <c r="G24" s="79">
        <v>0.99</v>
      </c>
      <c r="H24" s="39">
        <v>13.9</v>
      </c>
      <c r="I24" s="79">
        <v>0.94</v>
      </c>
      <c r="J24" s="39">
        <v>10.3</v>
      </c>
      <c r="K24" s="79">
        <v>0.95</v>
      </c>
      <c r="L24" s="39">
        <v>3</v>
      </c>
      <c r="M24" s="79">
        <v>0.99</v>
      </c>
      <c r="N24" s="39">
        <v>39.1</v>
      </c>
      <c r="O24" s="79">
        <v>0.83</v>
      </c>
      <c r="Q24" s="89"/>
      <c r="R24" s="191"/>
      <c r="S24" s="61"/>
      <c r="T24" s="61"/>
      <c r="U24" s="61"/>
      <c r="V24" s="61"/>
      <c r="W24" s="61"/>
      <c r="X24" s="61"/>
      <c r="Y24" s="89"/>
      <c r="Z24" s="89"/>
      <c r="AA24" s="89"/>
    </row>
    <row r="25" spans="3:27" ht="12.9" thickBot="1">
      <c r="C25" s="52" t="s">
        <v>50</v>
      </c>
      <c r="D25" s="39">
        <v>135</v>
      </c>
      <c r="E25" s="79">
        <v>0.56999999999999995</v>
      </c>
      <c r="F25" s="39">
        <v>8.6999999999999993</v>
      </c>
      <c r="G25" s="79">
        <v>0.97</v>
      </c>
      <c r="H25" s="39">
        <v>4.5</v>
      </c>
      <c r="I25" s="79">
        <v>0.99</v>
      </c>
      <c r="J25" s="39">
        <v>6.8</v>
      </c>
      <c r="K25" s="79">
        <v>0.98</v>
      </c>
      <c r="L25" s="39">
        <v>39.700000000000003</v>
      </c>
      <c r="M25" s="79">
        <v>0.87</v>
      </c>
      <c r="N25" s="39">
        <v>12</v>
      </c>
      <c r="O25" s="79">
        <v>0.96</v>
      </c>
      <c r="Q25" s="89"/>
      <c r="R25" s="698"/>
      <c r="S25" s="704"/>
      <c r="T25" s="697"/>
      <c r="U25" s="697"/>
      <c r="V25" s="697"/>
      <c r="W25" s="697"/>
      <c r="X25" s="697"/>
      <c r="Y25" s="89"/>
      <c r="Z25" s="89"/>
      <c r="AA25" s="89"/>
    </row>
    <row r="26" spans="3:27" ht="12.9" thickBot="1">
      <c r="C26" s="52" t="s">
        <v>51</v>
      </c>
      <c r="D26" s="39">
        <v>35.6</v>
      </c>
      <c r="E26" s="79">
        <v>0.7</v>
      </c>
      <c r="F26" s="39">
        <v>106.1</v>
      </c>
      <c r="G26" s="79">
        <v>0.12</v>
      </c>
      <c r="H26" s="39">
        <v>0</v>
      </c>
      <c r="I26" s="79">
        <v>1</v>
      </c>
      <c r="J26" s="39">
        <v>4.4000000000000004</v>
      </c>
      <c r="K26" s="79">
        <v>0.96</v>
      </c>
      <c r="L26" s="39">
        <v>24.3</v>
      </c>
      <c r="M26" s="79">
        <v>0.8</v>
      </c>
      <c r="N26" s="39">
        <v>0</v>
      </c>
      <c r="O26" s="79">
        <v>1</v>
      </c>
      <c r="Q26" s="89"/>
      <c r="R26" s="698"/>
      <c r="S26" s="704"/>
      <c r="T26" s="697"/>
      <c r="U26" s="697"/>
      <c r="V26" s="697"/>
      <c r="W26" s="697"/>
      <c r="X26" s="697"/>
      <c r="Y26" s="89"/>
      <c r="Z26" s="89"/>
      <c r="AA26" s="89"/>
    </row>
    <row r="27" spans="3:27">
      <c r="Q27" s="89"/>
      <c r="R27" s="698"/>
      <c r="S27" s="696"/>
      <c r="T27" s="697"/>
      <c r="U27" s="697"/>
      <c r="V27" s="697"/>
      <c r="W27" s="90"/>
      <c r="X27" s="90"/>
      <c r="Y27" s="89"/>
      <c r="Z27" s="89"/>
      <c r="AA27" s="89"/>
    </row>
    <row r="28" spans="3:27">
      <c r="Q28" s="89"/>
      <c r="R28" s="698"/>
      <c r="S28" s="696"/>
      <c r="T28" s="697"/>
      <c r="U28" s="697"/>
      <c r="V28" s="697"/>
      <c r="W28" s="91"/>
      <c r="X28" s="90"/>
      <c r="Y28" s="89"/>
      <c r="Z28" s="89"/>
      <c r="AA28" s="89"/>
    </row>
    <row r="29" spans="3:27">
      <c r="Q29" s="89"/>
      <c r="R29" s="89"/>
      <c r="S29" s="90"/>
      <c r="T29" s="92"/>
      <c r="U29" s="92"/>
      <c r="V29" s="92"/>
      <c r="W29" s="93"/>
      <c r="X29" s="93"/>
      <c r="Y29" s="89"/>
      <c r="Z29" s="89"/>
      <c r="AA29" s="89"/>
    </row>
    <row r="30" spans="3:27" ht="14.6" thickBot="1">
      <c r="C30" s="32" t="s">
        <v>165</v>
      </c>
      <c r="Q30" s="89"/>
      <c r="Y30" s="89"/>
      <c r="Z30" s="89"/>
      <c r="AA30" s="89"/>
    </row>
    <row r="31" spans="3:27" ht="33.450000000000003" customHeight="1" thickBot="1">
      <c r="C31" s="37"/>
      <c r="D31" s="73" t="s">
        <v>116</v>
      </c>
      <c r="E31" s="73" t="s">
        <v>117</v>
      </c>
      <c r="F31" s="73" t="s">
        <v>118</v>
      </c>
      <c r="G31" s="73" t="s">
        <v>119</v>
      </c>
      <c r="H31" s="73" t="s">
        <v>120</v>
      </c>
      <c r="I31" s="104" t="s">
        <v>155</v>
      </c>
      <c r="K31" s="144" t="s">
        <v>317</v>
      </c>
      <c r="L31" s="144" t="s">
        <v>318</v>
      </c>
      <c r="N31" s="105" t="s">
        <v>320</v>
      </c>
      <c r="Q31" s="89"/>
      <c r="Y31" s="89"/>
      <c r="Z31" s="89"/>
      <c r="AA31" s="89"/>
    </row>
    <row r="32" spans="3:27" ht="38.700000000000003" customHeight="1" thickBot="1">
      <c r="C32" s="52"/>
      <c r="D32" s="74" t="s">
        <v>128</v>
      </c>
      <c r="E32" s="74" t="s">
        <v>128</v>
      </c>
      <c r="F32" s="74" t="s">
        <v>128</v>
      </c>
      <c r="G32" s="74" t="s">
        <v>128</v>
      </c>
      <c r="H32" s="74" t="s">
        <v>128</v>
      </c>
      <c r="I32" s="74" t="s">
        <v>128</v>
      </c>
      <c r="K32" t="s">
        <v>319</v>
      </c>
      <c r="L32" t="s">
        <v>319</v>
      </c>
      <c r="P32" s="89"/>
      <c r="X32" s="1"/>
      <c r="Y32" s="347"/>
      <c r="Z32" s="89"/>
      <c r="AA32" s="89"/>
    </row>
    <row r="33" spans="3:27" ht="12.9" thickBot="1">
      <c r="C33" s="52" t="s">
        <v>121</v>
      </c>
      <c r="D33" s="80">
        <f t="shared" ref="D33:I33" si="0">D45</f>
        <v>-0.27252717617410482</v>
      </c>
      <c r="E33" s="80">
        <f t="shared" si="0"/>
        <v>0.16420147558716242</v>
      </c>
      <c r="F33" s="80">
        <f t="shared" si="0"/>
        <v>0.28740764475865299</v>
      </c>
      <c r="G33" s="80">
        <f t="shared" si="0"/>
        <v>0.45136530166126609</v>
      </c>
      <c r="H33" s="80">
        <f t="shared" si="0"/>
        <v>0.41183397709809366</v>
      </c>
      <c r="I33" s="80">
        <f t="shared" si="0"/>
        <v>0.11758157360666516</v>
      </c>
      <c r="K33" s="365">
        <f>H37+H42+H47</f>
        <v>10403.84</v>
      </c>
      <c r="L33" s="365">
        <f>I37+I42+I47</f>
        <v>13003.001</v>
      </c>
      <c r="N33" s="365">
        <f>L33-K33</f>
        <v>2599.1610000000001</v>
      </c>
      <c r="O33" s="105" t="s">
        <v>319</v>
      </c>
      <c r="Y33" s="89"/>
      <c r="Z33" s="89"/>
      <c r="AA33" s="89"/>
    </row>
    <row r="34" spans="3:27" ht="12.9" thickBot="1">
      <c r="C34" s="52" t="s">
        <v>50</v>
      </c>
      <c r="D34" s="80">
        <f t="shared" ref="D34:I34" si="1">D40</f>
        <v>0.16112360575390575</v>
      </c>
      <c r="E34" s="80">
        <f t="shared" si="1"/>
        <v>0.21487744878836315</v>
      </c>
      <c r="F34" s="80">
        <f t="shared" si="1"/>
        <v>0.20773417186627177</v>
      </c>
      <c r="G34" s="80">
        <f t="shared" si="1"/>
        <v>0.10926728070627682</v>
      </c>
      <c r="H34" s="80">
        <f t="shared" si="1"/>
        <v>0.22760932637868747</v>
      </c>
      <c r="I34" s="80">
        <f t="shared" si="1"/>
        <v>4.4099268781787417E-2</v>
      </c>
      <c r="N34" s="348">
        <f>N33/K33</f>
        <v>0.24982708307701773</v>
      </c>
      <c r="Y34" s="89"/>
      <c r="Z34" s="89"/>
      <c r="AA34" s="89"/>
    </row>
    <row r="35" spans="3:27" ht="12.9" thickBot="1">
      <c r="C35" s="52" t="s">
        <v>51</v>
      </c>
      <c r="D35" s="80">
        <f t="shared" ref="D35:I35" si="2">D50</f>
        <v>-1.2247511612475117</v>
      </c>
      <c r="E35" s="80">
        <f t="shared" si="2"/>
        <v>-0.9595609474292317</v>
      </c>
      <c r="F35" s="80">
        <f t="shared" si="2"/>
        <v>-0.2171526157202508</v>
      </c>
      <c r="G35" s="81">
        <f t="shared" si="2"/>
        <v>-3.1282049251411744E-4</v>
      </c>
      <c r="H35" s="80">
        <f t="shared" si="2"/>
        <v>3.9143213493270518E-2</v>
      </c>
      <c r="I35" s="80">
        <f t="shared" si="2"/>
        <v>1.3434681172175458E-2</v>
      </c>
      <c r="J35" s="105"/>
      <c r="K35" s="366"/>
      <c r="Y35" s="89"/>
      <c r="Z35" s="89"/>
      <c r="AA35" s="89"/>
    </row>
    <row r="36" spans="3:27">
      <c r="C36" s="349" t="s">
        <v>286</v>
      </c>
      <c r="D36" s="350"/>
      <c r="E36" s="350"/>
      <c r="F36" s="350"/>
      <c r="G36" s="350"/>
      <c r="H36" s="350"/>
      <c r="I36" s="351"/>
      <c r="Z36" s="89"/>
      <c r="AA36" s="89"/>
    </row>
    <row r="37" spans="3:27">
      <c r="C37" s="352" t="s">
        <v>315</v>
      </c>
      <c r="D37" s="353">
        <v>10110</v>
      </c>
      <c r="E37" s="353">
        <v>9544</v>
      </c>
      <c r="F37" s="353">
        <v>9744</v>
      </c>
      <c r="G37" s="353">
        <v>11000</v>
      </c>
      <c r="H37" s="353">
        <v>9617</v>
      </c>
      <c r="I37" s="354">
        <v>11934.811</v>
      </c>
      <c r="N37" s="365">
        <f>I37-H37</f>
        <v>2317.8109999999997</v>
      </c>
      <c r="O37" s="105" t="s">
        <v>319</v>
      </c>
      <c r="P37" s="365"/>
      <c r="X37" s="89"/>
      <c r="Y37" s="89"/>
      <c r="Z37" s="89"/>
      <c r="AA37" s="89"/>
    </row>
    <row r="38" spans="3:27">
      <c r="C38" s="352" t="s">
        <v>316</v>
      </c>
      <c r="D38" s="353">
        <v>12051.8351325</v>
      </c>
      <c r="E38" s="353">
        <v>12156.064025000001</v>
      </c>
      <c r="F38" s="353">
        <v>12298.902280000002</v>
      </c>
      <c r="G38" s="353">
        <v>12349.38356</v>
      </c>
      <c r="H38" s="353">
        <v>12450.953032500001</v>
      </c>
      <c r="I38" s="354">
        <v>12485.408380000001</v>
      </c>
      <c r="N38" s="348">
        <f>N37/H37</f>
        <v>0.24101185400852654</v>
      </c>
      <c r="X38" s="89"/>
      <c r="Y38" s="89"/>
      <c r="Z38" s="89"/>
      <c r="AA38" s="89"/>
    </row>
    <row r="39" spans="3:27">
      <c r="C39" s="358" t="s">
        <v>314</v>
      </c>
      <c r="D39" s="359">
        <f t="shared" ref="D39:I39" si="3">D38-D37</f>
        <v>1941.8351325000003</v>
      </c>
      <c r="E39" s="359">
        <f t="shared" si="3"/>
        <v>2612.0640250000015</v>
      </c>
      <c r="F39" s="359">
        <f t="shared" si="3"/>
        <v>2554.9022800000021</v>
      </c>
      <c r="G39" s="359">
        <f t="shared" si="3"/>
        <v>1349.3835600000002</v>
      </c>
      <c r="H39" s="359">
        <f t="shared" si="3"/>
        <v>2833.9530325000014</v>
      </c>
      <c r="I39" s="360">
        <f t="shared" si="3"/>
        <v>550.59738000000107</v>
      </c>
      <c r="N39" s="365"/>
    </row>
    <row r="40" spans="3:27">
      <c r="C40" s="358" t="s">
        <v>313</v>
      </c>
      <c r="D40" s="361">
        <f t="shared" ref="D40:I40" si="4">D39/D38</f>
        <v>0.16112360575390575</v>
      </c>
      <c r="E40" s="361">
        <f t="shared" si="4"/>
        <v>0.21487744878836315</v>
      </c>
      <c r="F40" s="361">
        <f t="shared" si="4"/>
        <v>0.20773417186627177</v>
      </c>
      <c r="G40" s="361">
        <f t="shared" si="4"/>
        <v>0.10926728070627682</v>
      </c>
      <c r="H40" s="361">
        <f t="shared" si="4"/>
        <v>0.22760932637868747</v>
      </c>
      <c r="I40" s="362">
        <f t="shared" si="4"/>
        <v>4.4099268781787417E-2</v>
      </c>
      <c r="N40" s="365"/>
    </row>
    <row r="41" spans="3:27">
      <c r="C41" s="355" t="s">
        <v>1</v>
      </c>
      <c r="D41" s="356"/>
      <c r="E41" s="356"/>
      <c r="F41" s="356"/>
      <c r="G41" s="356"/>
      <c r="H41" s="356"/>
      <c r="I41" s="357"/>
      <c r="N41" s="365"/>
    </row>
    <row r="42" spans="3:27" ht="12.75" customHeight="1">
      <c r="C42" s="352" t="s">
        <v>315</v>
      </c>
      <c r="D42" s="353">
        <v>729.5</v>
      </c>
      <c r="E42" s="353">
        <v>494.61</v>
      </c>
      <c r="F42" s="353">
        <v>441</v>
      </c>
      <c r="G42" s="353">
        <v>388.12</v>
      </c>
      <c r="H42" s="353">
        <v>460</v>
      </c>
      <c r="I42" s="354">
        <v>695.75</v>
      </c>
      <c r="N42" s="365">
        <f>I42-H42</f>
        <v>235.75</v>
      </c>
      <c r="O42" s="105" t="s">
        <v>319</v>
      </c>
    </row>
    <row r="43" spans="3:27">
      <c r="C43" s="352" t="s">
        <v>316</v>
      </c>
      <c r="D43" s="353">
        <v>573.26869999999997</v>
      </c>
      <c r="E43" s="353">
        <v>591.78137499999991</v>
      </c>
      <c r="F43" s="353">
        <v>618.86715000000004</v>
      </c>
      <c r="G43" s="353">
        <v>707.42882500000007</v>
      </c>
      <c r="H43" s="353">
        <v>782.09209999999996</v>
      </c>
      <c r="I43" s="354">
        <v>788.45815000000005</v>
      </c>
      <c r="N43" s="348">
        <f>N42/H42</f>
        <v>0.51249999999999996</v>
      </c>
    </row>
    <row r="44" spans="3:27">
      <c r="C44" s="358" t="s">
        <v>314</v>
      </c>
      <c r="D44" s="359">
        <v>-156.23130000000003</v>
      </c>
      <c r="E44" s="359">
        <v>97.171374999999898</v>
      </c>
      <c r="F44" s="359">
        <v>177.86715000000004</v>
      </c>
      <c r="G44" s="359">
        <v>319.30882500000007</v>
      </c>
      <c r="H44" s="359">
        <v>322.09209999999996</v>
      </c>
      <c r="I44" s="360">
        <v>92.708150000000046</v>
      </c>
      <c r="N44" s="365"/>
    </row>
    <row r="45" spans="3:27">
      <c r="C45" s="358" t="s">
        <v>313</v>
      </c>
      <c r="D45" s="361">
        <f t="shared" ref="D45:I45" si="5">D44/D43</f>
        <v>-0.27252717617410482</v>
      </c>
      <c r="E45" s="361">
        <f t="shared" si="5"/>
        <v>0.16420147558716242</v>
      </c>
      <c r="F45" s="361">
        <f t="shared" si="5"/>
        <v>0.28740764475865299</v>
      </c>
      <c r="G45" s="361">
        <f t="shared" si="5"/>
        <v>0.45136530166126609</v>
      </c>
      <c r="H45" s="361">
        <f t="shared" si="5"/>
        <v>0.41183397709809366</v>
      </c>
      <c r="I45" s="362">
        <f t="shared" si="5"/>
        <v>0.11758157360666516</v>
      </c>
      <c r="N45" s="365"/>
    </row>
    <row r="46" spans="3:27">
      <c r="C46" s="355" t="s">
        <v>51</v>
      </c>
      <c r="D46" s="356"/>
      <c r="E46" s="356"/>
      <c r="F46" s="356"/>
      <c r="G46" s="356"/>
      <c r="H46" s="356"/>
      <c r="I46" s="357"/>
      <c r="N46" s="365"/>
    </row>
    <row r="47" spans="3:27">
      <c r="C47" s="352" t="s">
        <v>315</v>
      </c>
      <c r="D47" s="353">
        <v>335.27</v>
      </c>
      <c r="E47" s="353">
        <v>339.2</v>
      </c>
      <c r="F47" s="353">
        <v>272.26</v>
      </c>
      <c r="G47" s="603">
        <v>252.62</v>
      </c>
      <c r="H47" s="353">
        <v>326.83999999999997</v>
      </c>
      <c r="I47" s="354">
        <v>372.44</v>
      </c>
      <c r="L47" s="365"/>
      <c r="N47" s="365">
        <f>I47-H47</f>
        <v>45.600000000000023</v>
      </c>
      <c r="O47" s="105" t="s">
        <v>319</v>
      </c>
    </row>
    <row r="48" spans="3:27">
      <c r="C48" s="352" t="s">
        <v>316</v>
      </c>
      <c r="D48" s="353">
        <v>150.69999999999999</v>
      </c>
      <c r="E48" s="353">
        <v>173.1</v>
      </c>
      <c r="F48" s="353">
        <v>223.68599999999998</v>
      </c>
      <c r="G48" s="603">
        <v>252.541</v>
      </c>
      <c r="H48" s="353">
        <v>340.15475000000004</v>
      </c>
      <c r="I48" s="354">
        <v>377.51175000000001</v>
      </c>
      <c r="J48" s="89"/>
      <c r="L48" s="365"/>
      <c r="N48" s="348">
        <f>N47/H47</f>
        <v>0.13951780687798318</v>
      </c>
    </row>
    <row r="49" spans="3:20" ht="12.75" customHeight="1">
      <c r="C49" s="358" t="s">
        <v>314</v>
      </c>
      <c r="D49" s="359">
        <v>-184.57</v>
      </c>
      <c r="E49" s="359">
        <v>-166.1</v>
      </c>
      <c r="F49" s="359">
        <v>-48.574000000000012</v>
      </c>
      <c r="G49" s="359">
        <v>-7.9000000000007731E-2</v>
      </c>
      <c r="H49" s="359">
        <v>13.31475000000006</v>
      </c>
      <c r="I49" s="360">
        <v>5.0717500000000086</v>
      </c>
      <c r="J49" s="89"/>
      <c r="P49" s="366"/>
    </row>
    <row r="50" spans="3:20" ht="12.9" thickBot="1">
      <c r="C50" s="363" t="s">
        <v>313</v>
      </c>
      <c r="D50" s="364">
        <f t="shared" ref="D50:I50" si="6">D49/D48</f>
        <v>-1.2247511612475117</v>
      </c>
      <c r="E50" s="364">
        <f t="shared" si="6"/>
        <v>-0.9595609474292317</v>
      </c>
      <c r="F50" s="364">
        <f t="shared" si="6"/>
        <v>-0.2171526157202508</v>
      </c>
      <c r="G50" s="364">
        <f t="shared" si="6"/>
        <v>-3.1282049251411744E-4</v>
      </c>
      <c r="H50" s="364">
        <f t="shared" si="6"/>
        <v>3.9143213493270518E-2</v>
      </c>
      <c r="I50" s="604">
        <f t="shared" si="6"/>
        <v>1.3434681172175458E-2</v>
      </c>
      <c r="J50" s="89"/>
    </row>
    <row r="51" spans="3:20">
      <c r="C51" s="122"/>
      <c r="D51" s="708"/>
      <c r="E51" s="708"/>
      <c r="F51" s="708"/>
      <c r="G51" s="708"/>
      <c r="H51" s="708"/>
      <c r="I51" s="708"/>
      <c r="J51" s="89"/>
    </row>
    <row r="52" spans="3:20" s="124" customFormat="1">
      <c r="C52" s="122"/>
      <c r="D52" s="372"/>
      <c r="E52" s="372"/>
      <c r="F52" s="372"/>
      <c r="G52" s="372"/>
      <c r="H52" s="372"/>
      <c r="I52" s="372"/>
      <c r="J52" s="89"/>
    </row>
    <row r="53" spans="3:20" ht="26.25" customHeight="1" thickBot="1">
      <c r="C53" s="32" t="s">
        <v>166</v>
      </c>
      <c r="F53"/>
      <c r="G53" s="123"/>
      <c r="H53" s="123"/>
      <c r="I53" s="123"/>
      <c r="J53" s="89"/>
    </row>
    <row r="54" spans="3:20" ht="15" thickBot="1">
      <c r="C54" s="82" t="s">
        <v>53</v>
      </c>
      <c r="D54" s="83" t="s">
        <v>50</v>
      </c>
      <c r="E54" s="83" t="s">
        <v>51</v>
      </c>
      <c r="F54" s="83" t="s">
        <v>1</v>
      </c>
      <c r="H54" s="123"/>
      <c r="N54" s="124"/>
      <c r="O54" s="124"/>
      <c r="P54" s="124"/>
      <c r="Q54" s="124"/>
      <c r="R54" s="124"/>
      <c r="S54" s="124"/>
      <c r="T54" s="124"/>
    </row>
    <row r="55" spans="3:20" ht="14.6">
      <c r="C55" s="35" t="s">
        <v>116</v>
      </c>
      <c r="D55" s="186">
        <v>2233421</v>
      </c>
      <c r="E55" s="186">
        <v>26384</v>
      </c>
      <c r="F55" s="186">
        <v>189616.81615909899</v>
      </c>
      <c r="H55" s="123"/>
      <c r="N55" s="124"/>
      <c r="O55" s="124"/>
      <c r="P55" s="124"/>
      <c r="Q55" s="124"/>
      <c r="R55" s="124"/>
      <c r="S55" s="124"/>
      <c r="T55" s="124"/>
    </row>
    <row r="56" spans="3:20" ht="14.6">
      <c r="C56" s="35" t="s">
        <v>117</v>
      </c>
      <c r="D56" s="186">
        <v>2552420</v>
      </c>
      <c r="E56" s="186">
        <v>346176</v>
      </c>
      <c r="F56" s="186">
        <v>258498.06617693813</v>
      </c>
      <c r="H56" s="89"/>
      <c r="N56" s="124"/>
      <c r="O56" s="124"/>
      <c r="P56" s="124"/>
      <c r="Q56" s="124"/>
      <c r="R56" s="124"/>
      <c r="S56" s="124"/>
      <c r="T56" s="124"/>
    </row>
    <row r="57" spans="3:20" ht="14.6">
      <c r="C57" s="35" t="s">
        <v>118</v>
      </c>
      <c r="D57" s="186">
        <v>2400267</v>
      </c>
      <c r="E57" s="186">
        <v>306158</v>
      </c>
      <c r="F57" s="186">
        <v>210090.54150672312</v>
      </c>
      <c r="N57" s="124"/>
      <c r="O57" s="124"/>
      <c r="P57" s="124"/>
      <c r="Q57" s="124"/>
      <c r="R57" s="124"/>
      <c r="S57" s="124"/>
      <c r="T57" s="124"/>
    </row>
    <row r="58" spans="3:20" ht="14.6">
      <c r="C58" s="35" t="s">
        <v>119</v>
      </c>
      <c r="D58" s="186">
        <v>1986349</v>
      </c>
      <c r="E58" s="186">
        <v>124173</v>
      </c>
      <c r="F58" s="186">
        <v>278778.14340608648</v>
      </c>
      <c r="N58" s="124"/>
      <c r="O58" s="124"/>
      <c r="P58" s="124"/>
      <c r="Q58" s="124"/>
      <c r="R58" s="124"/>
      <c r="S58" s="124"/>
      <c r="T58" s="124"/>
    </row>
    <row r="59" spans="3:20" ht="15" customHeight="1">
      <c r="C59" s="127" t="s">
        <v>120</v>
      </c>
      <c r="D59" s="187">
        <v>1886503</v>
      </c>
      <c r="E59" s="187">
        <v>112643</v>
      </c>
      <c r="F59" s="187">
        <v>203164.27696665018</v>
      </c>
      <c r="N59" s="124"/>
      <c r="O59" s="124"/>
      <c r="P59" s="124"/>
      <c r="Q59" s="124"/>
      <c r="R59" s="124"/>
      <c r="S59" s="124"/>
      <c r="T59" s="124"/>
    </row>
    <row r="60" spans="3:20" ht="14.6">
      <c r="C60" s="128" t="s">
        <v>155</v>
      </c>
      <c r="D60" s="188">
        <v>1594730.6738931057</v>
      </c>
      <c r="E60" s="188">
        <v>9637.1057793652471</v>
      </c>
      <c r="F60" s="188">
        <v>225588.52340744235</v>
      </c>
      <c r="N60" s="124"/>
      <c r="O60" s="124"/>
      <c r="P60" s="124"/>
      <c r="Q60" s="124"/>
      <c r="R60" s="124"/>
      <c r="S60" s="124"/>
      <c r="T60" s="124"/>
    </row>
    <row r="61" spans="3:20">
      <c r="N61" s="124"/>
      <c r="O61" s="124"/>
      <c r="P61" s="124"/>
      <c r="Q61" s="124"/>
      <c r="R61" s="124"/>
      <c r="S61" s="124"/>
      <c r="T61" s="124"/>
    </row>
    <row r="62" spans="3:20">
      <c r="N62" s="124"/>
      <c r="O62" s="124"/>
      <c r="P62" s="124"/>
      <c r="Q62" s="124"/>
      <c r="R62" s="124"/>
      <c r="S62" s="124"/>
      <c r="T62" s="124"/>
    </row>
    <row r="63" spans="3:20" ht="55.5" customHeight="1">
      <c r="N63" s="124"/>
      <c r="O63" s="124"/>
      <c r="P63" s="124"/>
      <c r="Q63" s="124"/>
      <c r="R63" s="124"/>
      <c r="S63" s="124"/>
      <c r="T63" s="124"/>
    </row>
  </sheetData>
  <mergeCells count="22">
    <mergeCell ref="D51:I51"/>
    <mergeCell ref="J22:K22"/>
    <mergeCell ref="L22:M22"/>
    <mergeCell ref="D22:E22"/>
    <mergeCell ref="F22:G22"/>
    <mergeCell ref="H22:I22"/>
    <mergeCell ref="V27:V28"/>
    <mergeCell ref="C9:G9"/>
    <mergeCell ref="R25:R26"/>
    <mergeCell ref="S25:S26"/>
    <mergeCell ref="T25:X25"/>
    <mergeCell ref="T26:X26"/>
    <mergeCell ref="C12:G12"/>
    <mergeCell ref="G13:G15"/>
    <mergeCell ref="C5:G5"/>
    <mergeCell ref="S27:S28"/>
    <mergeCell ref="T27:T28"/>
    <mergeCell ref="U27:U28"/>
    <mergeCell ref="R27:R28"/>
    <mergeCell ref="N22:O22"/>
    <mergeCell ref="C16:G16"/>
    <mergeCell ref="G6:G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autoPageBreaks="0"/>
  </sheetPr>
  <dimension ref="B3:U92"/>
  <sheetViews>
    <sheetView zoomScale="50" zoomScaleNormal="50" workbookViewId="0"/>
  </sheetViews>
  <sheetFormatPr defaultColWidth="9" defaultRowHeight="12.45"/>
  <cols>
    <col min="1" max="2" width="9" style="124"/>
    <col min="3" max="3" width="13.59765625" style="124" bestFit="1" customWidth="1"/>
    <col min="4" max="5" width="11.86328125" style="124" bestFit="1" customWidth="1"/>
    <col min="6" max="16384" width="9" style="124"/>
  </cols>
  <sheetData>
    <row r="3" spans="2:21">
      <c r="R3" s="32" t="s">
        <v>292</v>
      </c>
    </row>
    <row r="4" spans="2:21">
      <c r="B4" s="32" t="s">
        <v>291</v>
      </c>
    </row>
    <row r="5" spans="2:21">
      <c r="S5" s="299" t="s">
        <v>286</v>
      </c>
      <c r="T5" s="299"/>
      <c r="U5" s="299"/>
    </row>
    <row r="6" spans="2:21">
      <c r="C6" s="299" t="s">
        <v>1</v>
      </c>
      <c r="D6" s="299" t="s">
        <v>51</v>
      </c>
      <c r="E6" s="299" t="s">
        <v>286</v>
      </c>
      <c r="F6" s="299"/>
      <c r="R6" s="300" t="s">
        <v>116</v>
      </c>
      <c r="S6" s="157">
        <v>7.4089999999999998</v>
      </c>
      <c r="T6" s="157"/>
    </row>
    <row r="7" spans="2:21">
      <c r="B7" s="300" t="s">
        <v>119</v>
      </c>
      <c r="C7" s="157">
        <v>7.9</v>
      </c>
      <c r="D7" s="157">
        <v>8.6999999999999993</v>
      </c>
      <c r="E7" s="157">
        <v>7.6609999999999996</v>
      </c>
      <c r="F7" s="157"/>
      <c r="R7" s="300" t="s">
        <v>117</v>
      </c>
      <c r="S7" s="157">
        <v>7.4009999999999998</v>
      </c>
      <c r="T7" s="157"/>
    </row>
    <row r="8" spans="2:21">
      <c r="B8" s="300" t="s">
        <v>120</v>
      </c>
      <c r="C8" s="157">
        <v>8.3000000000000007</v>
      </c>
      <c r="D8" s="157">
        <v>8</v>
      </c>
      <c r="E8" s="157">
        <v>7.883</v>
      </c>
      <c r="F8" s="157"/>
      <c r="R8" s="300" t="s">
        <v>118</v>
      </c>
      <c r="S8" s="157">
        <v>7.5380000000000003</v>
      </c>
      <c r="T8" s="156"/>
    </row>
    <row r="9" spans="2:21">
      <c r="B9" s="300" t="s">
        <v>155</v>
      </c>
      <c r="C9" s="157">
        <v>8.5</v>
      </c>
      <c r="D9" s="157">
        <v>8.1999999999999993</v>
      </c>
      <c r="E9" s="157">
        <v>7.9189999999999996</v>
      </c>
      <c r="F9" s="157"/>
      <c r="R9" s="300" t="s">
        <v>119</v>
      </c>
      <c r="S9" s="157">
        <v>7.41</v>
      </c>
      <c r="T9" s="156"/>
    </row>
    <row r="10" spans="2:21">
      <c r="B10" s="300" t="s">
        <v>124</v>
      </c>
      <c r="C10" s="124">
        <v>7.4</v>
      </c>
      <c r="F10" s="157"/>
      <c r="R10" s="300" t="s">
        <v>120</v>
      </c>
      <c r="S10" s="157">
        <v>7.7430000000000003</v>
      </c>
      <c r="T10" s="156"/>
    </row>
    <row r="11" spans="2:21">
      <c r="F11" s="157"/>
      <c r="R11" s="300" t="s">
        <v>155</v>
      </c>
      <c r="S11" s="157">
        <v>7.9240000000000004</v>
      </c>
      <c r="T11" s="157"/>
    </row>
    <row r="12" spans="2:21">
      <c r="B12" s="300" t="s">
        <v>394</v>
      </c>
      <c r="C12" s="156">
        <f>AVERAGE(C7:C9)</f>
        <v>8.2333333333333343</v>
      </c>
      <c r="D12" s="156">
        <f>AVERAGE(D7:D9)</f>
        <v>8.2999999999999989</v>
      </c>
      <c r="E12" s="156">
        <f>AVERAGE(E7:E9)</f>
        <v>7.8210000000000006</v>
      </c>
      <c r="F12" s="157"/>
      <c r="R12" s="300" t="s">
        <v>124</v>
      </c>
      <c r="S12" s="124">
        <v>6.9</v>
      </c>
    </row>
    <row r="13" spans="2:21">
      <c r="R13" s="300"/>
    </row>
    <row r="14" spans="2:21">
      <c r="R14" s="300" t="s">
        <v>395</v>
      </c>
      <c r="S14" s="157">
        <f>AVERAGE(S6:S11)</f>
        <v>7.5708333333333329</v>
      </c>
    </row>
    <row r="16" spans="2:21">
      <c r="B16" s="302"/>
    </row>
    <row r="18" spans="2:5">
      <c r="B18" s="1"/>
    </row>
    <row r="24" spans="2:5">
      <c r="B24" s="32" t="s">
        <v>164</v>
      </c>
    </row>
    <row r="26" spans="2:5">
      <c r="C26" s="299" t="s">
        <v>1</v>
      </c>
      <c r="D26" s="299" t="s">
        <v>51</v>
      </c>
      <c r="E26" s="299" t="s">
        <v>286</v>
      </c>
    </row>
    <row r="27" spans="2:5">
      <c r="B27" s="300" t="s">
        <v>116</v>
      </c>
      <c r="C27" s="235">
        <v>42.199999999999996</v>
      </c>
      <c r="D27" s="157">
        <f>'Incentives - tables'!D26</f>
        <v>35.6</v>
      </c>
      <c r="E27" s="235">
        <f>'Incentives - tables'!D25</f>
        <v>135</v>
      </c>
    </row>
    <row r="28" spans="2:5">
      <c r="B28" s="300" t="s">
        <v>117</v>
      </c>
      <c r="C28" s="235">
        <v>2.8</v>
      </c>
      <c r="D28" s="156">
        <f>'Incentives - tables'!F26</f>
        <v>106.1</v>
      </c>
      <c r="E28" s="235">
        <f>'Incentives - tables'!F25</f>
        <v>8.6999999999999993</v>
      </c>
    </row>
    <row r="29" spans="2:5">
      <c r="B29" s="300" t="s">
        <v>118</v>
      </c>
      <c r="C29" s="235">
        <v>13.879999999999999</v>
      </c>
      <c r="D29" s="156">
        <f>'Incentives - tables'!H26</f>
        <v>0</v>
      </c>
      <c r="E29" s="235">
        <f>'Incentives - tables'!H25</f>
        <v>4.5</v>
      </c>
    </row>
    <row r="30" spans="2:5">
      <c r="B30" s="300" t="s">
        <v>119</v>
      </c>
      <c r="C30" s="235">
        <v>10.315693333333332</v>
      </c>
      <c r="D30" s="156">
        <f>'Incentives - tables'!J26</f>
        <v>4.4000000000000004</v>
      </c>
      <c r="E30" s="235">
        <f>'Incentives - tables'!J25</f>
        <v>6.8</v>
      </c>
    </row>
    <row r="31" spans="2:5">
      <c r="B31" s="300" t="s">
        <v>120</v>
      </c>
      <c r="C31" s="235">
        <v>3.04</v>
      </c>
      <c r="D31" s="156">
        <f>'Incentives - tables'!L26</f>
        <v>24.3</v>
      </c>
      <c r="E31" s="235">
        <f>'Incentives - tables'!L25</f>
        <v>39.700000000000003</v>
      </c>
    </row>
    <row r="32" spans="2:5">
      <c r="B32" s="300" t="s">
        <v>155</v>
      </c>
      <c r="C32" s="235">
        <v>39.086958335678325</v>
      </c>
      <c r="D32" s="157">
        <f>'Incentives - tables'!N26</f>
        <v>0</v>
      </c>
      <c r="E32" s="235">
        <f>'Incentives - tables'!N25</f>
        <v>12</v>
      </c>
    </row>
    <row r="33" spans="2:19">
      <c r="B33" s="300"/>
    </row>
    <row r="34" spans="2:19">
      <c r="B34" s="300" t="s">
        <v>394</v>
      </c>
      <c r="C34" s="235">
        <f>AVERAGE(C27:C32)</f>
        <v>18.553775278168612</v>
      </c>
      <c r="D34" s="235">
        <f>AVERAGE(D27:D32)</f>
        <v>28.400000000000002</v>
      </c>
      <c r="E34" s="235">
        <f>AVERAGE(E27:E32)</f>
        <v>34.449999999999996</v>
      </c>
    </row>
    <row r="37" spans="2:19">
      <c r="C37" s="124" t="s">
        <v>287</v>
      </c>
    </row>
    <row r="38" spans="2:19">
      <c r="C38" s="124" t="s">
        <v>288</v>
      </c>
      <c r="I38" s="194" t="s">
        <v>520</v>
      </c>
    </row>
    <row r="39" spans="2:19">
      <c r="C39" s="124" t="s">
        <v>289</v>
      </c>
    </row>
    <row r="45" spans="2:19">
      <c r="J45" s="194" t="s">
        <v>518</v>
      </c>
      <c r="S45" s="194" t="s">
        <v>519</v>
      </c>
    </row>
    <row r="47" spans="2:19" ht="14.15">
      <c r="B47" s="32" t="s">
        <v>290</v>
      </c>
    </row>
    <row r="49" spans="2:10">
      <c r="C49" s="299" t="s">
        <v>1</v>
      </c>
      <c r="D49" s="299" t="s">
        <v>51</v>
      </c>
      <c r="E49" s="299"/>
      <c r="G49" s="299"/>
    </row>
    <row r="50" spans="2:10">
      <c r="B50" s="300" t="s">
        <v>116</v>
      </c>
      <c r="C50" s="124">
        <v>156.23130000000003</v>
      </c>
      <c r="D50" s="124">
        <v>184.57</v>
      </c>
      <c r="F50" s="300" t="s">
        <v>116</v>
      </c>
      <c r="G50" s="124">
        <v>-1941.8351325000003</v>
      </c>
    </row>
    <row r="51" spans="2:10">
      <c r="B51" s="300" t="s">
        <v>117</v>
      </c>
      <c r="C51" s="124">
        <v>-97.171374999999898</v>
      </c>
      <c r="D51" s="124">
        <v>166.1</v>
      </c>
      <c r="F51" s="300" t="s">
        <v>117</v>
      </c>
      <c r="G51" s="124">
        <v>-2612.0640250000015</v>
      </c>
    </row>
    <row r="52" spans="2:10">
      <c r="B52" s="300" t="s">
        <v>118</v>
      </c>
      <c r="C52" s="124">
        <v>-177.86715000000004</v>
      </c>
      <c r="D52" s="124">
        <v>48.574000000000012</v>
      </c>
      <c r="F52" s="300" t="s">
        <v>118</v>
      </c>
      <c r="G52" s="124">
        <v>-2554.9022800000021</v>
      </c>
    </row>
    <row r="53" spans="2:10">
      <c r="B53" s="300" t="s">
        <v>119</v>
      </c>
      <c r="C53" s="124">
        <v>-319.30882500000007</v>
      </c>
      <c r="D53" s="124">
        <v>7.9000000000007731E-2</v>
      </c>
      <c r="F53" s="300" t="s">
        <v>119</v>
      </c>
      <c r="G53" s="124">
        <v>-1349.3835600000002</v>
      </c>
    </row>
    <row r="54" spans="2:10">
      <c r="B54" s="300" t="s">
        <v>120</v>
      </c>
      <c r="C54" s="124">
        <v>-322.09209999999996</v>
      </c>
      <c r="D54" s="124">
        <v>-13.31475000000006</v>
      </c>
      <c r="F54" s="300" t="s">
        <v>120</v>
      </c>
      <c r="G54" s="124">
        <v>-2833.9530325000014</v>
      </c>
    </row>
    <row r="55" spans="2:10">
      <c r="B55" s="300" t="s">
        <v>155</v>
      </c>
      <c r="C55" s="124">
        <v>-92.708150000000046</v>
      </c>
      <c r="D55" s="124">
        <v>-5.0717500000000086</v>
      </c>
      <c r="F55" s="300" t="s">
        <v>155</v>
      </c>
      <c r="G55" s="124">
        <v>-550.59738000000107</v>
      </c>
    </row>
    <row r="56" spans="2:10">
      <c r="B56" s="300"/>
    </row>
    <row r="60" spans="2:10">
      <c r="E60" s="300"/>
      <c r="F60" s="300"/>
      <c r="G60" s="300"/>
      <c r="H60" s="300"/>
      <c r="I60" s="300"/>
      <c r="J60" s="300"/>
    </row>
    <row r="66" spans="2:5" ht="14.15">
      <c r="B66" s="32" t="s">
        <v>166</v>
      </c>
    </row>
    <row r="68" spans="2:5">
      <c r="C68" s="299" t="s">
        <v>50</v>
      </c>
      <c r="D68" s="299" t="s">
        <v>51</v>
      </c>
      <c r="E68" s="299" t="s">
        <v>1</v>
      </c>
    </row>
    <row r="69" spans="2:5">
      <c r="B69" s="300" t="s">
        <v>116</v>
      </c>
      <c r="C69" s="301">
        <v>2233421</v>
      </c>
      <c r="D69" s="301">
        <v>26384</v>
      </c>
      <c r="E69" s="301">
        <v>189616.81615909899</v>
      </c>
    </row>
    <row r="70" spans="2:5">
      <c r="B70" s="300" t="s">
        <v>117</v>
      </c>
      <c r="C70" s="301">
        <v>2552420</v>
      </c>
      <c r="D70" s="301">
        <v>346176</v>
      </c>
      <c r="E70" s="301">
        <v>258498.06617693813</v>
      </c>
    </row>
    <row r="71" spans="2:5">
      <c r="B71" s="300" t="s">
        <v>118</v>
      </c>
      <c r="C71" s="301">
        <v>2400267</v>
      </c>
      <c r="D71" s="301">
        <v>306158</v>
      </c>
      <c r="E71" s="301">
        <v>210090.54150672312</v>
      </c>
    </row>
    <row r="72" spans="2:5">
      <c r="B72" s="300" t="s">
        <v>119</v>
      </c>
      <c r="C72" s="301">
        <v>1986349</v>
      </c>
      <c r="D72" s="301">
        <v>124173</v>
      </c>
      <c r="E72" s="301">
        <v>278778.14340608648</v>
      </c>
    </row>
    <row r="73" spans="2:5">
      <c r="B73" s="300" t="s">
        <v>120</v>
      </c>
      <c r="C73" s="301">
        <v>1886503</v>
      </c>
      <c r="D73" s="301">
        <v>112643</v>
      </c>
      <c r="E73" s="301">
        <v>203164.27696665018</v>
      </c>
    </row>
    <row r="74" spans="2:5">
      <c r="B74" s="300" t="s">
        <v>155</v>
      </c>
      <c r="C74" s="301">
        <v>1594730.6738931057</v>
      </c>
      <c r="D74" s="301">
        <v>9637.1057793652471</v>
      </c>
      <c r="E74" s="301">
        <v>225588.52340744235</v>
      </c>
    </row>
    <row r="92" spans="18:18">
      <c r="R92" s="1"/>
    </row>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autoPageBreaks="0"/>
  </sheetPr>
  <dimension ref="A4:H50"/>
  <sheetViews>
    <sheetView zoomScale="70" zoomScaleNormal="70" workbookViewId="0"/>
  </sheetViews>
  <sheetFormatPr defaultRowHeight="12.45"/>
  <cols>
    <col min="2" max="2" width="21.86328125" customWidth="1"/>
    <col min="4" max="4" width="10.73046875" customWidth="1"/>
  </cols>
  <sheetData>
    <row r="4" spans="2:8">
      <c r="B4" s="33" t="s">
        <v>190</v>
      </c>
    </row>
    <row r="5" spans="2:8" ht="13.5" customHeight="1" thickBot="1">
      <c r="B5" s="33"/>
    </row>
    <row r="6" spans="2:8">
      <c r="B6" s="709"/>
      <c r="C6" s="714" t="s">
        <v>80</v>
      </c>
      <c r="D6" s="715"/>
      <c r="E6" s="715"/>
      <c r="F6" s="715"/>
      <c r="G6" s="715"/>
      <c r="H6" s="716"/>
    </row>
    <row r="7" spans="2:8" ht="12.9" thickBot="1">
      <c r="B7" s="710"/>
      <c r="C7" s="711" t="s">
        <v>81</v>
      </c>
      <c r="D7" s="712"/>
      <c r="E7" s="712"/>
      <c r="F7" s="712"/>
      <c r="G7" s="712"/>
      <c r="H7" s="713"/>
    </row>
    <row r="8" spans="2:8" ht="12.45" customHeight="1">
      <c r="B8" s="709" t="s">
        <v>0</v>
      </c>
      <c r="C8" s="719" t="s">
        <v>72</v>
      </c>
      <c r="D8" s="719" t="s">
        <v>73</v>
      </c>
      <c r="E8" s="719" t="s">
        <v>74</v>
      </c>
      <c r="F8" s="42"/>
      <c r="G8" s="42"/>
      <c r="H8" s="42"/>
    </row>
    <row r="9" spans="2:8" ht="12.9" thickBot="1">
      <c r="B9" s="710"/>
      <c r="C9" s="720"/>
      <c r="D9" s="720"/>
      <c r="E9" s="720"/>
      <c r="F9" s="43" t="s">
        <v>75</v>
      </c>
      <c r="G9" s="84" t="s">
        <v>129</v>
      </c>
      <c r="H9" s="84" t="s">
        <v>157</v>
      </c>
    </row>
    <row r="10" spans="2:8" ht="12.9" thickBot="1">
      <c r="B10" s="87" t="s">
        <v>50</v>
      </c>
      <c r="C10" s="85">
        <v>6.1</v>
      </c>
      <c r="D10" s="85">
        <v>9.1</v>
      </c>
      <c r="E10" s="85">
        <v>8.8000000000000007</v>
      </c>
      <c r="F10" s="86">
        <v>6.1</v>
      </c>
      <c r="G10" s="86">
        <v>5.6</v>
      </c>
      <c r="H10" s="303">
        <v>7.4</v>
      </c>
    </row>
    <row r="11" spans="2:8" ht="12.9" thickBot="1">
      <c r="B11" s="87" t="s">
        <v>1</v>
      </c>
      <c r="C11" s="85">
        <v>0.6</v>
      </c>
      <c r="D11" s="85">
        <v>0.7</v>
      </c>
      <c r="E11" s="85">
        <v>0.8</v>
      </c>
      <c r="F11" s="86">
        <v>1.1000000000000001</v>
      </c>
      <c r="G11" s="86">
        <v>1.2</v>
      </c>
      <c r="H11" s="304">
        <v>1.1659999999999999</v>
      </c>
    </row>
    <row r="12" spans="2:8" ht="12.9" thickBot="1">
      <c r="B12" s="87" t="s">
        <v>51</v>
      </c>
      <c r="C12" s="85">
        <v>1.2</v>
      </c>
      <c r="D12" s="85">
        <v>1.3</v>
      </c>
      <c r="E12" s="85">
        <v>1.1000000000000001</v>
      </c>
      <c r="F12" s="86">
        <v>1.2</v>
      </c>
      <c r="G12" s="86">
        <v>0.7</v>
      </c>
      <c r="H12" s="303">
        <v>0.75</v>
      </c>
    </row>
    <row r="13" spans="2:8" ht="13.5" customHeight="1"/>
    <row r="16" spans="2:8" ht="12.75" customHeight="1">
      <c r="B16" s="1" t="s">
        <v>158</v>
      </c>
      <c r="C16" s="89"/>
      <c r="D16" s="89"/>
      <c r="E16" s="89"/>
    </row>
    <row r="17" spans="1:7">
      <c r="A17" s="88"/>
      <c r="B17" s="94"/>
      <c r="C17" s="89"/>
      <c r="D17" s="89"/>
      <c r="E17" s="89"/>
    </row>
    <row r="18" spans="1:7">
      <c r="A18" s="88"/>
      <c r="B18" s="95" t="s">
        <v>159</v>
      </c>
    </row>
    <row r="19" spans="1:7">
      <c r="A19" s="88"/>
      <c r="B19" s="717" t="s">
        <v>160</v>
      </c>
      <c r="C19" s="718"/>
      <c r="D19" s="718"/>
      <c r="E19" s="718"/>
      <c r="F19" s="718"/>
      <c r="G19" s="718"/>
    </row>
    <row r="20" spans="1:7">
      <c r="B20" s="108"/>
      <c r="C20" s="108"/>
      <c r="D20" s="108"/>
      <c r="E20" s="108"/>
    </row>
    <row r="21" spans="1:7">
      <c r="B21" s="34" t="s">
        <v>393</v>
      </c>
    </row>
    <row r="23" spans="1:7" ht="12.75" customHeight="1"/>
    <row r="25" spans="1:7" ht="13.5" customHeight="1"/>
    <row r="26" spans="1:7" ht="12.75" customHeight="1"/>
    <row r="32" spans="1:7" ht="15" customHeight="1"/>
    <row r="36" ht="55.5" customHeight="1"/>
    <row r="43" ht="13.5" customHeight="1"/>
    <row r="50" ht="13.5" customHeight="1"/>
  </sheetData>
  <mergeCells count="8">
    <mergeCell ref="B6:B7"/>
    <mergeCell ref="C7:H7"/>
    <mergeCell ref="C6:H6"/>
    <mergeCell ref="B19:G19"/>
    <mergeCell ref="B8:B9"/>
    <mergeCell ref="C8:C9"/>
    <mergeCell ref="D8:D9"/>
    <mergeCell ref="E8:E9"/>
  </mergeCells>
  <hyperlinks>
    <hyperlink ref="B19" r:id="rId1"/>
    <hyperlink ref="B21" r:id="rId2"/>
  </hyperlinks>
  <pageMargins left="0.7" right="0.7" top="0.75" bottom="0.75" header="0.3" footer="0.3"/>
  <pageSetup orientation="portrait" r:id="rId3"/>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autoPageBreaks="0"/>
  </sheetPr>
  <dimension ref="B1:T53"/>
  <sheetViews>
    <sheetView topLeftCell="B1" zoomScale="70" zoomScaleNormal="70" workbookViewId="0">
      <selection activeCell="C3" sqref="C3"/>
    </sheetView>
  </sheetViews>
  <sheetFormatPr defaultRowHeight="12.45"/>
  <cols>
    <col min="3" max="3" width="23.73046875" customWidth="1"/>
    <col min="4" max="4" width="21.265625" customWidth="1"/>
    <col min="5" max="5" width="11" customWidth="1"/>
    <col min="12" max="12" width="34.3984375" customWidth="1"/>
  </cols>
  <sheetData>
    <row r="1" spans="2:20">
      <c r="B1" s="62"/>
      <c r="C1" s="62"/>
      <c r="E1" s="62"/>
      <c r="F1" s="62"/>
      <c r="G1" s="62"/>
      <c r="H1" s="62"/>
      <c r="I1" s="62"/>
      <c r="J1" s="62"/>
      <c r="K1" s="62"/>
      <c r="L1" s="62"/>
      <c r="M1" s="62"/>
      <c r="N1" s="62"/>
      <c r="O1" s="62"/>
      <c r="P1" s="62"/>
      <c r="Q1" s="62"/>
      <c r="R1" s="62"/>
      <c r="S1" s="62"/>
      <c r="T1" s="62"/>
    </row>
    <row r="2" spans="2:20">
      <c r="B2" s="62"/>
      <c r="C2" s="62"/>
      <c r="D2" s="62"/>
      <c r="E2" s="62"/>
      <c r="F2" s="62"/>
      <c r="G2" s="62"/>
      <c r="H2" s="62"/>
      <c r="I2" s="62"/>
      <c r="J2" s="62"/>
      <c r="K2" s="62"/>
      <c r="L2" s="62"/>
      <c r="M2" s="62"/>
      <c r="N2" s="62"/>
      <c r="O2" s="62"/>
      <c r="P2" s="62"/>
      <c r="Q2" s="62"/>
      <c r="R2" s="62"/>
      <c r="S2" s="62"/>
      <c r="T2" s="62"/>
    </row>
    <row r="3" spans="2:20" ht="14.6">
      <c r="B3" s="62"/>
      <c r="C3" s="54"/>
      <c r="D3" s="55"/>
      <c r="E3" s="55"/>
      <c r="F3" s="55"/>
      <c r="G3" s="55"/>
      <c r="H3" s="55"/>
      <c r="I3" s="62"/>
      <c r="J3" s="62"/>
      <c r="K3" s="62"/>
      <c r="L3" s="62"/>
      <c r="M3" s="62"/>
      <c r="N3" s="62"/>
      <c r="O3" s="62"/>
      <c r="P3" s="62"/>
      <c r="Q3" s="62"/>
      <c r="R3" s="62"/>
      <c r="S3" s="62"/>
      <c r="T3" s="62"/>
    </row>
    <row r="4" spans="2:20" ht="14.6">
      <c r="B4" s="62"/>
      <c r="C4" s="58"/>
      <c r="I4" s="62"/>
      <c r="J4" s="62"/>
      <c r="K4" s="62"/>
      <c r="L4" s="62"/>
      <c r="M4" s="62"/>
      <c r="N4" s="62"/>
      <c r="O4" s="62"/>
      <c r="P4" s="62"/>
      <c r="Q4" s="62"/>
      <c r="R4" s="62"/>
      <c r="S4" s="62"/>
      <c r="T4" s="62"/>
    </row>
    <row r="5" spans="2:20">
      <c r="B5" s="62"/>
      <c r="C5" s="62"/>
      <c r="D5" s="62"/>
      <c r="E5" s="62"/>
      <c r="F5" s="62"/>
      <c r="G5" s="62"/>
      <c r="H5" s="62"/>
      <c r="I5" s="62"/>
      <c r="J5" s="62"/>
      <c r="K5" s="62"/>
      <c r="L5" s="62"/>
      <c r="M5" s="62"/>
      <c r="N5" s="62"/>
      <c r="O5" s="62"/>
      <c r="P5" s="62"/>
      <c r="Q5" s="62"/>
      <c r="R5" s="62"/>
      <c r="S5" s="62"/>
      <c r="T5" s="62"/>
    </row>
    <row r="6" spans="2:20">
      <c r="B6" s="62"/>
      <c r="C6" s="62"/>
      <c r="D6" s="32" t="s">
        <v>377</v>
      </c>
      <c r="E6" s="62"/>
      <c r="F6" s="62"/>
      <c r="G6" s="62"/>
      <c r="H6" s="62"/>
      <c r="I6" s="62"/>
      <c r="J6" s="62"/>
      <c r="K6" s="62"/>
      <c r="L6" s="62"/>
      <c r="M6" s="62"/>
      <c r="N6" s="62"/>
      <c r="O6" s="62"/>
      <c r="P6" s="62"/>
      <c r="Q6" s="62"/>
      <c r="R6" s="62"/>
      <c r="S6" s="62"/>
      <c r="T6" s="62"/>
    </row>
    <row r="7" spans="2:20">
      <c r="B7" s="62"/>
      <c r="C7" s="59"/>
      <c r="D7" s="62"/>
      <c r="E7" s="62"/>
      <c r="F7" s="62"/>
      <c r="G7" s="62"/>
      <c r="H7" s="62"/>
      <c r="I7" s="62"/>
      <c r="J7" s="62"/>
      <c r="K7" s="62"/>
      <c r="L7" s="62"/>
      <c r="M7" s="62"/>
      <c r="N7" s="62"/>
      <c r="O7" s="62"/>
      <c r="P7" s="62"/>
      <c r="Q7" s="62"/>
      <c r="R7" s="62"/>
      <c r="S7" s="62"/>
      <c r="T7" s="62"/>
    </row>
    <row r="8" spans="2:20" ht="12.9" thickBot="1">
      <c r="B8" s="62"/>
      <c r="C8" s="59"/>
      <c r="D8" s="422" t="s">
        <v>341</v>
      </c>
      <c r="E8" s="124"/>
      <c r="F8" s="124"/>
      <c r="G8" s="124"/>
      <c r="H8" s="124"/>
      <c r="I8" s="124"/>
      <c r="J8" s="124"/>
      <c r="K8" s="62"/>
      <c r="L8" s="62"/>
      <c r="M8" s="62"/>
      <c r="N8" s="62"/>
      <c r="O8" s="62"/>
      <c r="P8" s="62"/>
      <c r="Q8" s="62"/>
      <c r="R8" s="62"/>
      <c r="S8" s="62"/>
      <c r="T8" s="62"/>
    </row>
    <row r="9" spans="2:20" ht="12.9" thickBot="1">
      <c r="B9" s="62"/>
      <c r="C9" s="53"/>
      <c r="D9" s="721" t="s">
        <v>342</v>
      </c>
      <c r="E9" s="722"/>
      <c r="F9" s="423">
        <v>42095</v>
      </c>
      <c r="G9" s="424">
        <v>42461</v>
      </c>
      <c r="H9" s="424">
        <v>42826</v>
      </c>
      <c r="I9" s="424">
        <v>43191</v>
      </c>
      <c r="J9" s="425">
        <v>43556</v>
      </c>
      <c r="K9" s="62"/>
      <c r="L9" s="62"/>
      <c r="M9" s="62"/>
      <c r="N9" s="62"/>
      <c r="O9" s="62"/>
      <c r="P9" s="62"/>
      <c r="Q9" s="62"/>
      <c r="R9" s="62"/>
      <c r="S9" s="62"/>
      <c r="T9" s="62"/>
    </row>
    <row r="10" spans="2:20">
      <c r="B10" s="62"/>
      <c r="C10" s="62"/>
      <c r="D10" s="723" t="s">
        <v>343</v>
      </c>
      <c r="E10" s="724"/>
      <c r="F10" s="426">
        <f>'[2]Customer Bills Tables Nom'!F10*'[2]Customer Bills Tables Real'!F$4</f>
        <v>87.739571428571438</v>
      </c>
      <c r="G10" s="427">
        <f>'[2]Customer Bills Tables Nom'!G10*'[2]Customer Bills Tables Real'!G$4</f>
        <v>89.867112049569059</v>
      </c>
      <c r="H10" s="427">
        <f>'[2]Customer Bills Tables Nom'!H10*'[2]Customer Bills Tables Real'!H$4</f>
        <v>0</v>
      </c>
      <c r="I10" s="427">
        <f>'[2]Customer Bills Tables Nom'!I10*'[2]Customer Bills Tables Real'!I$4</f>
        <v>0</v>
      </c>
      <c r="J10" s="427">
        <f>'[2]Customer Bills Tables Nom'!J10*'[2]Customer Bills Tables Real'!J$4</f>
        <v>0</v>
      </c>
      <c r="K10" s="62"/>
      <c r="L10" s="62"/>
      <c r="M10" s="62"/>
      <c r="N10" s="62"/>
      <c r="O10" s="62"/>
      <c r="P10" s="62"/>
      <c r="Q10" s="62"/>
      <c r="R10" s="62"/>
      <c r="S10" s="62"/>
      <c r="T10" s="62"/>
    </row>
    <row r="11" spans="2:20">
      <c r="B11" s="62"/>
      <c r="C11" s="62"/>
      <c r="D11" s="428" t="s">
        <v>344</v>
      </c>
      <c r="E11" s="429" t="s">
        <v>345</v>
      </c>
      <c r="F11" s="430"/>
      <c r="G11" s="430"/>
      <c r="H11" s="430"/>
      <c r="I11" s="430"/>
      <c r="J11" s="431"/>
      <c r="K11" s="62"/>
      <c r="L11" s="62"/>
      <c r="M11" s="62"/>
      <c r="N11" s="62"/>
      <c r="O11" s="62"/>
      <c r="P11" s="62"/>
      <c r="Q11" s="62"/>
      <c r="R11" s="62"/>
      <c r="S11" s="62"/>
      <c r="T11" s="62"/>
    </row>
    <row r="12" spans="2:20">
      <c r="B12" s="62"/>
      <c r="C12" s="62"/>
      <c r="D12" s="432" t="s">
        <v>346</v>
      </c>
      <c r="E12" s="433" t="s">
        <v>347</v>
      </c>
      <c r="F12" s="445">
        <v>32.082541172646181</v>
      </c>
      <c r="G12" s="445">
        <v>36.649351209650078</v>
      </c>
      <c r="H12" s="445">
        <v>36.508420788072371</v>
      </c>
      <c r="I12" s="445">
        <v>35.621070019381101</v>
      </c>
      <c r="J12" s="443">
        <v>36.40465672603505</v>
      </c>
      <c r="K12" s="62"/>
      <c r="L12" s="62"/>
      <c r="M12" s="62"/>
      <c r="N12" s="62"/>
      <c r="O12" s="62"/>
      <c r="P12" s="62"/>
      <c r="Q12" s="62"/>
      <c r="R12" s="62"/>
      <c r="S12" s="62"/>
      <c r="T12" s="62"/>
    </row>
    <row r="13" spans="2:20">
      <c r="B13" s="62"/>
      <c r="C13" s="62"/>
      <c r="D13" s="432" t="s">
        <v>348</v>
      </c>
      <c r="E13" s="433" t="s">
        <v>349</v>
      </c>
      <c r="F13" s="445">
        <v>28.075167613326453</v>
      </c>
      <c r="G13" s="445">
        <v>43.413559383857027</v>
      </c>
      <c r="H13" s="445">
        <v>36.760969772745547</v>
      </c>
      <c r="I13" s="445">
        <v>29.835481215480605</v>
      </c>
      <c r="J13" s="443">
        <v>29.979642952396809</v>
      </c>
      <c r="K13" s="62"/>
      <c r="L13" s="62"/>
      <c r="M13" s="62"/>
      <c r="N13" s="62"/>
      <c r="O13" s="62"/>
      <c r="P13" s="62"/>
      <c r="Q13" s="62"/>
      <c r="R13" s="62"/>
      <c r="S13" s="62"/>
      <c r="T13" s="62"/>
    </row>
    <row r="14" spans="2:20">
      <c r="B14" s="62"/>
      <c r="C14" s="62"/>
      <c r="D14" s="432" t="s">
        <v>350</v>
      </c>
      <c r="E14" s="433" t="s">
        <v>351</v>
      </c>
      <c r="F14" s="445">
        <v>34.493016751747241</v>
      </c>
      <c r="G14" s="445">
        <v>42.61059166345445</v>
      </c>
      <c r="H14" s="445">
        <v>37.531234195427182</v>
      </c>
      <c r="I14" s="445">
        <v>34.884672755312437</v>
      </c>
      <c r="J14" s="443">
        <v>35.742789627065747</v>
      </c>
      <c r="K14" s="62"/>
      <c r="L14" s="62"/>
      <c r="M14" s="62"/>
      <c r="N14" s="62"/>
      <c r="O14" s="62"/>
      <c r="P14" s="62"/>
      <c r="Q14" s="62"/>
      <c r="R14" s="62"/>
      <c r="S14" s="62"/>
      <c r="T14" s="62"/>
    </row>
    <row r="15" spans="2:20">
      <c r="B15" s="62"/>
      <c r="C15" s="62"/>
      <c r="D15" s="432" t="s">
        <v>352</v>
      </c>
      <c r="E15" s="433" t="s">
        <v>353</v>
      </c>
      <c r="F15" s="445">
        <v>35.640632417190119</v>
      </c>
      <c r="G15" s="445">
        <v>40.405641872861445</v>
      </c>
      <c r="H15" s="445">
        <v>39.389561066391543</v>
      </c>
      <c r="I15" s="445">
        <v>39.946116948857949</v>
      </c>
      <c r="J15" s="443">
        <v>40.125194745677049</v>
      </c>
      <c r="K15" s="62"/>
      <c r="L15" s="62"/>
      <c r="M15" s="62"/>
      <c r="N15" s="62"/>
      <c r="O15" s="62"/>
      <c r="P15" s="62"/>
      <c r="Q15" s="62"/>
      <c r="R15" s="62"/>
      <c r="S15" s="62"/>
      <c r="T15" s="62"/>
    </row>
    <row r="16" spans="2:20">
      <c r="B16" s="62"/>
      <c r="C16" s="62"/>
      <c r="D16" s="432" t="s">
        <v>354</v>
      </c>
      <c r="E16" s="433" t="s">
        <v>355</v>
      </c>
      <c r="F16" s="445">
        <v>33.890818899974086</v>
      </c>
      <c r="G16" s="445">
        <v>40.407607626995976</v>
      </c>
      <c r="H16" s="445">
        <v>38.177095241730626</v>
      </c>
      <c r="I16" s="445">
        <v>37.61600382295174</v>
      </c>
      <c r="J16" s="443">
        <v>38.62167643672587</v>
      </c>
      <c r="K16" s="62"/>
      <c r="L16" s="62"/>
      <c r="M16" s="62"/>
      <c r="N16" s="62"/>
      <c r="O16" s="62"/>
      <c r="P16" s="62"/>
      <c r="Q16" s="62"/>
      <c r="R16" s="62"/>
      <c r="S16" s="62"/>
      <c r="T16" s="62"/>
    </row>
    <row r="17" spans="2:20">
      <c r="B17" s="62"/>
      <c r="C17" s="62"/>
      <c r="D17" s="432" t="s">
        <v>356</v>
      </c>
      <c r="E17" s="433" t="s">
        <v>357</v>
      </c>
      <c r="F17" s="445">
        <v>34.085910040581069</v>
      </c>
      <c r="G17" s="445">
        <v>40.734654611127667</v>
      </c>
      <c r="H17" s="445">
        <v>35.416231063983815</v>
      </c>
      <c r="I17" s="445">
        <v>32.869395206054492</v>
      </c>
      <c r="J17" s="443">
        <v>33.697150254477783</v>
      </c>
      <c r="K17" s="62"/>
      <c r="L17" s="62"/>
      <c r="M17" s="62"/>
      <c r="N17" s="62"/>
      <c r="O17" s="62"/>
      <c r="P17" s="62"/>
      <c r="Q17" s="62"/>
      <c r="R17" s="62"/>
      <c r="S17" s="62"/>
      <c r="T17" s="62"/>
    </row>
    <row r="18" spans="2:20">
      <c r="B18" s="62"/>
      <c r="C18" s="62"/>
      <c r="D18" s="432" t="s">
        <v>358</v>
      </c>
      <c r="E18" s="433" t="s">
        <v>359</v>
      </c>
      <c r="F18" s="445">
        <v>37.063464870358786</v>
      </c>
      <c r="G18" s="445">
        <v>42.975573302720193</v>
      </c>
      <c r="H18" s="445">
        <v>44.960462558323378</v>
      </c>
      <c r="I18" s="445">
        <v>44.184252892169482</v>
      </c>
      <c r="J18" s="443">
        <v>44.236410157941833</v>
      </c>
      <c r="K18" s="62"/>
      <c r="L18" s="62"/>
      <c r="M18" s="62"/>
      <c r="N18" s="62"/>
      <c r="O18" s="62"/>
      <c r="P18" s="62"/>
      <c r="Q18" s="62"/>
      <c r="R18" s="62"/>
      <c r="S18" s="62"/>
      <c r="T18" s="62"/>
    </row>
    <row r="19" spans="2:20">
      <c r="B19" s="62"/>
      <c r="C19" s="62"/>
      <c r="D19" s="432" t="s">
        <v>360</v>
      </c>
      <c r="E19" s="433" t="s">
        <v>361</v>
      </c>
      <c r="F19" s="445">
        <v>39.404336907470686</v>
      </c>
      <c r="G19" s="445">
        <v>41.767022543350677</v>
      </c>
      <c r="H19" s="445">
        <v>33.946439753316902</v>
      </c>
      <c r="I19" s="445">
        <v>36.735359905224662</v>
      </c>
      <c r="J19" s="443">
        <v>36.702045731294945</v>
      </c>
      <c r="K19" s="62"/>
      <c r="L19" s="62"/>
      <c r="M19" s="62"/>
      <c r="N19" s="62"/>
      <c r="O19" s="62"/>
      <c r="P19" s="62"/>
      <c r="Q19" s="62"/>
      <c r="R19" s="62"/>
      <c r="S19" s="62"/>
      <c r="T19" s="62"/>
    </row>
    <row r="20" spans="2:20">
      <c r="B20" s="62"/>
      <c r="C20" s="62"/>
      <c r="D20" s="432" t="s">
        <v>362</v>
      </c>
      <c r="E20" s="433" t="s">
        <v>363</v>
      </c>
      <c r="F20" s="445">
        <v>38.052193387597505</v>
      </c>
      <c r="G20" s="445">
        <v>42.670964127865794</v>
      </c>
      <c r="H20" s="445">
        <v>46.217365395185332</v>
      </c>
      <c r="I20" s="445">
        <v>46.042825082868795</v>
      </c>
      <c r="J20" s="443">
        <v>46.103125755664834</v>
      </c>
      <c r="K20" s="62"/>
      <c r="L20" s="62"/>
      <c r="M20" s="62"/>
      <c r="N20" s="62"/>
      <c r="O20" s="62"/>
      <c r="P20" s="62"/>
      <c r="Q20" s="62"/>
      <c r="R20" s="62"/>
      <c r="S20" s="62"/>
      <c r="T20" s="62"/>
    </row>
    <row r="21" spans="2:20">
      <c r="B21" s="62"/>
      <c r="C21" s="62"/>
      <c r="D21" s="432" t="s">
        <v>364</v>
      </c>
      <c r="E21" s="433" t="s">
        <v>365</v>
      </c>
      <c r="F21" s="445">
        <v>36.81793772255115</v>
      </c>
      <c r="G21" s="445">
        <v>41.335287223580075</v>
      </c>
      <c r="H21" s="445">
        <v>44.500389710932502</v>
      </c>
      <c r="I21" s="445">
        <v>43.070119582123937</v>
      </c>
      <c r="J21" s="443">
        <v>44.013595830479254</v>
      </c>
      <c r="K21" s="62"/>
      <c r="L21" s="62"/>
      <c r="M21" s="62"/>
      <c r="N21" s="62"/>
      <c r="O21" s="62"/>
      <c r="P21" s="62"/>
      <c r="Q21" s="62"/>
      <c r="R21" s="62"/>
      <c r="S21" s="62"/>
      <c r="T21" s="62"/>
    </row>
    <row r="22" spans="2:20">
      <c r="B22" s="62"/>
      <c r="C22" s="62"/>
      <c r="D22" s="432" t="s">
        <v>366</v>
      </c>
      <c r="E22" s="433" t="s">
        <v>367</v>
      </c>
      <c r="F22" s="445">
        <v>23.528498883500664</v>
      </c>
      <c r="G22" s="445">
        <v>40.164960373245599</v>
      </c>
      <c r="H22" s="445">
        <v>26.589081689110891</v>
      </c>
      <c r="I22" s="445">
        <v>23.9520796202649</v>
      </c>
      <c r="J22" s="443">
        <v>23.837700171784537</v>
      </c>
      <c r="K22" s="62"/>
      <c r="L22" s="62"/>
      <c r="M22" s="62"/>
      <c r="N22" s="62"/>
      <c r="O22" s="62"/>
      <c r="P22" s="62"/>
      <c r="Q22" s="62"/>
      <c r="R22" s="62"/>
      <c r="S22" s="62"/>
      <c r="T22" s="62"/>
    </row>
    <row r="23" spans="2:20">
      <c r="B23" s="62"/>
      <c r="C23" s="62"/>
      <c r="D23" s="432" t="s">
        <v>368</v>
      </c>
      <c r="E23" s="433" t="s">
        <v>369</v>
      </c>
      <c r="F23" s="445">
        <v>37.808975782460621</v>
      </c>
      <c r="G23" s="445">
        <v>42.230032943373857</v>
      </c>
      <c r="H23" s="445">
        <v>41.510280781532508</v>
      </c>
      <c r="I23" s="445">
        <v>36.435848244125957</v>
      </c>
      <c r="J23" s="443">
        <v>37.156629066087433</v>
      </c>
      <c r="K23" s="62"/>
      <c r="L23" s="62"/>
      <c r="M23" s="62"/>
      <c r="N23" s="62"/>
      <c r="O23" s="62"/>
      <c r="P23" s="62"/>
      <c r="Q23" s="62"/>
      <c r="R23" s="62"/>
      <c r="S23" s="62"/>
      <c r="T23" s="62"/>
    </row>
    <row r="24" spans="2:20">
      <c r="B24" s="62"/>
      <c r="C24" s="62"/>
      <c r="D24" s="432" t="s">
        <v>370</v>
      </c>
      <c r="E24" s="433" t="s">
        <v>371</v>
      </c>
      <c r="F24" s="445">
        <v>22.272474558202816</v>
      </c>
      <c r="G24" s="445">
        <v>37.115753185856633</v>
      </c>
      <c r="H24" s="445">
        <v>38.554812284649891</v>
      </c>
      <c r="I24" s="445">
        <v>21.18190249205805</v>
      </c>
      <c r="J24" s="443">
        <v>16.460667663719871</v>
      </c>
      <c r="K24" s="62"/>
      <c r="L24" s="441" t="s">
        <v>379</v>
      </c>
      <c r="M24" s="62"/>
      <c r="N24" s="62"/>
      <c r="O24" s="62"/>
      <c r="P24" s="62"/>
      <c r="Q24" s="62"/>
      <c r="R24" s="62"/>
      <c r="S24" s="62"/>
      <c r="T24" s="62"/>
    </row>
    <row r="25" spans="2:20" ht="12.9" thickBot="1">
      <c r="B25" s="62"/>
      <c r="C25" s="62"/>
      <c r="D25" s="434" t="s">
        <v>372</v>
      </c>
      <c r="E25" s="435" t="s">
        <v>373</v>
      </c>
      <c r="F25" s="446">
        <v>39.326997044060271</v>
      </c>
      <c r="G25" s="446">
        <v>41.013612609324838</v>
      </c>
      <c r="H25" s="446">
        <v>42.96296642344749</v>
      </c>
      <c r="I25" s="446">
        <v>43.311991743725386</v>
      </c>
      <c r="J25" s="444">
        <v>43.637103424666293</v>
      </c>
      <c r="K25" s="62"/>
      <c r="L25" s="442">
        <f>AVERAGE(J12:J25)</f>
        <v>36.194170610286946</v>
      </c>
      <c r="M25" s="62"/>
      <c r="N25" s="62"/>
      <c r="O25" s="62"/>
      <c r="P25" s="62"/>
      <c r="Q25" s="62"/>
      <c r="R25" s="62"/>
      <c r="S25" s="62"/>
      <c r="T25" s="62"/>
    </row>
    <row r="26" spans="2:20">
      <c r="B26" s="62"/>
      <c r="C26" s="62"/>
      <c r="I26" s="62"/>
      <c r="J26" s="62"/>
      <c r="K26" s="62"/>
      <c r="L26" s="62"/>
      <c r="M26" s="62"/>
      <c r="N26" s="62"/>
      <c r="O26" s="62"/>
      <c r="P26" s="62"/>
      <c r="Q26" s="62"/>
      <c r="R26" s="62"/>
      <c r="S26" s="62"/>
      <c r="T26" s="62"/>
    </row>
    <row r="27" spans="2:20">
      <c r="B27" s="62"/>
      <c r="C27" s="62"/>
      <c r="I27" s="62"/>
      <c r="J27" s="62"/>
      <c r="K27" s="62"/>
      <c r="L27" s="62"/>
      <c r="M27" s="62"/>
      <c r="N27" s="62"/>
      <c r="O27" s="62"/>
      <c r="P27" s="62"/>
      <c r="Q27" s="62"/>
      <c r="R27" s="62"/>
      <c r="S27" s="62"/>
      <c r="T27" s="62"/>
    </row>
    <row r="28" spans="2:20">
      <c r="B28" s="62"/>
      <c r="C28" s="62"/>
      <c r="D28" s="32" t="s">
        <v>378</v>
      </c>
      <c r="E28" s="156"/>
      <c r="F28" s="156"/>
      <c r="G28" s="156"/>
      <c r="H28" s="156"/>
      <c r="I28" s="156"/>
      <c r="J28" s="62"/>
      <c r="K28" s="62"/>
      <c r="L28" s="62"/>
      <c r="M28" s="62"/>
      <c r="N28" s="62"/>
      <c r="O28" s="62"/>
      <c r="P28" s="62"/>
      <c r="Q28" s="62"/>
      <c r="R28" s="62"/>
      <c r="S28" s="62"/>
      <c r="T28" s="62"/>
    </row>
    <row r="29" spans="2:20">
      <c r="B29" s="62"/>
      <c r="C29" s="62"/>
      <c r="D29" s="436"/>
      <c r="F29" s="437" t="s">
        <v>118</v>
      </c>
      <c r="G29" s="437" t="s">
        <v>119</v>
      </c>
      <c r="H29" s="437" t="s">
        <v>120</v>
      </c>
      <c r="I29" s="437" t="s">
        <v>155</v>
      </c>
      <c r="J29" s="437" t="s">
        <v>374</v>
      </c>
      <c r="K29" s="62"/>
      <c r="L29" s="62"/>
      <c r="M29" s="62"/>
      <c r="N29" s="62"/>
      <c r="O29" s="62"/>
      <c r="P29" s="62"/>
      <c r="Q29" s="62"/>
      <c r="R29" s="62"/>
      <c r="S29" s="62"/>
      <c r="T29" s="62"/>
    </row>
    <row r="30" spans="2:20">
      <c r="B30" s="62"/>
      <c r="C30" s="62"/>
      <c r="D30" s="2" t="str">
        <f>'[3]2b DUoS'!$F48</f>
        <v>South Wales</v>
      </c>
      <c r="F30" s="49">
        <v>33.715207608590696</v>
      </c>
      <c r="G30" s="49">
        <v>38.662940799239458</v>
      </c>
      <c r="H30" s="49">
        <v>43.180966067506155</v>
      </c>
      <c r="I30" s="49">
        <v>43.070119582123937</v>
      </c>
      <c r="J30" s="49">
        <v>45.411027498096971</v>
      </c>
      <c r="K30" s="62"/>
      <c r="L30" s="62"/>
      <c r="M30" s="62"/>
      <c r="N30" s="62"/>
      <c r="O30" s="62"/>
      <c r="P30" s="62"/>
      <c r="Q30" s="62"/>
      <c r="R30" s="62"/>
      <c r="S30" s="62"/>
      <c r="T30" s="62"/>
    </row>
    <row r="31" spans="2:20">
      <c r="B31" s="62"/>
      <c r="C31" s="62"/>
      <c r="D31" s="2" t="str">
        <f>'[3]2b DUoS'!$F49</f>
        <v>Southern Western</v>
      </c>
      <c r="F31" s="49">
        <v>31.034763648315533</v>
      </c>
      <c r="G31" s="49">
        <v>37.795236139794568</v>
      </c>
      <c r="H31" s="49">
        <v>37.045155444652764</v>
      </c>
      <c r="I31" s="49">
        <v>37.61600382295174</v>
      </c>
      <c r="J31" s="49">
        <v>39.847914663591915</v>
      </c>
      <c r="K31" s="62"/>
      <c r="L31" s="62"/>
      <c r="M31" s="62"/>
      <c r="N31" s="62"/>
      <c r="O31" s="62"/>
      <c r="P31" s="62"/>
      <c r="Q31" s="62"/>
      <c r="R31" s="62"/>
      <c r="S31" s="62"/>
      <c r="T31" s="62"/>
    </row>
    <row r="32" spans="2:20">
      <c r="B32" s="62"/>
      <c r="C32" s="62"/>
      <c r="D32" s="2" t="str">
        <f>'[3]2b DUoS'!$F50</f>
        <v>Yorkshire</v>
      </c>
      <c r="F32" s="49">
        <v>36.083645138562424</v>
      </c>
      <c r="G32" s="49">
        <v>39.066764220592376</v>
      </c>
      <c r="H32" s="49">
        <v>32.939937663972934</v>
      </c>
      <c r="I32" s="49">
        <v>36.735359905224662</v>
      </c>
      <c r="J32" s="49">
        <v>37.867335683263562</v>
      </c>
      <c r="K32" s="62"/>
      <c r="L32" s="62"/>
      <c r="M32" s="62"/>
      <c r="N32" s="62"/>
      <c r="O32" s="62"/>
      <c r="P32" s="62"/>
      <c r="Q32" s="62"/>
      <c r="R32" s="62"/>
      <c r="S32" s="62"/>
      <c r="T32" s="62"/>
    </row>
    <row r="33" spans="2:20">
      <c r="B33" s="62"/>
      <c r="C33" s="62"/>
      <c r="D33" s="2" t="str">
        <f>'[3]2b DUoS'!$F51</f>
        <v>Southern Scotland</v>
      </c>
      <c r="F33" s="49">
        <v>34.622728670461498</v>
      </c>
      <c r="G33" s="49">
        <v>39.499840773047453</v>
      </c>
      <c r="H33" s="49">
        <v>40.279513000301932</v>
      </c>
      <c r="I33" s="49">
        <v>36.435848244125957</v>
      </c>
      <c r="J33" s="49">
        <v>38.336352038935708</v>
      </c>
      <c r="K33" s="62"/>
      <c r="L33" s="62"/>
      <c r="M33" s="62"/>
      <c r="N33" s="62"/>
      <c r="O33" s="62"/>
      <c r="P33" s="62"/>
      <c r="Q33" s="62"/>
      <c r="R33" s="62"/>
      <c r="S33" s="62"/>
      <c r="T33" s="62"/>
    </row>
    <row r="34" spans="2:20">
      <c r="B34" s="62"/>
      <c r="C34" s="62"/>
      <c r="D34" s="2" t="str">
        <f>'[3]2b DUoS'!$F52</f>
        <v>Northern Scotland</v>
      </c>
      <c r="F34" s="49">
        <v>32.637116459432434</v>
      </c>
      <c r="G34" s="49">
        <v>37.793397472620967</v>
      </c>
      <c r="H34" s="49">
        <v>38.221672009401672</v>
      </c>
      <c r="I34" s="49">
        <v>39.946116948857949</v>
      </c>
      <c r="J34" s="49">
        <v>41.399169678852296</v>
      </c>
      <c r="K34" s="62"/>
      <c r="L34" s="62"/>
      <c r="M34" s="62"/>
      <c r="N34" s="62"/>
      <c r="O34" s="62"/>
      <c r="P34" s="62"/>
      <c r="Q34" s="62"/>
      <c r="R34" s="62"/>
      <c r="S34" s="62"/>
      <c r="T34" s="62"/>
    </row>
    <row r="35" spans="2:20">
      <c r="B35" s="62"/>
      <c r="C35" s="62"/>
      <c r="D35" s="2" t="str">
        <f>'[3]2b DUoS'!$F53</f>
        <v>Eastern</v>
      </c>
      <c r="F35" s="49">
        <v>25.709210327375583</v>
      </c>
      <c r="G35" s="49">
        <v>40.606851653490345</v>
      </c>
      <c r="H35" s="49">
        <v>35.671017684943365</v>
      </c>
      <c r="I35" s="49">
        <v>29.835481215480605</v>
      </c>
      <c r="J35" s="49">
        <v>30.931496616135405</v>
      </c>
      <c r="K35" s="62"/>
      <c r="L35" s="62"/>
      <c r="M35" s="62"/>
      <c r="N35" s="62"/>
      <c r="O35" s="62"/>
      <c r="P35" s="62"/>
      <c r="Q35" s="62"/>
      <c r="R35" s="62"/>
      <c r="S35" s="62"/>
      <c r="T35" s="62"/>
    </row>
    <row r="36" spans="2:20">
      <c r="B36" s="62"/>
      <c r="C36" s="62"/>
      <c r="D36" s="2" t="str">
        <f>'[3]2b DUoS'!$F54</f>
        <v>East Midlands</v>
      </c>
      <c r="F36" s="49">
        <v>29.378873537080196</v>
      </c>
      <c r="G36" s="49">
        <v>34.279952827832588</v>
      </c>
      <c r="H36" s="49">
        <v>35.425956704390281</v>
      </c>
      <c r="I36" s="49">
        <v>35.621070019381101</v>
      </c>
      <c r="J36" s="49">
        <v>37.560504577086661</v>
      </c>
      <c r="K36" s="62"/>
      <c r="L36" s="62"/>
      <c r="M36" s="62"/>
      <c r="N36" s="62"/>
      <c r="O36" s="62"/>
      <c r="P36" s="62"/>
      <c r="Q36" s="62"/>
      <c r="R36" s="62"/>
      <c r="S36" s="62"/>
      <c r="T36" s="62"/>
    </row>
    <row r="37" spans="2:20">
      <c r="B37" s="62"/>
      <c r="C37" s="53"/>
      <c r="D37" s="2" t="str">
        <f>'[3]2b DUoS'!$F55</f>
        <v>London</v>
      </c>
      <c r="F37" s="49">
        <v>36.012822878745709</v>
      </c>
      <c r="G37" s="49">
        <v>38.362062605257208</v>
      </c>
      <c r="H37" s="49">
        <v>41.689126934421566</v>
      </c>
      <c r="I37" s="49">
        <v>43.311991743725386</v>
      </c>
      <c r="J37" s="49">
        <v>45.022581458399443</v>
      </c>
      <c r="K37" s="62"/>
      <c r="L37" s="62"/>
      <c r="M37" s="62"/>
      <c r="N37" s="62"/>
      <c r="O37" s="62"/>
      <c r="P37" s="62"/>
      <c r="Q37" s="62"/>
      <c r="R37" s="62"/>
      <c r="S37" s="62"/>
      <c r="T37" s="62"/>
    </row>
    <row r="38" spans="2:20" ht="12.9">
      <c r="B38" s="62"/>
      <c r="C38" s="63"/>
      <c r="D38" s="2" t="str">
        <f>'[3]2b DUoS'!$F56</f>
        <v>N Wales and Mersey</v>
      </c>
      <c r="F38" s="49">
        <v>34.84544978300854</v>
      </c>
      <c r="G38" s="49">
        <v>39.912265541994628</v>
      </c>
      <c r="H38" s="49">
        <v>44.847033920890382</v>
      </c>
      <c r="I38" s="49">
        <v>46.042825082868795</v>
      </c>
      <c r="J38" s="49">
        <v>47.566899998407195</v>
      </c>
      <c r="K38" s="62"/>
      <c r="L38" s="62"/>
      <c r="M38" s="62"/>
      <c r="N38" s="62"/>
      <c r="O38" s="62"/>
      <c r="P38" s="62"/>
      <c r="Q38" s="62"/>
      <c r="R38" s="62"/>
      <c r="S38" s="62"/>
      <c r="T38" s="62"/>
    </row>
    <row r="39" spans="2:20" ht="14.6">
      <c r="B39" s="62"/>
      <c r="C39" s="60"/>
      <c r="D39" s="2" t="str">
        <f>'[3]2b DUoS'!$F57</f>
        <v>Midlands</v>
      </c>
      <c r="F39" s="49">
        <v>31.213414021340977</v>
      </c>
      <c r="G39" s="49">
        <v>38.101139377327662</v>
      </c>
      <c r="H39" s="49">
        <v>34.3661500887291</v>
      </c>
      <c r="I39" s="49">
        <v>32.869395206054492</v>
      </c>
      <c r="J39" s="49">
        <v>34.767034775057454</v>
      </c>
      <c r="K39" s="62"/>
      <c r="L39" s="62"/>
      <c r="M39" s="62"/>
      <c r="N39" s="62"/>
      <c r="O39" s="62"/>
      <c r="P39" s="62"/>
      <c r="Q39" s="62"/>
      <c r="R39" s="62"/>
      <c r="S39" s="62"/>
      <c r="T39" s="62"/>
    </row>
    <row r="40" spans="2:20" ht="14.6">
      <c r="B40" s="62"/>
      <c r="C40" s="54"/>
      <c r="D40" s="2" t="str">
        <f>'[3]2b DUoS'!$F58</f>
        <v>Northern</v>
      </c>
      <c r="F40" s="49">
        <v>33.940043633472371</v>
      </c>
      <c r="G40" s="49">
        <v>40.197181585533876</v>
      </c>
      <c r="H40" s="49">
        <v>43.627397888459079</v>
      </c>
      <c r="I40" s="49">
        <v>44.184252892169482</v>
      </c>
      <c r="J40" s="49">
        <v>45.640916180456486</v>
      </c>
      <c r="K40" s="62"/>
      <c r="L40" s="62"/>
      <c r="M40" s="62"/>
      <c r="N40" s="62"/>
      <c r="O40" s="62"/>
      <c r="P40" s="62"/>
      <c r="Q40" s="62"/>
      <c r="R40" s="62"/>
      <c r="S40" s="62"/>
      <c r="T40" s="62"/>
    </row>
    <row r="41" spans="2:20" ht="14.6">
      <c r="B41" s="62"/>
      <c r="C41" s="54"/>
      <c r="D41" s="2" t="str">
        <f>'[3]2b DUoS'!$F59</f>
        <v>North West</v>
      </c>
      <c r="F41" s="49">
        <v>31.586212937707522</v>
      </c>
      <c r="G41" s="49">
        <v>39.85579618677243</v>
      </c>
      <c r="H41" s="49">
        <v>36.418443990979775</v>
      </c>
      <c r="I41" s="49">
        <v>34.884672755312437</v>
      </c>
      <c r="J41" s="49">
        <v>36.877623197725086</v>
      </c>
      <c r="K41" s="62"/>
      <c r="L41" s="62"/>
      <c r="M41" s="62"/>
      <c r="N41" s="62"/>
      <c r="O41" s="62"/>
      <c r="P41" s="62"/>
      <c r="Q41" s="62"/>
      <c r="R41" s="62"/>
      <c r="S41" s="62"/>
      <c r="T41" s="62"/>
    </row>
    <row r="42" spans="2:20" ht="14.6">
      <c r="B42" s="62"/>
      <c r="C42" s="54"/>
      <c r="D42" s="2" t="str">
        <f>'[3]2b DUoS'!$F60</f>
        <v>Southern</v>
      </c>
      <c r="F42" s="49">
        <v>21.545699559642607</v>
      </c>
      <c r="G42" s="49">
        <v>37.568276149021912</v>
      </c>
      <c r="H42" s="49">
        <v>25.800723131680357</v>
      </c>
      <c r="I42" s="49">
        <v>23.9520796202649</v>
      </c>
      <c r="J42" s="49">
        <v>24.594547152238697</v>
      </c>
      <c r="K42" s="62"/>
      <c r="L42" s="441" t="s">
        <v>379</v>
      </c>
      <c r="M42" s="62"/>
      <c r="N42" s="62"/>
      <c r="O42" s="62"/>
      <c r="P42" s="62"/>
      <c r="Q42" s="62"/>
      <c r="R42" s="62"/>
      <c r="S42" s="62"/>
      <c r="T42" s="62"/>
    </row>
    <row r="43" spans="2:20" ht="14.6">
      <c r="B43" s="62"/>
      <c r="C43" s="54"/>
      <c r="D43" s="2" t="str">
        <f>'[3]2b DUoS'!$F61</f>
        <v>South East</v>
      </c>
      <c r="F43" s="49">
        <v>20.395523218752139</v>
      </c>
      <c r="G43" s="49">
        <v>34.716201689421133</v>
      </c>
      <c r="H43" s="49">
        <v>37.411673286841648</v>
      </c>
      <c r="I43" s="49">
        <v>21.18190249205805</v>
      </c>
      <c r="J43" s="49">
        <v>16.983293862042977</v>
      </c>
      <c r="K43" s="62"/>
      <c r="L43" s="442">
        <f>AVERAGE(J30:J43)</f>
        <v>37.343335527163568</v>
      </c>
      <c r="M43" s="62"/>
      <c r="N43" s="62"/>
      <c r="O43" s="62"/>
      <c r="P43" s="62"/>
      <c r="Q43" s="62"/>
      <c r="R43" s="62"/>
      <c r="S43" s="62"/>
      <c r="T43" s="62"/>
    </row>
    <row r="44" spans="2:20" ht="14.6">
      <c r="B44" s="62"/>
      <c r="C44" s="60"/>
      <c r="D44" s="61"/>
      <c r="E44" s="61"/>
      <c r="F44" s="61"/>
      <c r="G44" s="62"/>
      <c r="H44" s="62"/>
      <c r="I44" s="62"/>
      <c r="J44" s="62"/>
      <c r="K44" s="62"/>
      <c r="L44" s="62"/>
      <c r="M44" s="62"/>
      <c r="N44" s="62"/>
      <c r="O44" s="62"/>
      <c r="P44" s="62"/>
      <c r="Q44" s="62"/>
      <c r="R44" s="62"/>
      <c r="S44" s="62"/>
      <c r="T44" s="62"/>
    </row>
    <row r="45" spans="2:20" ht="14.6">
      <c r="B45" s="62"/>
      <c r="C45" s="54"/>
      <c r="D45" s="57"/>
      <c r="E45" s="56"/>
      <c r="F45" s="56"/>
      <c r="G45" s="62"/>
      <c r="H45" s="62"/>
      <c r="I45" s="62"/>
      <c r="J45" s="62"/>
      <c r="K45" s="62"/>
      <c r="L45" s="62"/>
      <c r="M45" s="62"/>
      <c r="N45" s="62"/>
      <c r="O45" s="62"/>
      <c r="P45" s="62"/>
      <c r="Q45" s="62"/>
      <c r="R45" s="62"/>
      <c r="S45" s="62"/>
      <c r="T45" s="62"/>
    </row>
    <row r="46" spans="2:20" ht="14.6">
      <c r="B46" s="62"/>
      <c r="C46" s="54"/>
      <c r="D46" s="56"/>
      <c r="E46" s="56"/>
      <c r="F46" s="56"/>
      <c r="G46" s="62"/>
      <c r="H46" s="62"/>
      <c r="I46" s="62"/>
      <c r="J46" s="62"/>
      <c r="K46" s="62"/>
      <c r="L46" s="62"/>
      <c r="M46" s="62"/>
      <c r="N46" s="62"/>
      <c r="O46" s="62"/>
      <c r="P46" s="62"/>
      <c r="Q46" s="62"/>
      <c r="R46" s="62"/>
      <c r="S46" s="62"/>
      <c r="T46" s="62"/>
    </row>
    <row r="47" spans="2:20" ht="14.6">
      <c r="B47" s="62"/>
      <c r="C47" s="54"/>
      <c r="D47" t="s">
        <v>544</v>
      </c>
      <c r="E47" s="56"/>
      <c r="F47" s="56"/>
      <c r="G47" s="62"/>
      <c r="H47" s="62"/>
      <c r="I47" s="62"/>
      <c r="J47" s="62"/>
      <c r="K47" s="62"/>
      <c r="L47" s="62"/>
      <c r="M47" s="62"/>
      <c r="N47" s="62"/>
      <c r="O47" s="62"/>
      <c r="P47" s="62"/>
      <c r="Q47" s="62"/>
      <c r="R47" s="62"/>
      <c r="S47" s="62"/>
      <c r="T47" s="62"/>
    </row>
    <row r="48" spans="2:20" ht="14.6">
      <c r="B48" s="62"/>
      <c r="C48" s="54"/>
      <c r="D48" s="56"/>
      <c r="E48" s="56"/>
      <c r="F48" s="56"/>
      <c r="G48" s="62"/>
      <c r="H48" s="62"/>
      <c r="I48" s="62"/>
      <c r="J48" s="62"/>
      <c r="K48" s="62"/>
      <c r="L48" s="62"/>
      <c r="M48" s="62"/>
      <c r="N48" s="62"/>
      <c r="O48" s="62"/>
      <c r="P48" s="62"/>
      <c r="Q48" s="62"/>
      <c r="R48" s="62"/>
      <c r="S48" s="62"/>
      <c r="T48" s="62"/>
    </row>
    <row r="49" spans="2:20" ht="14.6">
      <c r="B49" s="62"/>
      <c r="C49" s="54"/>
      <c r="D49" s="56"/>
      <c r="E49" s="56"/>
      <c r="F49" s="56"/>
      <c r="G49" s="62"/>
      <c r="H49" s="62"/>
      <c r="I49" s="62"/>
      <c r="J49" s="62"/>
      <c r="K49" s="62"/>
      <c r="L49" s="62"/>
      <c r="M49" s="62"/>
      <c r="N49" s="62"/>
      <c r="O49" s="62"/>
      <c r="P49" s="62"/>
      <c r="Q49" s="62"/>
      <c r="R49" s="62"/>
      <c r="S49" s="62"/>
      <c r="T49" s="62"/>
    </row>
    <row r="50" spans="2:20" ht="14.6">
      <c r="B50" s="62"/>
      <c r="C50" s="54"/>
      <c r="E50" s="56"/>
      <c r="F50" s="56"/>
      <c r="G50" s="62"/>
      <c r="H50" s="62"/>
      <c r="I50" s="62"/>
      <c r="J50" s="62"/>
      <c r="K50" s="62"/>
      <c r="L50" s="62"/>
      <c r="M50" s="62"/>
      <c r="N50" s="62"/>
      <c r="O50" s="62"/>
      <c r="P50" s="62"/>
      <c r="Q50" s="62"/>
      <c r="R50" s="62"/>
      <c r="S50" s="62"/>
      <c r="T50" s="62"/>
    </row>
    <row r="51" spans="2:20" ht="14.6">
      <c r="B51" s="62"/>
      <c r="C51" s="60"/>
      <c r="D51" s="56"/>
      <c r="E51" s="56"/>
      <c r="F51" s="56"/>
      <c r="G51" s="62"/>
      <c r="H51" s="62"/>
      <c r="I51" s="62"/>
      <c r="J51" s="62"/>
      <c r="K51" s="62"/>
      <c r="L51" s="62"/>
      <c r="M51" s="62"/>
      <c r="N51" s="62"/>
      <c r="O51" s="62"/>
      <c r="P51" s="62"/>
      <c r="Q51" s="62"/>
      <c r="R51" s="62"/>
      <c r="S51" s="62"/>
      <c r="T51" s="62"/>
    </row>
    <row r="52" spans="2:20" ht="14.6">
      <c r="B52" s="62"/>
      <c r="C52" s="54"/>
      <c r="D52" s="56"/>
      <c r="E52" s="56"/>
      <c r="F52" s="56"/>
      <c r="G52" s="62"/>
      <c r="H52" s="62"/>
      <c r="I52" s="62"/>
      <c r="J52" s="62"/>
      <c r="K52" s="62"/>
      <c r="L52" s="62"/>
      <c r="M52" s="62"/>
      <c r="N52" s="62"/>
      <c r="O52" s="62"/>
      <c r="P52" s="62"/>
      <c r="Q52" s="62"/>
      <c r="R52" s="62"/>
      <c r="S52" s="62"/>
      <c r="T52" s="62"/>
    </row>
    <row r="53" spans="2:20" ht="14.6">
      <c r="B53" s="62"/>
      <c r="C53" s="54"/>
      <c r="D53" s="56"/>
      <c r="E53" s="56"/>
      <c r="F53" s="56"/>
      <c r="G53" s="62"/>
      <c r="H53" s="62"/>
      <c r="I53" s="62"/>
      <c r="J53" s="62"/>
      <c r="K53" s="62"/>
      <c r="L53" s="62"/>
      <c r="M53" s="62"/>
      <c r="N53" s="62"/>
      <c r="O53" s="62"/>
      <c r="P53" s="62"/>
      <c r="Q53" s="62"/>
      <c r="R53" s="62"/>
      <c r="S53" s="62"/>
      <c r="T53" s="62"/>
    </row>
  </sheetData>
  <mergeCells count="2">
    <mergeCell ref="D9:E9"/>
    <mergeCell ref="D10:E10"/>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autoPageBreaks="0"/>
  </sheetPr>
  <dimension ref="A1:CP321"/>
  <sheetViews>
    <sheetView topLeftCell="F1" zoomScale="40" zoomScaleNormal="40" workbookViewId="0">
      <selection activeCell="F205" sqref="F205"/>
    </sheetView>
  </sheetViews>
  <sheetFormatPr defaultRowHeight="12.45"/>
  <cols>
    <col min="1" max="1" width="14.86328125" customWidth="1"/>
    <col min="2" max="2" width="46.3984375" customWidth="1"/>
    <col min="3" max="6" width="11.3984375" customWidth="1"/>
    <col min="7" max="7" width="12.59765625" customWidth="1"/>
    <col min="8" max="8" width="10" customWidth="1"/>
    <col min="9" max="9" width="11.265625" customWidth="1"/>
    <col min="10" max="10" width="13.46484375" customWidth="1"/>
    <col min="11" max="11" width="13.59765625" customWidth="1"/>
    <col min="12" max="12" width="13.73046875" style="124" customWidth="1"/>
    <col min="13" max="13" width="22.46484375" style="124" customWidth="1"/>
    <col min="14" max="14" width="18.46484375" customWidth="1"/>
    <col min="15" max="15" width="21.59765625" style="124" customWidth="1"/>
    <col min="16" max="16" width="3.3984375" style="124" customWidth="1"/>
    <col min="17" max="17" width="21" customWidth="1"/>
    <col min="18" max="18" width="32.59765625" customWidth="1"/>
    <col min="19" max="19" width="11.59765625" customWidth="1"/>
    <col min="20" max="20" width="14.86328125" customWidth="1"/>
    <col min="21" max="21" width="16.73046875" bestFit="1" customWidth="1"/>
    <col min="22" max="22" width="11.3984375" customWidth="1"/>
    <col min="23" max="23" width="11" customWidth="1"/>
    <col min="24" max="24" width="12.265625" customWidth="1"/>
    <col min="25" max="25" width="10.59765625" bestFit="1" customWidth="1"/>
    <col min="26" max="26" width="11.73046875" customWidth="1"/>
    <col min="27" max="27" width="12.1328125" customWidth="1"/>
    <col min="28" max="28" width="9" style="124" bestFit="1" customWidth="1"/>
    <col min="29" max="29" width="18.59765625" style="124" customWidth="1"/>
    <col min="30" max="30" width="18.46484375" style="124" customWidth="1"/>
    <col min="31" max="31" width="23.59765625" customWidth="1"/>
    <col min="32" max="32" width="9" bestFit="1" customWidth="1"/>
    <col min="33" max="33" width="19" customWidth="1"/>
    <col min="34" max="37" width="9" bestFit="1" customWidth="1"/>
    <col min="38" max="38" width="9.1328125" bestFit="1" customWidth="1"/>
    <col min="39" max="39" width="9.46484375" bestFit="1" customWidth="1"/>
    <col min="40" max="40" width="9.1328125" bestFit="1" customWidth="1"/>
    <col min="41" max="41" width="9" style="124" bestFit="1" customWidth="1"/>
    <col min="42" max="42" width="18.73046875" style="124" bestFit="1" customWidth="1"/>
    <col min="43" max="45" width="9" style="124"/>
    <col min="46" max="46" width="26.3984375" customWidth="1"/>
    <col min="47" max="54" width="9" bestFit="1" customWidth="1"/>
    <col min="56" max="56" width="9" bestFit="1" customWidth="1"/>
    <col min="58" max="58" width="15.86328125" customWidth="1"/>
    <col min="65" max="65" width="35.46484375" customWidth="1"/>
    <col min="66" max="66" width="9.86328125" bestFit="1" customWidth="1"/>
    <col min="67" max="67" width="11.73046875" bestFit="1" customWidth="1"/>
    <col min="68" max="68" width="11.73046875" customWidth="1"/>
    <col min="69" max="69" width="10.1328125" customWidth="1"/>
    <col min="70" max="70" width="11.86328125" customWidth="1"/>
    <col min="74" max="74" width="28.46484375" customWidth="1"/>
    <col min="75" max="75" width="11.265625" customWidth="1"/>
    <col min="76" max="76" width="16.73046875" customWidth="1"/>
    <col min="77" max="77" width="17.86328125" customWidth="1"/>
    <col min="78" max="78" width="31" customWidth="1"/>
    <col min="79" max="79" width="12.73046875" customWidth="1"/>
    <col min="80" max="80" width="13.1328125" customWidth="1"/>
    <col min="81" max="81" width="12.46484375" customWidth="1"/>
    <col min="83" max="83" width="27.265625" customWidth="1"/>
    <col min="86" max="86" width="13.86328125" customWidth="1"/>
    <col min="88" max="88" width="12.59765625" customWidth="1"/>
  </cols>
  <sheetData>
    <row r="1" spans="1:94">
      <c r="A1" t="s">
        <v>437</v>
      </c>
      <c r="O1" s="89"/>
      <c r="P1" s="413"/>
      <c r="X1" s="189"/>
      <c r="BJ1" s="413"/>
      <c r="BM1" s="124"/>
      <c r="BN1" s="124"/>
      <c r="BO1" s="124"/>
      <c r="BP1" s="124"/>
      <c r="BQ1" s="124"/>
      <c r="BR1" s="124"/>
      <c r="BS1" s="124"/>
      <c r="BT1" s="124"/>
      <c r="BU1" s="124"/>
      <c r="BV1" s="124"/>
      <c r="BW1" s="124"/>
      <c r="BX1" s="124"/>
      <c r="BY1" s="124"/>
      <c r="BZ1" s="124"/>
      <c r="CP1" s="413"/>
    </row>
    <row r="2" spans="1:94" s="124" customFormat="1">
      <c r="C2" s="249"/>
      <c r="D2" s="249"/>
      <c r="E2" s="249"/>
      <c r="F2" s="249"/>
      <c r="G2" s="249"/>
      <c r="H2" s="249"/>
      <c r="I2" s="249"/>
      <c r="J2" s="249"/>
      <c r="O2" s="89"/>
      <c r="P2" s="413"/>
      <c r="R2" s="1" t="s">
        <v>286</v>
      </c>
      <c r="X2" s="189"/>
      <c r="AE2" s="1" t="s">
        <v>1</v>
      </c>
      <c r="AT2" s="1" t="s">
        <v>51</v>
      </c>
      <c r="BJ2" s="413"/>
      <c r="CP2" s="413"/>
    </row>
    <row r="3" spans="1:94" ht="12.9" thickBot="1">
      <c r="B3" s="31" t="s">
        <v>244</v>
      </c>
      <c r="H3" s="31" t="s">
        <v>328</v>
      </c>
      <c r="O3" s="616"/>
      <c r="P3" s="413"/>
      <c r="S3" s="108"/>
      <c r="T3" s="108"/>
      <c r="U3" s="108"/>
      <c r="V3" s="238" t="s">
        <v>241</v>
      </c>
      <c r="W3" s="108"/>
      <c r="X3" s="219"/>
      <c r="Y3" s="108"/>
      <c r="Z3" s="108"/>
      <c r="AF3" s="108"/>
      <c r="AG3" s="108"/>
      <c r="AH3" s="108"/>
      <c r="AI3" s="108"/>
      <c r="AJ3" s="108"/>
      <c r="AK3" s="238" t="s">
        <v>241</v>
      </c>
      <c r="AL3" s="108"/>
      <c r="AM3" s="108"/>
      <c r="AU3" s="108"/>
      <c r="AV3" s="108"/>
      <c r="AW3" s="108"/>
      <c r="AX3" s="108"/>
      <c r="AY3" s="108"/>
      <c r="AZ3" s="238" t="s">
        <v>241</v>
      </c>
      <c r="BA3" s="108"/>
      <c r="BB3" s="108"/>
      <c r="BJ3" s="413"/>
      <c r="BM3" s="31" t="s">
        <v>499</v>
      </c>
      <c r="BN3" s="124"/>
      <c r="BO3" s="124"/>
      <c r="BP3" s="124"/>
      <c r="BQ3" s="124"/>
      <c r="BR3" s="124"/>
      <c r="BS3" s="238" t="s">
        <v>241</v>
      </c>
      <c r="BT3" s="124"/>
      <c r="BU3" s="124"/>
      <c r="BV3" s="124"/>
      <c r="BW3" s="124"/>
      <c r="BX3" s="124"/>
      <c r="BY3" s="124"/>
      <c r="BZ3" s="124"/>
      <c r="CP3" s="413"/>
    </row>
    <row r="4" spans="1:94" ht="24" customHeight="1" thickTop="1" thickBot="1">
      <c r="B4" s="45" t="s">
        <v>167</v>
      </c>
      <c r="C4" s="728" t="s">
        <v>240</v>
      </c>
      <c r="D4" s="729"/>
      <c r="E4" s="729"/>
      <c r="F4" s="729"/>
      <c r="G4" s="247"/>
      <c r="H4" t="s">
        <v>329</v>
      </c>
      <c r="O4" s="89"/>
      <c r="P4" s="413"/>
      <c r="R4" s="108" t="s">
        <v>173</v>
      </c>
      <c r="S4" s="144" t="s">
        <v>131</v>
      </c>
      <c r="T4" s="144" t="s">
        <v>131</v>
      </c>
      <c r="U4" s="144" t="s">
        <v>131</v>
      </c>
      <c r="V4" s="144" t="s">
        <v>131</v>
      </c>
      <c r="W4" s="144" t="s">
        <v>131</v>
      </c>
      <c r="X4" s="215" t="s">
        <v>131</v>
      </c>
      <c r="Y4" s="144" t="s">
        <v>132</v>
      </c>
      <c r="Z4" s="144" t="s">
        <v>132</v>
      </c>
      <c r="AE4" s="108" t="str">
        <f>R4</f>
        <v>2018/19 prices</v>
      </c>
      <c r="AF4" s="144" t="s">
        <v>131</v>
      </c>
      <c r="AG4" s="144" t="s">
        <v>131</v>
      </c>
      <c r="AH4" s="144" t="s">
        <v>131</v>
      </c>
      <c r="AI4" s="144" t="s">
        <v>131</v>
      </c>
      <c r="AJ4" s="144" t="s">
        <v>131</v>
      </c>
      <c r="AK4" s="215" t="s">
        <v>131</v>
      </c>
      <c r="AL4" s="144" t="s">
        <v>132</v>
      </c>
      <c r="AM4" s="144" t="s">
        <v>132</v>
      </c>
      <c r="AT4" s="108" t="str">
        <f>R4</f>
        <v>2018/19 prices</v>
      </c>
      <c r="AU4" s="144" t="s">
        <v>131</v>
      </c>
      <c r="AV4" s="144" t="s">
        <v>131</v>
      </c>
      <c r="AW4" s="144" t="s">
        <v>131</v>
      </c>
      <c r="AX4" s="144" t="s">
        <v>131</v>
      </c>
      <c r="AY4" s="144" t="s">
        <v>131</v>
      </c>
      <c r="AZ4" s="215" t="s">
        <v>131</v>
      </c>
      <c r="BA4" s="144" t="s">
        <v>132</v>
      </c>
      <c r="BB4" s="144" t="s">
        <v>132</v>
      </c>
      <c r="BJ4" s="413"/>
      <c r="BM4" s="124" t="str">
        <f>AK4</f>
        <v>ACTUAL</v>
      </c>
      <c r="BN4" s="144" t="s">
        <v>131</v>
      </c>
      <c r="BO4" s="144" t="s">
        <v>131</v>
      </c>
      <c r="BP4" s="144" t="s">
        <v>131</v>
      </c>
      <c r="BQ4" s="144" t="s">
        <v>131</v>
      </c>
      <c r="BR4" s="144" t="s">
        <v>131</v>
      </c>
      <c r="BS4" s="215" t="s">
        <v>131</v>
      </c>
      <c r="BT4" s="144" t="s">
        <v>132</v>
      </c>
      <c r="BU4" s="144" t="s">
        <v>132</v>
      </c>
      <c r="BV4" s="124"/>
      <c r="BW4" s="124"/>
      <c r="BX4" s="124"/>
      <c r="BY4" s="124"/>
      <c r="BZ4" s="124"/>
      <c r="CP4" s="413"/>
    </row>
    <row r="5" spans="1:94" ht="22.5" customHeight="1" thickBot="1">
      <c r="B5" s="129"/>
      <c r="C5" s="131" t="s">
        <v>2</v>
      </c>
      <c r="D5" s="132" t="s">
        <v>4</v>
      </c>
      <c r="E5" s="730" t="s">
        <v>47</v>
      </c>
      <c r="F5" s="731"/>
      <c r="H5" s="131" t="s">
        <v>2</v>
      </c>
      <c r="I5" s="346" t="s">
        <v>4</v>
      </c>
      <c r="J5" s="730" t="s">
        <v>47</v>
      </c>
      <c r="K5" s="731"/>
      <c r="L5" s="571" t="s">
        <v>493</v>
      </c>
      <c r="M5" s="571" t="s">
        <v>494</v>
      </c>
      <c r="O5" s="93"/>
      <c r="P5" s="413"/>
      <c r="R5" s="108"/>
      <c r="S5" s="205">
        <v>2014</v>
      </c>
      <c r="T5" s="205">
        <v>2015</v>
      </c>
      <c r="U5" s="205">
        <v>2016</v>
      </c>
      <c r="V5" s="205">
        <v>2017</v>
      </c>
      <c r="W5" s="206">
        <v>2018</v>
      </c>
      <c r="X5" s="230">
        <v>2019</v>
      </c>
      <c r="Y5" s="210">
        <v>2020</v>
      </c>
      <c r="Z5" s="205">
        <v>2021</v>
      </c>
      <c r="AE5" s="108"/>
      <c r="AF5" s="205">
        <v>2014</v>
      </c>
      <c r="AG5" s="205">
        <v>2015</v>
      </c>
      <c r="AH5" s="205">
        <v>2016</v>
      </c>
      <c r="AI5" s="205">
        <v>2017</v>
      </c>
      <c r="AJ5" s="206">
        <v>2018</v>
      </c>
      <c r="AK5" s="216">
        <v>2019</v>
      </c>
      <c r="AL5" s="210">
        <v>2020</v>
      </c>
      <c r="AM5" s="205">
        <v>2021</v>
      </c>
      <c r="AT5" s="108"/>
      <c r="AU5" s="205">
        <v>2014</v>
      </c>
      <c r="AV5" s="205">
        <v>2015</v>
      </c>
      <c r="AW5" s="205">
        <v>2016</v>
      </c>
      <c r="AX5" s="205">
        <v>2017</v>
      </c>
      <c r="AY5" s="206">
        <v>2018</v>
      </c>
      <c r="AZ5" s="216">
        <v>2019</v>
      </c>
      <c r="BA5" s="210">
        <v>2020</v>
      </c>
      <c r="BB5" s="205">
        <v>2021</v>
      </c>
      <c r="BJ5" s="413"/>
      <c r="BM5" s="124"/>
      <c r="BN5" s="205">
        <v>2014</v>
      </c>
      <c r="BO5" s="205">
        <v>2015</v>
      </c>
      <c r="BP5" s="205">
        <v>2016</v>
      </c>
      <c r="BQ5" s="205">
        <v>2017</v>
      </c>
      <c r="BR5" s="206">
        <v>2018</v>
      </c>
      <c r="BS5" s="216">
        <v>2019</v>
      </c>
      <c r="BT5" s="210">
        <v>2020</v>
      </c>
      <c r="BU5" s="205">
        <v>2021</v>
      </c>
      <c r="BV5" s="124"/>
      <c r="BW5" s="124"/>
      <c r="BX5" s="124"/>
      <c r="BY5" s="124"/>
      <c r="BZ5" s="124"/>
      <c r="CP5" s="413"/>
    </row>
    <row r="6" spans="1:94" ht="12.9">
      <c r="B6" s="129"/>
      <c r="C6" s="133"/>
      <c r="D6" s="134"/>
      <c r="E6" s="135" t="s">
        <v>48</v>
      </c>
      <c r="F6" s="136" t="s">
        <v>49</v>
      </c>
      <c r="G6" s="124"/>
      <c r="H6" s="133"/>
      <c r="I6" s="134"/>
      <c r="J6" s="135" t="s">
        <v>48</v>
      </c>
      <c r="K6" s="136" t="s">
        <v>49</v>
      </c>
      <c r="L6" s="136" t="s">
        <v>49</v>
      </c>
      <c r="M6" s="93" t="s">
        <v>48</v>
      </c>
      <c r="O6" s="614"/>
      <c r="P6" s="413"/>
      <c r="R6" s="47" t="s">
        <v>6</v>
      </c>
      <c r="S6" s="4">
        <f t="shared" ref="S6:X6" si="0">C29</f>
        <v>1581.8214727820698</v>
      </c>
      <c r="T6" s="4">
        <f t="shared" si="0"/>
        <v>1187.7046068056329</v>
      </c>
      <c r="U6" s="4">
        <f t="shared" si="0"/>
        <v>1276.2471462518715</v>
      </c>
      <c r="V6" s="4">
        <f t="shared" si="0"/>
        <v>1194.5817555178405</v>
      </c>
      <c r="W6" s="207">
        <f t="shared" si="0"/>
        <v>1099.5827748855545</v>
      </c>
      <c r="X6" s="231">
        <f t="shared" si="0"/>
        <v>1056.1570156520302</v>
      </c>
      <c r="Y6" s="108"/>
      <c r="Z6" s="108"/>
      <c r="AC6" s="596"/>
      <c r="AE6" s="47" t="s">
        <v>6</v>
      </c>
      <c r="AF6" s="4">
        <f t="shared" ref="AF6:AK6" si="1">C46</f>
        <v>269.63348326714441</v>
      </c>
      <c r="AG6" s="4">
        <f t="shared" si="1"/>
        <v>308.8593873617931</v>
      </c>
      <c r="AH6" s="4">
        <f t="shared" si="1"/>
        <v>388.32248587064237</v>
      </c>
      <c r="AI6" s="4">
        <f t="shared" si="1"/>
        <v>369.5383897770127</v>
      </c>
      <c r="AJ6" s="207">
        <f t="shared" si="1"/>
        <v>246.09413700613075</v>
      </c>
      <c r="AK6" s="217">
        <f t="shared" si="1"/>
        <v>187.68735826867479</v>
      </c>
      <c r="AL6" s="108"/>
      <c r="AM6" s="108"/>
      <c r="AP6" s="596"/>
      <c r="AT6" s="47" t="s">
        <v>6</v>
      </c>
      <c r="AU6" s="4">
        <f t="shared" ref="AU6:AZ6" si="2">C63</f>
        <v>196.38302580721339</v>
      </c>
      <c r="AV6" s="4">
        <f t="shared" si="2"/>
        <v>373.63621689329955</v>
      </c>
      <c r="AW6" s="4">
        <f t="shared" si="2"/>
        <v>572.07752166658429</v>
      </c>
      <c r="AX6" s="4">
        <f t="shared" si="2"/>
        <v>493.51051402403232</v>
      </c>
      <c r="AY6" s="207">
        <f t="shared" si="2"/>
        <v>444.10980902322922</v>
      </c>
      <c r="AZ6" s="217">
        <f t="shared" si="2"/>
        <v>345.36469510887093</v>
      </c>
      <c r="BA6" s="108"/>
      <c r="BB6" s="108"/>
      <c r="BJ6" s="413"/>
      <c r="BM6" s="47" t="s">
        <v>6</v>
      </c>
      <c r="BN6" s="4">
        <f>AU6+AF6+S6</f>
        <v>2047.8379818564276</v>
      </c>
      <c r="BO6" s="4">
        <f t="shared" ref="BO6:BU8" si="3">AV6+AG6+T6</f>
        <v>1870.2002110607255</v>
      </c>
      <c r="BP6" s="4">
        <f t="shared" si="3"/>
        <v>2236.6471537890984</v>
      </c>
      <c r="BQ6" s="4">
        <f t="shared" si="3"/>
        <v>2057.6306593188856</v>
      </c>
      <c r="BR6" s="207">
        <f t="shared" si="3"/>
        <v>1789.7867209149144</v>
      </c>
      <c r="BS6" s="217">
        <f t="shared" si="3"/>
        <v>1589.2090690295759</v>
      </c>
      <c r="BT6" s="212">
        <f t="shared" si="3"/>
        <v>0</v>
      </c>
      <c r="BU6" s="4">
        <f t="shared" si="3"/>
        <v>0</v>
      </c>
      <c r="BV6" s="124"/>
      <c r="BW6" s="124"/>
      <c r="BX6" s="124"/>
      <c r="BY6" s="124"/>
      <c r="BZ6" s="124"/>
      <c r="CP6" s="413"/>
    </row>
    <row r="7" spans="1:94">
      <c r="B7" s="129" t="s">
        <v>503</v>
      </c>
      <c r="C7" s="607">
        <f>K17</f>
        <v>13040.397429168817</v>
      </c>
      <c r="D7" s="605">
        <f>K29</f>
        <v>10244.164195630347</v>
      </c>
      <c r="E7" s="138">
        <f>D7-C7</f>
        <v>-2796.2332335384708</v>
      </c>
      <c r="F7" s="139">
        <f>E7/C7</f>
        <v>-0.21442852863393905</v>
      </c>
      <c r="G7" s="249"/>
      <c r="H7" s="137">
        <f>SUM(C17:H17)</f>
        <v>9798.1602718284248</v>
      </c>
      <c r="I7" s="29">
        <f>SUM(C29:H29)</f>
        <v>7396.0947718950001</v>
      </c>
      <c r="J7" s="138">
        <f>I7-H7</f>
        <v>-2402.0654999334247</v>
      </c>
      <c r="K7" s="139">
        <f>J7/H7</f>
        <v>-0.24515474673748908</v>
      </c>
      <c r="L7" s="570">
        <v>0.46889999999999998</v>
      </c>
      <c r="M7" s="29">
        <f>-J7*(1-L7)</f>
        <v>1275.736987014642</v>
      </c>
      <c r="N7" s="124"/>
      <c r="O7" s="615"/>
      <c r="P7" s="414"/>
      <c r="R7" s="47" t="s">
        <v>77</v>
      </c>
      <c r="S7" s="2"/>
      <c r="T7" s="2"/>
      <c r="U7" s="2"/>
      <c r="V7" s="48"/>
      <c r="W7" s="208"/>
      <c r="X7" s="232"/>
      <c r="Y7" s="211">
        <f>I29</f>
        <v>1344.5226171314412</v>
      </c>
      <c r="Z7" s="154">
        <f>J29</f>
        <v>1503.5468066039048</v>
      </c>
      <c r="AB7" s="235">
        <f>SUM(S6:Z7)</f>
        <v>10244.164195630347</v>
      </c>
      <c r="AC7" s="596"/>
      <c r="AE7" s="47" t="s">
        <v>77</v>
      </c>
      <c r="AF7" s="2"/>
      <c r="AG7" s="2"/>
      <c r="AH7" s="2"/>
      <c r="AI7" s="48"/>
      <c r="AJ7" s="208"/>
      <c r="AK7" s="218"/>
      <c r="AL7" s="213">
        <f>I46</f>
        <v>249.84020619195201</v>
      </c>
      <c r="AM7" s="48">
        <f>J46</f>
        <v>266.26464891216381</v>
      </c>
      <c r="AO7" s="235">
        <f>SUM(AF6:AM7)</f>
        <v>2286.2400966555142</v>
      </c>
      <c r="AP7" s="596"/>
      <c r="AT7" s="47" t="s">
        <v>77</v>
      </c>
      <c r="AU7" s="2"/>
      <c r="AV7" s="2"/>
      <c r="AW7" s="2"/>
      <c r="AX7" s="48"/>
      <c r="AY7" s="208"/>
      <c r="AZ7" s="218"/>
      <c r="BA7" s="213">
        <f>I63</f>
        <v>426.93614741957992</v>
      </c>
      <c r="BB7" s="48">
        <f>J63</f>
        <v>940.91078485912226</v>
      </c>
      <c r="BD7" s="235">
        <f>SUM(AU6:BB7)</f>
        <v>3792.9287148019312</v>
      </c>
      <c r="BJ7" s="413"/>
      <c r="BM7" s="47" t="s">
        <v>77</v>
      </c>
      <c r="BN7" s="4">
        <f>AU7+AF7+S7</f>
        <v>0</v>
      </c>
      <c r="BO7" s="4">
        <f t="shared" si="3"/>
        <v>0</v>
      </c>
      <c r="BP7" s="4">
        <f t="shared" si="3"/>
        <v>0</v>
      </c>
      <c r="BQ7" s="4">
        <f t="shared" si="3"/>
        <v>0</v>
      </c>
      <c r="BR7" s="207">
        <f t="shared" si="3"/>
        <v>0</v>
      </c>
      <c r="BS7" s="217">
        <f t="shared" si="3"/>
        <v>0</v>
      </c>
      <c r="BT7" s="212">
        <f>BA7+AL7+Y7</f>
        <v>2021.2989707429731</v>
      </c>
      <c r="BU7" s="4">
        <f t="shared" si="3"/>
        <v>2710.7222403751907</v>
      </c>
      <c r="BV7" s="124"/>
      <c r="BW7" s="235">
        <f>SUM(BN6:BU7)</f>
        <v>16323.333007087791</v>
      </c>
      <c r="BX7" s="124"/>
      <c r="BY7" s="124"/>
      <c r="BZ7" s="124"/>
      <c r="CP7" s="413"/>
    </row>
    <row r="8" spans="1:94" ht="12.9" thickBot="1">
      <c r="B8" s="129" t="s">
        <v>1</v>
      </c>
      <c r="C8" s="607">
        <f>K34</f>
        <v>2362.2709342963099</v>
      </c>
      <c r="D8" s="605">
        <f>K46</f>
        <v>2286.2400966555142</v>
      </c>
      <c r="E8" s="138">
        <f>D8-C8</f>
        <v>-76.030837640795653</v>
      </c>
      <c r="F8" s="139">
        <f>E8/C8</f>
        <v>-3.2185485812381745E-2</v>
      </c>
      <c r="H8" s="137">
        <f>SUM(C34:H34)</f>
        <v>2033.7386696789963</v>
      </c>
      <c r="I8" s="29">
        <f>SUM(C46:H46)</f>
        <v>1770.1352415513982</v>
      </c>
      <c r="J8" s="138">
        <f>I8-H8</f>
        <v>-263.60342812759814</v>
      </c>
      <c r="K8" s="139">
        <f>J8/H8</f>
        <v>-0.12961519198983668</v>
      </c>
      <c r="L8" s="139">
        <v>0.5</v>
      </c>
      <c r="M8" s="29">
        <f>-J8*L8</f>
        <v>131.80171406379907</v>
      </c>
      <c r="N8" s="124"/>
      <c r="O8" s="615"/>
      <c r="P8" s="414"/>
      <c r="R8" s="2" t="s">
        <v>78</v>
      </c>
      <c r="S8" s="4">
        <f t="shared" ref="S8:Z8" si="4">C17</f>
        <v>2095.6808562910433</v>
      </c>
      <c r="T8" s="4">
        <f t="shared" si="4"/>
        <v>1803.1647644106956</v>
      </c>
      <c r="U8" s="4">
        <f t="shared" si="4"/>
        <v>1499.9408546911934</v>
      </c>
      <c r="V8" s="4">
        <f t="shared" si="4"/>
        <v>1379.4069257081771</v>
      </c>
      <c r="W8" s="207">
        <f t="shared" si="4"/>
        <v>1375.4459885033509</v>
      </c>
      <c r="X8" s="233">
        <f t="shared" si="4"/>
        <v>1644.5208822239645</v>
      </c>
      <c r="Y8" s="212">
        <f t="shared" si="4"/>
        <v>1614.0310764743006</v>
      </c>
      <c r="Z8" s="4">
        <f t="shared" si="4"/>
        <v>1628.2060808660917</v>
      </c>
      <c r="AB8" s="235">
        <f>SUM(S8:Z8)</f>
        <v>13040.397429168817</v>
      </c>
      <c r="AC8" s="596"/>
      <c r="AE8" s="2" t="s">
        <v>78</v>
      </c>
      <c r="AF8" s="49">
        <f t="shared" ref="AF8:AM8" si="5">C34</f>
        <v>410.11873690495685</v>
      </c>
      <c r="AG8" s="49">
        <f t="shared" si="5"/>
        <v>514.06635089381587</v>
      </c>
      <c r="AH8" s="49">
        <f t="shared" si="5"/>
        <v>386.71182587195955</v>
      </c>
      <c r="AI8" s="49">
        <f t="shared" si="5"/>
        <v>193.56355143232537</v>
      </c>
      <c r="AJ8" s="209">
        <f t="shared" si="5"/>
        <v>253.61852778465001</v>
      </c>
      <c r="AK8" s="220">
        <f t="shared" si="5"/>
        <v>275.65967679128892</v>
      </c>
      <c r="AL8" s="214">
        <f t="shared" si="5"/>
        <v>230.98324118333136</v>
      </c>
      <c r="AM8" s="49">
        <f t="shared" si="5"/>
        <v>97.5490234339822</v>
      </c>
      <c r="AO8" s="235">
        <f>SUM(AF8:AM8)</f>
        <v>2362.2709342963099</v>
      </c>
      <c r="AP8" s="596"/>
      <c r="AT8" s="2" t="s">
        <v>78</v>
      </c>
      <c r="AU8" s="49">
        <f t="shared" ref="AU8:BB8" si="6">C51</f>
        <v>263.93933533272536</v>
      </c>
      <c r="AV8" s="49">
        <f t="shared" si="6"/>
        <v>462.62723954291118</v>
      </c>
      <c r="AW8" s="49">
        <f t="shared" si="6"/>
        <v>876.38530297672946</v>
      </c>
      <c r="AX8" s="49">
        <f t="shared" si="6"/>
        <v>738.50993836624161</v>
      </c>
      <c r="AY8" s="209">
        <f t="shared" si="6"/>
        <v>480.18537511847865</v>
      </c>
      <c r="AZ8" s="220">
        <f t="shared" si="6"/>
        <v>263.79201078756489</v>
      </c>
      <c r="BA8" s="214">
        <f t="shared" si="6"/>
        <v>304.93994228357286</v>
      </c>
      <c r="BB8" s="49">
        <f t="shared" si="6"/>
        <v>719.47007018869488</v>
      </c>
      <c r="BD8" s="235">
        <f>SUM(AU8:BB8)</f>
        <v>4109.8492145969185</v>
      </c>
      <c r="BF8" s="235"/>
      <c r="BJ8" s="413"/>
      <c r="BM8" s="2" t="s">
        <v>78</v>
      </c>
      <c r="BN8" s="4">
        <f>AU8+AF8+S8</f>
        <v>2769.7389285287254</v>
      </c>
      <c r="BO8" s="4">
        <f t="shared" si="3"/>
        <v>2779.8583548474226</v>
      </c>
      <c r="BP8" s="4">
        <f t="shared" si="3"/>
        <v>2763.0379835398826</v>
      </c>
      <c r="BQ8" s="4">
        <f t="shared" si="3"/>
        <v>2311.4804155067441</v>
      </c>
      <c r="BR8" s="207">
        <f t="shared" si="3"/>
        <v>2109.2498914064795</v>
      </c>
      <c r="BS8" s="229">
        <f t="shared" si="3"/>
        <v>2183.9725698028183</v>
      </c>
      <c r="BT8" s="212">
        <f>BA8+AL8+Y8</f>
        <v>2149.9542599412048</v>
      </c>
      <c r="BU8" s="4">
        <f t="shared" si="3"/>
        <v>2445.225174488769</v>
      </c>
      <c r="BV8" s="124"/>
      <c r="BW8" s="235">
        <f>SUM(BN8:BU8)</f>
        <v>19512.517578062045</v>
      </c>
      <c r="BX8" s="124"/>
      <c r="BY8" s="124"/>
      <c r="BZ8" s="235"/>
      <c r="CP8" s="413"/>
    </row>
    <row r="9" spans="1:94">
      <c r="B9" s="129" t="s">
        <v>506</v>
      </c>
      <c r="C9" s="607">
        <f>K51</f>
        <v>4109.8492145969185</v>
      </c>
      <c r="D9" s="605">
        <f>K63</f>
        <v>3792.9287148019312</v>
      </c>
      <c r="E9" s="138">
        <f>D9-C9</f>
        <v>-316.92049979498734</v>
      </c>
      <c r="F9" s="139">
        <f>E9/C9</f>
        <v>-7.7112439714183023E-2</v>
      </c>
      <c r="H9" s="137">
        <f>SUM(C51:H51)</f>
        <v>3085.4392021246513</v>
      </c>
      <c r="I9" s="29">
        <f>SUM(C63:H63)</f>
        <v>2425.0817825232293</v>
      </c>
      <c r="J9" s="138">
        <f>I9-H9</f>
        <v>-660.35741960142195</v>
      </c>
      <c r="K9" s="139">
        <f>J9/H9</f>
        <v>-0.21402379899325064</v>
      </c>
      <c r="L9" s="139">
        <v>0.5</v>
      </c>
      <c r="M9" s="29">
        <f>-J9*L9</f>
        <v>330.17870980071098</v>
      </c>
      <c r="N9" s="124"/>
      <c r="O9" s="615"/>
      <c r="P9" s="414"/>
      <c r="AC9" s="596"/>
      <c r="AP9" s="596"/>
      <c r="BJ9" s="413"/>
      <c r="BM9" s="124"/>
      <c r="BN9" s="124"/>
      <c r="BO9" s="124"/>
      <c r="BP9" s="124"/>
      <c r="BQ9" s="124"/>
      <c r="BR9" s="124"/>
      <c r="BS9" s="124"/>
      <c r="BT9" s="124"/>
      <c r="BU9" s="124"/>
      <c r="BV9" s="124"/>
      <c r="BW9" s="124"/>
      <c r="BX9" s="124"/>
      <c r="BY9" s="124"/>
      <c r="BZ9" s="124"/>
      <c r="CP9" s="413"/>
    </row>
    <row r="10" spans="1:94" ht="12.9" thickBot="1">
      <c r="B10" s="130" t="s">
        <v>3</v>
      </c>
      <c r="C10" s="608">
        <f>SUM(C7:C9)</f>
        <v>19512.517578062045</v>
      </c>
      <c r="D10" s="606">
        <f>SUM(D7:D9)</f>
        <v>16323.333007087793</v>
      </c>
      <c r="E10" s="141">
        <f>D10-C10</f>
        <v>-3189.184570974252</v>
      </c>
      <c r="F10" s="142">
        <f>E10/C10</f>
        <v>-0.16344300822359578</v>
      </c>
      <c r="H10" s="140">
        <f>SUM(H7:H9)</f>
        <v>14917.338143632072</v>
      </c>
      <c r="I10" s="140">
        <f>SUM(I7:I9)</f>
        <v>11591.311795969628</v>
      </c>
      <c r="J10" s="141">
        <f>I10-H10</f>
        <v>-3326.0263476624441</v>
      </c>
      <c r="K10" s="142">
        <f>J10/H10</f>
        <v>-0.22296379659947987</v>
      </c>
      <c r="L10" s="142"/>
      <c r="M10" s="141">
        <f>SUM(M7:M9)</f>
        <v>1737.7174108791521</v>
      </c>
      <c r="N10" s="124"/>
      <c r="O10" s="617"/>
      <c r="P10" s="413"/>
      <c r="R10" s="31" t="s">
        <v>212</v>
      </c>
      <c r="AC10" s="596"/>
      <c r="AE10" s="31" t="s">
        <v>276</v>
      </c>
      <c r="AP10" s="596"/>
      <c r="AT10" s="31" t="s">
        <v>219</v>
      </c>
      <c r="BA10" s="1" t="s">
        <v>220</v>
      </c>
      <c r="BJ10" s="413"/>
      <c r="BM10" s="124"/>
      <c r="BN10" s="124"/>
      <c r="BO10" s="124"/>
      <c r="BP10" s="124"/>
      <c r="BQ10" s="124"/>
      <c r="BR10" s="124"/>
      <c r="BS10" s="124"/>
      <c r="BT10" s="124"/>
      <c r="BU10" s="1" t="s">
        <v>220</v>
      </c>
      <c r="BV10" s="124"/>
      <c r="BW10" s="124"/>
      <c r="BX10" s="124"/>
      <c r="BY10" s="124"/>
      <c r="BZ10" s="124"/>
      <c r="CP10" s="413"/>
    </row>
    <row r="11" spans="1:94" ht="12.9" thickTop="1">
      <c r="B11" s="96" t="s">
        <v>130</v>
      </c>
      <c r="D11" s="194" t="s">
        <v>517</v>
      </c>
      <c r="E11" s="194"/>
      <c r="F11" s="194"/>
      <c r="H11" s="534" t="s">
        <v>445</v>
      </c>
      <c r="N11" s="124"/>
      <c r="O11" s="618"/>
      <c r="P11" s="414"/>
      <c r="AC11" s="596"/>
      <c r="AP11" s="596"/>
      <c r="BA11" s="124" t="s">
        <v>264</v>
      </c>
      <c r="BJ11" s="413"/>
      <c r="BM11" s="124"/>
      <c r="BN11" s="124"/>
      <c r="BO11" s="124"/>
      <c r="BP11" s="124"/>
      <c r="BQ11" s="124"/>
      <c r="BR11" s="124"/>
      <c r="BS11" s="124"/>
      <c r="BT11" s="124"/>
      <c r="BU11" s="124" t="s">
        <v>264</v>
      </c>
      <c r="BV11" s="124"/>
      <c r="BW11" s="124"/>
      <c r="BX11" s="124"/>
      <c r="BY11" s="124"/>
      <c r="BZ11" s="124"/>
      <c r="CP11" s="413"/>
    </row>
    <row r="12" spans="1:94" ht="12.9" thickBot="1">
      <c r="N12" s="124"/>
      <c r="O12" s="598"/>
      <c r="P12" s="414"/>
      <c r="AC12" s="596"/>
      <c r="AP12" s="596"/>
      <c r="BA12" t="s">
        <v>384</v>
      </c>
      <c r="BJ12" s="413"/>
      <c r="BM12" s="124"/>
      <c r="BN12" s="124"/>
      <c r="BO12" s="124"/>
      <c r="BP12" s="124"/>
      <c r="BQ12" s="124"/>
      <c r="BR12" s="124"/>
      <c r="BS12" s="124"/>
      <c r="BT12" s="124"/>
      <c r="BU12" s="124" t="s">
        <v>515</v>
      </c>
      <c r="BV12" s="124"/>
      <c r="BW12" s="124"/>
      <c r="BX12" s="124"/>
      <c r="BY12" s="124"/>
      <c r="BZ12" s="124"/>
      <c r="CP12" s="413"/>
    </row>
    <row r="13" spans="1:94" ht="16.3" thickBot="1">
      <c r="B13" s="310"/>
      <c r="C13" s="311" t="s">
        <v>72</v>
      </c>
      <c r="D13" s="311" t="s">
        <v>73</v>
      </c>
      <c r="E13" s="311" t="s">
        <v>74</v>
      </c>
      <c r="F13" s="311" t="s">
        <v>75</v>
      </c>
      <c r="G13" s="311" t="s">
        <v>129</v>
      </c>
      <c r="H13" s="311" t="s">
        <v>157</v>
      </c>
      <c r="I13" s="311" t="s">
        <v>542</v>
      </c>
      <c r="J13" s="311" t="s">
        <v>543</v>
      </c>
      <c r="K13" s="312"/>
      <c r="O13" s="619"/>
      <c r="P13" s="414"/>
      <c r="AC13" s="596"/>
      <c r="AP13" s="596"/>
      <c r="BJ13" s="413"/>
      <c r="BM13" s="124"/>
      <c r="BN13" s="124"/>
      <c r="BO13" s="124"/>
      <c r="BP13" s="124"/>
      <c r="BQ13" s="124"/>
      <c r="BR13" s="124"/>
      <c r="BS13" s="124"/>
      <c r="BT13" s="124"/>
      <c r="BU13" t="s">
        <v>385</v>
      </c>
      <c r="BV13" s="124"/>
      <c r="BW13" s="124"/>
      <c r="BX13" s="124"/>
      <c r="BY13" s="124"/>
      <c r="BZ13" s="124"/>
      <c r="CP13" s="413"/>
    </row>
    <row r="14" spans="1:94">
      <c r="B14" s="313" t="s">
        <v>50</v>
      </c>
      <c r="C14" s="314" t="s">
        <v>131</v>
      </c>
      <c r="D14" s="314" t="s">
        <v>131</v>
      </c>
      <c r="E14" s="314" t="s">
        <v>131</v>
      </c>
      <c r="F14" s="314" t="s">
        <v>131</v>
      </c>
      <c r="G14" s="314" t="s">
        <v>131</v>
      </c>
      <c r="H14" s="215" t="s">
        <v>131</v>
      </c>
      <c r="I14" s="314" t="s">
        <v>132</v>
      </c>
      <c r="J14" s="314" t="s">
        <v>132</v>
      </c>
      <c r="K14" s="315"/>
      <c r="L14" s="144"/>
      <c r="M14" s="144"/>
      <c r="O14" s="89"/>
      <c r="P14" s="413"/>
      <c r="AC14" s="596"/>
      <c r="AP14" s="596"/>
      <c r="BJ14" s="413"/>
      <c r="BM14" s="124"/>
      <c r="BN14" s="124"/>
      <c r="BO14" s="124"/>
      <c r="BP14" s="124"/>
      <c r="BQ14" s="124"/>
      <c r="BR14" s="124"/>
      <c r="BS14" s="124"/>
      <c r="BT14" s="124"/>
      <c r="BU14" s="733" t="s">
        <v>511</v>
      </c>
      <c r="BV14" s="733"/>
      <c r="BW14" s="733"/>
      <c r="BX14" s="124"/>
      <c r="BY14" s="124"/>
      <c r="BZ14" s="124"/>
      <c r="CP14" s="413"/>
    </row>
    <row r="15" spans="1:94">
      <c r="B15" s="316"/>
      <c r="C15" s="317">
        <v>2014</v>
      </c>
      <c r="D15" s="317">
        <v>2015</v>
      </c>
      <c r="E15" s="317">
        <v>2016</v>
      </c>
      <c r="F15" s="317">
        <v>2017</v>
      </c>
      <c r="G15" s="317">
        <v>2018</v>
      </c>
      <c r="H15" s="222">
        <v>2019</v>
      </c>
      <c r="I15" s="317">
        <v>2020</v>
      </c>
      <c r="J15" s="317">
        <v>2021</v>
      </c>
      <c r="K15" s="318" t="s">
        <v>52</v>
      </c>
      <c r="L15" s="147"/>
      <c r="M15" s="147"/>
      <c r="O15" s="492"/>
      <c r="P15" s="415"/>
      <c r="AC15" s="596"/>
      <c r="AP15" s="596"/>
      <c r="BJ15" s="413"/>
      <c r="BM15" s="124"/>
      <c r="BN15" s="124"/>
      <c r="BO15" s="124"/>
      <c r="BP15" s="124"/>
      <c r="BQ15" s="124"/>
      <c r="BR15" s="124"/>
      <c r="BS15" s="124"/>
      <c r="BT15" s="124"/>
      <c r="BU15" s="733"/>
      <c r="BV15" s="733"/>
      <c r="BW15" s="733"/>
      <c r="BX15" s="124"/>
      <c r="BY15" s="124"/>
      <c r="BZ15" s="124"/>
      <c r="CP15" s="413"/>
    </row>
    <row r="16" spans="1:94">
      <c r="B16" s="319" t="s">
        <v>168</v>
      </c>
      <c r="C16" s="221">
        <v>1596.0655633271656</v>
      </c>
      <c r="D16" s="221">
        <v>1373.2860024184747</v>
      </c>
      <c r="E16" s="221">
        <v>1142.3513928724155</v>
      </c>
      <c r="F16" s="221">
        <v>1050.5530388029936</v>
      </c>
      <c r="G16" s="221">
        <v>1047.5363984342339</v>
      </c>
      <c r="H16" s="149">
        <v>1252.4631984926421</v>
      </c>
      <c r="I16" s="221">
        <v>1229.2422348409061</v>
      </c>
      <c r="J16" s="221">
        <v>1240.0378845228859</v>
      </c>
      <c r="K16" s="320">
        <f>SUM(C16:J16)</f>
        <v>9931.5357137117171</v>
      </c>
      <c r="L16" s="150"/>
      <c r="M16" s="150"/>
      <c r="O16" s="492"/>
      <c r="P16" s="415"/>
      <c r="AC16" s="596"/>
      <c r="AP16" s="596"/>
      <c r="BJ16" s="413"/>
      <c r="BM16" s="124"/>
      <c r="BN16" s="124"/>
      <c r="BO16" s="124"/>
      <c r="BP16" s="124"/>
      <c r="BQ16" s="124"/>
      <c r="BR16" s="124"/>
      <c r="BS16" s="124"/>
      <c r="BT16" s="124"/>
      <c r="BU16" s="733"/>
      <c r="BV16" s="733"/>
      <c r="BW16" s="733"/>
      <c r="BX16" s="124"/>
      <c r="BY16" s="124"/>
      <c r="BZ16" s="124"/>
      <c r="CP16" s="413"/>
    </row>
    <row r="17" spans="2:94">
      <c r="B17" s="321" t="s">
        <v>169</v>
      </c>
      <c r="C17" s="322">
        <v>2095.6808562910433</v>
      </c>
      <c r="D17" s="322">
        <v>1803.1647644106956</v>
      </c>
      <c r="E17" s="322">
        <v>1499.9408546911934</v>
      </c>
      <c r="F17" s="322">
        <v>1379.4069257081771</v>
      </c>
      <c r="G17" s="322">
        <v>1375.4459885033509</v>
      </c>
      <c r="H17" s="308">
        <v>1644.5208822239645</v>
      </c>
      <c r="I17" s="322">
        <v>1614.0310764743006</v>
      </c>
      <c r="J17" s="322">
        <v>1628.2060808660917</v>
      </c>
      <c r="K17" s="323">
        <f t="shared" ref="K17:K29" si="7">SUM(C17:J17)</f>
        <v>13040.397429168817</v>
      </c>
      <c r="L17" s="150"/>
      <c r="M17" s="150"/>
      <c r="O17" s="492"/>
      <c r="P17" s="416"/>
      <c r="AC17" s="596"/>
      <c r="AP17" s="596"/>
      <c r="BJ17" s="413"/>
      <c r="BM17" s="124"/>
      <c r="BN17" s="124"/>
      <c r="BO17" s="124"/>
      <c r="BP17" s="124"/>
      <c r="BQ17" s="124"/>
      <c r="BR17" s="124"/>
      <c r="BS17" s="124"/>
      <c r="BT17" s="124"/>
      <c r="BU17" s="733"/>
      <c r="BV17" s="733"/>
      <c r="BW17" s="733"/>
      <c r="BX17" s="124"/>
      <c r="BY17" s="124"/>
      <c r="BZ17" s="124"/>
      <c r="CP17" s="413"/>
    </row>
    <row r="18" spans="2:94" s="124" customFormat="1">
      <c r="B18" s="319"/>
      <c r="C18" s="221"/>
      <c r="D18" s="221"/>
      <c r="E18" s="221"/>
      <c r="F18" s="221"/>
      <c r="G18" s="221"/>
      <c r="H18" s="149"/>
      <c r="I18" s="221"/>
      <c r="J18" s="221"/>
      <c r="K18" s="320"/>
      <c r="L18" s="150"/>
      <c r="M18" s="150"/>
      <c r="O18" s="492"/>
      <c r="P18" s="413"/>
      <c r="AC18" s="596"/>
      <c r="AP18" s="596"/>
      <c r="BJ18" s="413"/>
      <c r="BU18" s="733"/>
      <c r="BV18" s="733"/>
      <c r="BW18" s="733"/>
      <c r="CP18" s="413"/>
    </row>
    <row r="19" spans="2:94" s="124" customFormat="1" ht="14.6">
      <c r="B19" s="319" t="s">
        <v>297</v>
      </c>
      <c r="C19" s="221">
        <v>1156.0629448848965</v>
      </c>
      <c r="D19" s="221">
        <v>856.65163197241691</v>
      </c>
      <c r="E19" s="221">
        <v>572.55400692842727</v>
      </c>
      <c r="F19" s="221">
        <v>415.87037867024446</v>
      </c>
      <c r="G19" s="221">
        <v>214.48376742496507</v>
      </c>
      <c r="H19" s="149">
        <v>361.45410546202032</v>
      </c>
      <c r="I19" s="221">
        <v>448.93706264768252</v>
      </c>
      <c r="J19" s="221">
        <v>591.42686025230864</v>
      </c>
      <c r="K19" s="320">
        <f t="shared" si="7"/>
        <v>4617.4407582429621</v>
      </c>
      <c r="L19" s="595" t="s">
        <v>540</v>
      </c>
      <c r="M19" s="150"/>
      <c r="O19" s="492"/>
      <c r="P19" s="413"/>
      <c r="AC19" s="596"/>
      <c r="AP19" s="596"/>
      <c r="BJ19" s="413"/>
      <c r="CP19" s="413"/>
    </row>
    <row r="20" spans="2:94" s="124" customFormat="1" ht="14.6">
      <c r="B20" s="319" t="s">
        <v>298</v>
      </c>
      <c r="C20" s="221">
        <v>649.57772346633772</v>
      </c>
      <c r="D20" s="221">
        <v>651.7579004367019</v>
      </c>
      <c r="E20" s="221">
        <v>632.99695344833367</v>
      </c>
      <c r="F20" s="221">
        <v>668.4833206434771</v>
      </c>
      <c r="G20" s="221">
        <v>865.5642366409279</v>
      </c>
      <c r="H20" s="149">
        <v>996.04948925558335</v>
      </c>
      <c r="I20" s="221">
        <v>871.44166950398096</v>
      </c>
      <c r="J20" s="221">
        <v>743.82177985602186</v>
      </c>
      <c r="K20" s="320">
        <f t="shared" si="7"/>
        <v>6079.6930732513638</v>
      </c>
      <c r="L20" s="595" t="s">
        <v>540</v>
      </c>
      <c r="M20" s="150"/>
      <c r="O20" s="492"/>
      <c r="P20" s="413"/>
      <c r="AC20" s="596"/>
      <c r="AP20" s="596"/>
      <c r="BJ20" s="413"/>
      <c r="CP20" s="413"/>
    </row>
    <row r="21" spans="2:94" s="124" customFormat="1">
      <c r="B21" s="319" t="s">
        <v>299</v>
      </c>
      <c r="C21" s="221">
        <v>37.424293253662761</v>
      </c>
      <c r="D21" s="221">
        <v>36.624614407052391</v>
      </c>
      <c r="E21" s="221">
        <v>26.47447307048111</v>
      </c>
      <c r="F21" s="221">
        <v>24.532632773281037</v>
      </c>
      <c r="G21" s="221">
        <v>22.738299286461825</v>
      </c>
      <c r="H21" s="149">
        <v>13.303972110548287</v>
      </c>
      <c r="I21" s="221">
        <v>17.213599283148472</v>
      </c>
      <c r="J21" s="221">
        <v>15.699938029052408</v>
      </c>
      <c r="K21" s="320">
        <f t="shared" si="7"/>
        <v>194.01182221368828</v>
      </c>
      <c r="M21" s="150"/>
      <c r="O21" s="492"/>
      <c r="P21" s="413"/>
      <c r="AC21" s="596"/>
      <c r="AP21" s="596"/>
      <c r="BJ21" s="413"/>
      <c r="CC21" s="89"/>
      <c r="CD21" s="89"/>
      <c r="CE21" s="89"/>
      <c r="CF21" s="89"/>
      <c r="CP21" s="413"/>
    </row>
    <row r="22" spans="2:94">
      <c r="B22" s="324" t="s">
        <v>171</v>
      </c>
      <c r="C22" s="325">
        <v>252.61589468614633</v>
      </c>
      <c r="D22" s="325">
        <v>258.13061759452427</v>
      </c>
      <c r="E22" s="325">
        <v>267.91542124395141</v>
      </c>
      <c r="F22" s="325">
        <v>270.52059362117473</v>
      </c>
      <c r="G22" s="325">
        <v>272.65968515099593</v>
      </c>
      <c r="H22" s="307">
        <v>273.71331539581229</v>
      </c>
      <c r="I22" s="325">
        <v>276.43874503948848</v>
      </c>
      <c r="J22" s="325">
        <v>277.25750272870874</v>
      </c>
      <c r="K22" s="326">
        <f t="shared" si="7"/>
        <v>2149.2517754608025</v>
      </c>
      <c r="L22" s="150"/>
      <c r="M22" s="150"/>
      <c r="O22" s="492"/>
      <c r="P22" s="413"/>
      <c r="AC22" s="596"/>
      <c r="AP22" s="596"/>
      <c r="BJ22" s="413"/>
      <c r="BM22" s="124"/>
      <c r="BN22" s="124"/>
      <c r="BO22" s="124"/>
      <c r="BP22" s="124"/>
      <c r="BQ22" s="124"/>
      <c r="BR22" s="124"/>
      <c r="BS22" s="124"/>
      <c r="BT22" s="124"/>
      <c r="BU22" s="124"/>
      <c r="BV22" s="124"/>
      <c r="BW22" s="124"/>
      <c r="BX22" s="124"/>
      <c r="BY22" s="124"/>
      <c r="BZ22" s="124"/>
      <c r="CC22" s="767"/>
      <c r="CD22" s="696"/>
      <c r="CE22" s="373"/>
      <c r="CF22" s="373"/>
      <c r="CP22" s="413"/>
    </row>
    <row r="23" spans="2:94">
      <c r="B23" s="324" t="s">
        <v>172</v>
      </c>
      <c r="C23" s="325">
        <v>1843.0649616048968</v>
      </c>
      <c r="D23" s="325">
        <v>1545.0341468161712</v>
      </c>
      <c r="E23" s="325">
        <v>1232.025433447242</v>
      </c>
      <c r="F23" s="325">
        <v>1108.8863320870025</v>
      </c>
      <c r="G23" s="325">
        <v>1102.7863033523549</v>
      </c>
      <c r="H23" s="307">
        <v>1370.8075668281519</v>
      </c>
      <c r="I23" s="325">
        <v>1337.5923314348117</v>
      </c>
      <c r="J23" s="325">
        <v>1350.948578137383</v>
      </c>
      <c r="K23" s="326">
        <f t="shared" si="7"/>
        <v>10891.145653708014</v>
      </c>
      <c r="L23" s="150"/>
      <c r="M23" s="150"/>
      <c r="O23" s="89"/>
      <c r="P23" s="414"/>
      <c r="Q23" s="124"/>
      <c r="AC23" s="596"/>
      <c r="AP23" s="596"/>
      <c r="BJ23" s="413"/>
      <c r="BM23" s="124"/>
      <c r="BN23" s="124"/>
      <c r="BO23" s="124"/>
      <c r="BP23" s="124"/>
      <c r="BQ23" s="124"/>
      <c r="BR23" s="124"/>
      <c r="BS23" s="124"/>
      <c r="BT23" s="124"/>
      <c r="BU23" s="124"/>
      <c r="BV23" s="124"/>
      <c r="BW23" s="124"/>
      <c r="BX23" s="124"/>
      <c r="BY23" s="124"/>
      <c r="BZ23" s="124"/>
      <c r="CC23" s="767"/>
      <c r="CD23" s="696"/>
      <c r="CE23" s="373"/>
      <c r="CF23" s="373"/>
      <c r="CP23" s="413"/>
    </row>
    <row r="24" spans="2:94" s="124" customFormat="1" ht="16.2" customHeight="1">
      <c r="B24" s="319"/>
      <c r="C24" s="221"/>
      <c r="D24" s="221"/>
      <c r="E24" s="221"/>
      <c r="F24" s="221"/>
      <c r="G24" s="221"/>
      <c r="H24" s="149"/>
      <c r="I24" s="221"/>
      <c r="J24" s="221"/>
      <c r="K24" s="320"/>
      <c r="L24" s="150"/>
      <c r="M24" s="150"/>
      <c r="O24" s="598"/>
      <c r="P24" s="414"/>
      <c r="AC24" s="596"/>
      <c r="AP24" s="596"/>
      <c r="BJ24" s="413"/>
      <c r="CC24" s="704"/>
      <c r="CD24" s="419"/>
      <c r="CE24" s="419"/>
      <c r="CF24" s="419"/>
      <c r="CP24" s="413"/>
    </row>
    <row r="25" spans="2:94" s="124" customFormat="1">
      <c r="B25" s="327" t="s">
        <v>300</v>
      </c>
      <c r="C25" s="221">
        <v>744.8949681343546</v>
      </c>
      <c r="D25" s="221">
        <v>574.38905255692214</v>
      </c>
      <c r="E25" s="221">
        <v>526.20551814146143</v>
      </c>
      <c r="F25" s="221">
        <v>391.96648090997968</v>
      </c>
      <c r="G25" s="221">
        <v>264.64794338547506</v>
      </c>
      <c r="H25" s="149">
        <v>237.34841947999993</v>
      </c>
      <c r="I25" s="221">
        <v>320.97669410075821</v>
      </c>
      <c r="J25" s="221">
        <v>365.5264283778244</v>
      </c>
      <c r="K25" s="320">
        <f>SUM(C25:J25)</f>
        <v>3425.9555050867752</v>
      </c>
      <c r="L25" s="455" t="s">
        <v>392</v>
      </c>
      <c r="M25" s="150"/>
      <c r="O25" s="598"/>
      <c r="P25" s="414"/>
      <c r="Q25" s="249"/>
      <c r="AC25" s="596"/>
      <c r="AP25" s="596"/>
      <c r="BJ25" s="413"/>
      <c r="CC25" s="704"/>
      <c r="CD25" s="419"/>
      <c r="CE25" s="419"/>
      <c r="CF25" s="419"/>
      <c r="CP25" s="413"/>
    </row>
    <row r="26" spans="2:94" s="124" customFormat="1" ht="36.450000000000003" customHeight="1">
      <c r="B26" s="327" t="s">
        <v>301</v>
      </c>
      <c r="C26" s="221">
        <v>526.78596396419096</v>
      </c>
      <c r="D26" s="221">
        <v>285.30534779717425</v>
      </c>
      <c r="E26" s="221">
        <v>407.45071942496122</v>
      </c>
      <c r="F26" s="221">
        <v>472.24782461823725</v>
      </c>
      <c r="G26" s="221">
        <v>509.71822560779543</v>
      </c>
      <c r="H26" s="149">
        <v>463.74060985163175</v>
      </c>
      <c r="I26" s="221">
        <v>660.76332749054382</v>
      </c>
      <c r="J26" s="221">
        <v>820.58031177096927</v>
      </c>
      <c r="K26" s="320">
        <f>SUM(C26:J26)</f>
        <v>4146.5923305255037</v>
      </c>
      <c r="L26" s="455" t="s">
        <v>392</v>
      </c>
      <c r="M26" s="150"/>
      <c r="O26" s="598"/>
      <c r="P26" s="414"/>
      <c r="AC26" s="596"/>
      <c r="AP26" s="596"/>
      <c r="BJ26" s="413"/>
      <c r="CC26" s="768"/>
      <c r="CD26" s="419"/>
      <c r="CE26" s="419"/>
      <c r="CF26" s="419"/>
      <c r="CP26" s="413"/>
    </row>
    <row r="27" spans="2:94" s="124" customFormat="1">
      <c r="B27" s="327" t="s">
        <v>303</v>
      </c>
      <c r="C27" s="221">
        <v>39.922201059866708</v>
      </c>
      <c r="D27" s="221">
        <v>31.819707538674276</v>
      </c>
      <c r="E27" s="221">
        <v>41.207398084628664</v>
      </c>
      <c r="F27" s="221">
        <v>53.874171309053935</v>
      </c>
      <c r="G27" s="221">
        <v>40.354801557492635</v>
      </c>
      <c r="H27" s="149">
        <v>52.146474079999997</v>
      </c>
      <c r="I27" s="221">
        <v>58.6270852412</v>
      </c>
      <c r="J27" s="221">
        <v>39.557970106500001</v>
      </c>
      <c r="K27" s="320">
        <f>SUM(C27:J27)</f>
        <v>357.50980897741624</v>
      </c>
      <c r="L27" s="455" t="s">
        <v>392</v>
      </c>
      <c r="M27" s="150"/>
      <c r="O27" s="598"/>
      <c r="P27" s="414"/>
      <c r="AC27" s="596"/>
      <c r="AP27" s="596"/>
      <c r="BJ27" s="413"/>
      <c r="BT27" s="238" t="s">
        <v>241</v>
      </c>
      <c r="CC27" s="768"/>
      <c r="CD27" s="419"/>
      <c r="CE27" s="419"/>
      <c r="CF27" s="420"/>
      <c r="CP27" s="413"/>
    </row>
    <row r="28" spans="2:94" s="124" customFormat="1">
      <c r="B28" s="327" t="s">
        <v>302</v>
      </c>
      <c r="C28" s="221">
        <v>270.21833962365758</v>
      </c>
      <c r="D28" s="221">
        <v>296.19049891286215</v>
      </c>
      <c r="E28" s="221">
        <v>301.38351060082016</v>
      </c>
      <c r="F28" s="221">
        <v>276.49327868056974</v>
      </c>
      <c r="G28" s="221">
        <v>284.86180433479126</v>
      </c>
      <c r="H28" s="149">
        <v>302.92151224039861</v>
      </c>
      <c r="I28" s="221">
        <v>304.15551029893902</v>
      </c>
      <c r="J28" s="221">
        <v>277.88209634861119</v>
      </c>
      <c r="K28" s="320">
        <f>SUM(C28:J28)</f>
        <v>2314.1065510406497</v>
      </c>
      <c r="L28" s="455"/>
      <c r="M28" s="150"/>
      <c r="O28" s="598"/>
      <c r="P28" s="414"/>
      <c r="AC28" s="596"/>
      <c r="AP28" s="596"/>
      <c r="AT28" s="1" t="s">
        <v>51</v>
      </c>
      <c r="BJ28" s="413"/>
      <c r="BM28" s="31" t="s">
        <v>500</v>
      </c>
      <c r="BS28" s="189"/>
      <c r="CC28" s="768"/>
      <c r="CD28" s="419"/>
      <c r="CE28" s="419"/>
      <c r="CF28" s="419"/>
      <c r="CP28" s="413"/>
    </row>
    <row r="29" spans="2:94" ht="12.9" thickBot="1">
      <c r="B29" s="328" t="s">
        <v>170</v>
      </c>
      <c r="C29" s="329">
        <v>1581.8214727820698</v>
      </c>
      <c r="D29" s="329">
        <v>1187.7046068056329</v>
      </c>
      <c r="E29" s="329">
        <v>1276.2471462518715</v>
      </c>
      <c r="F29" s="329">
        <v>1194.5817555178405</v>
      </c>
      <c r="G29" s="329">
        <v>1099.5827748855545</v>
      </c>
      <c r="H29" s="309">
        <v>1056.1570156520302</v>
      </c>
      <c r="I29" s="329">
        <v>1344.5226171314412</v>
      </c>
      <c r="J29" s="329">
        <v>1503.5468066039048</v>
      </c>
      <c r="K29" s="330">
        <f t="shared" si="7"/>
        <v>10244.164195630347</v>
      </c>
      <c r="L29" s="536">
        <f>(K29-K17)/K17</f>
        <v>-0.21442852863393905</v>
      </c>
      <c r="M29" s="153"/>
      <c r="O29" s="598"/>
      <c r="P29" s="414"/>
      <c r="AC29" s="596"/>
      <c r="AM29" s="124"/>
      <c r="AN29" s="124"/>
      <c r="AP29" s="596"/>
      <c r="AT29" s="124"/>
      <c r="AU29" s="124"/>
      <c r="AV29" s="124"/>
      <c r="AW29" s="124"/>
      <c r="AX29" s="124"/>
      <c r="AY29" s="124"/>
      <c r="AZ29" s="238" t="s">
        <v>241</v>
      </c>
      <c r="BA29" s="124"/>
      <c r="BB29" s="124"/>
      <c r="BC29" s="124"/>
      <c r="BD29" s="124"/>
      <c r="BE29" s="124"/>
      <c r="BJ29" s="413"/>
      <c r="BM29" s="124"/>
      <c r="BN29" s="124"/>
      <c r="BO29" s="124"/>
      <c r="BP29" s="124"/>
      <c r="BQ29" s="124"/>
      <c r="BR29" s="124"/>
      <c r="BS29" s="124"/>
      <c r="BT29" s="124"/>
      <c r="BU29" s="124"/>
      <c r="BV29" s="124"/>
      <c r="BW29" s="235">
        <f>SUM(BN32:BU33)</f>
        <v>16323.333007087791</v>
      </c>
      <c r="BX29" s="124"/>
      <c r="BY29" s="124"/>
      <c r="BZ29" s="124"/>
      <c r="CC29" s="768"/>
      <c r="CD29" s="419"/>
      <c r="CE29" s="419"/>
      <c r="CF29" s="419"/>
      <c r="CP29" s="413"/>
    </row>
    <row r="30" spans="2:94" ht="12.9" thickBot="1">
      <c r="C30" s="151"/>
      <c r="D30" s="151"/>
      <c r="E30" s="151"/>
      <c r="F30" s="151"/>
      <c r="G30" s="151"/>
      <c r="H30" s="223"/>
      <c r="I30" s="151"/>
      <c r="J30" s="151"/>
      <c r="K30" s="151"/>
      <c r="L30" s="457"/>
      <c r="M30" s="151"/>
      <c r="O30" s="598"/>
      <c r="P30" s="414"/>
      <c r="AC30" s="596"/>
      <c r="AP30" s="596"/>
      <c r="AT30" s="124" t="str">
        <f>R37</f>
        <v>2018/19 prices</v>
      </c>
      <c r="AU30" s="144" t="s">
        <v>131</v>
      </c>
      <c r="AV30" s="144" t="s">
        <v>131</v>
      </c>
      <c r="AW30" s="144" t="s">
        <v>131</v>
      </c>
      <c r="AX30" s="144" t="s">
        <v>131</v>
      </c>
      <c r="AY30" s="144" t="s">
        <v>131</v>
      </c>
      <c r="AZ30" s="215" t="s">
        <v>131</v>
      </c>
      <c r="BA30" s="144" t="s">
        <v>132</v>
      </c>
      <c r="BB30" s="144" t="s">
        <v>132</v>
      </c>
      <c r="BC30" s="124"/>
      <c r="BD30" s="124"/>
      <c r="BE30" s="124"/>
      <c r="BJ30" s="413"/>
      <c r="BM30" s="124" t="str">
        <f>AK37</f>
        <v>ACTUAL</v>
      </c>
      <c r="BN30" s="144" t="s">
        <v>131</v>
      </c>
      <c r="BO30" s="144" t="s">
        <v>131</v>
      </c>
      <c r="BP30" s="144" t="s">
        <v>131</v>
      </c>
      <c r="BQ30" s="144" t="s">
        <v>131</v>
      </c>
      <c r="BR30" s="144" t="s">
        <v>131</v>
      </c>
      <c r="BS30" s="215" t="s">
        <v>131</v>
      </c>
      <c r="BT30" s="144" t="s">
        <v>132</v>
      </c>
      <c r="BU30" s="144" t="s">
        <v>132</v>
      </c>
      <c r="BV30" s="124"/>
      <c r="BW30" s="235">
        <f>SUM(BN34:BU34)</f>
        <v>19450.174946692143</v>
      </c>
      <c r="BX30" s="124"/>
      <c r="BY30" s="124"/>
      <c r="BZ30" s="124"/>
      <c r="CC30" s="89"/>
      <c r="CD30" s="89"/>
      <c r="CE30" s="89"/>
      <c r="CF30" s="89"/>
      <c r="CP30" s="413"/>
    </row>
    <row r="31" spans="2:94">
      <c r="B31" s="331" t="s">
        <v>1</v>
      </c>
      <c r="C31" s="332" t="s">
        <v>131</v>
      </c>
      <c r="D31" s="332" t="s">
        <v>131</v>
      </c>
      <c r="E31" s="332" t="s">
        <v>131</v>
      </c>
      <c r="F31" s="332" t="s">
        <v>131</v>
      </c>
      <c r="G31" s="332" t="s">
        <v>131</v>
      </c>
      <c r="H31" s="333" t="s">
        <v>131</v>
      </c>
      <c r="I31" s="332" t="s">
        <v>132</v>
      </c>
      <c r="J31" s="332" t="s">
        <v>132</v>
      </c>
      <c r="K31" s="334"/>
      <c r="L31" s="457"/>
      <c r="M31" s="151"/>
      <c r="N31" s="249"/>
      <c r="O31" s="598"/>
      <c r="P31" s="414"/>
      <c r="AC31" s="596"/>
      <c r="AP31" s="596"/>
      <c r="AT31" s="124"/>
      <c r="AU31" s="205">
        <v>2014</v>
      </c>
      <c r="AV31" s="205">
        <v>2015</v>
      </c>
      <c r="AW31" s="205">
        <v>2016</v>
      </c>
      <c r="AX31" s="205">
        <v>2017</v>
      </c>
      <c r="AY31" s="206">
        <v>2018</v>
      </c>
      <c r="AZ31" s="216">
        <v>2019</v>
      </c>
      <c r="BA31" s="210">
        <v>2020</v>
      </c>
      <c r="BB31" s="205">
        <v>2021</v>
      </c>
      <c r="BC31" s="124"/>
      <c r="BD31" s="124"/>
      <c r="BE31" s="124"/>
      <c r="BJ31" s="413"/>
      <c r="BM31" s="124"/>
      <c r="BN31" s="205">
        <v>2014</v>
      </c>
      <c r="BO31" s="205">
        <v>2015</v>
      </c>
      <c r="BP31" s="205">
        <v>2016</v>
      </c>
      <c r="BQ31" s="205">
        <v>2017</v>
      </c>
      <c r="BR31" s="206">
        <v>2018</v>
      </c>
      <c r="BS31" s="216">
        <v>2019</v>
      </c>
      <c r="BT31" s="210">
        <v>2020</v>
      </c>
      <c r="BU31" s="205">
        <v>2021</v>
      </c>
      <c r="BV31" s="124"/>
      <c r="BW31" s="235"/>
      <c r="BX31" s="124"/>
      <c r="BY31" s="124"/>
      <c r="BZ31" s="124"/>
      <c r="CP31" s="413"/>
    </row>
    <row r="32" spans="2:94">
      <c r="B32" s="316"/>
      <c r="C32" s="335">
        <v>2014</v>
      </c>
      <c r="D32" s="335">
        <v>2015</v>
      </c>
      <c r="E32" s="335">
        <v>2016</v>
      </c>
      <c r="F32" s="335">
        <v>2017</v>
      </c>
      <c r="G32" s="335">
        <v>2018</v>
      </c>
      <c r="H32" s="224">
        <v>2019</v>
      </c>
      <c r="I32" s="335">
        <v>2020</v>
      </c>
      <c r="J32" s="335">
        <v>2021</v>
      </c>
      <c r="K32" s="336" t="s">
        <v>52</v>
      </c>
      <c r="L32" s="456"/>
      <c r="M32" s="153"/>
      <c r="N32" s="249"/>
      <c r="O32" s="89"/>
      <c r="P32" s="414"/>
      <c r="AC32" s="596"/>
      <c r="AP32" s="596"/>
      <c r="AT32" s="47" t="s">
        <v>6</v>
      </c>
      <c r="AU32" s="4">
        <f t="shared" ref="AU32:AZ32" si="8">AU6</f>
        <v>196.38302580721339</v>
      </c>
      <c r="AV32" s="4">
        <f t="shared" si="8"/>
        <v>373.63621689329955</v>
      </c>
      <c r="AW32" s="4">
        <f t="shared" si="8"/>
        <v>572.07752166658429</v>
      </c>
      <c r="AX32" s="4">
        <f t="shared" si="8"/>
        <v>493.51051402403232</v>
      </c>
      <c r="AY32" s="207">
        <f t="shared" si="8"/>
        <v>444.10980902322922</v>
      </c>
      <c r="AZ32" s="217">
        <f t="shared" si="8"/>
        <v>345.36469510887093</v>
      </c>
      <c r="BA32" s="124"/>
      <c r="BB32" s="124"/>
      <c r="BJ32" s="413"/>
      <c r="BM32" s="47" t="s">
        <v>6</v>
      </c>
      <c r="BN32" s="4">
        <f t="shared" ref="BN32:BS32" si="9">S6+AF6+AU32</f>
        <v>2047.8379818564276</v>
      </c>
      <c r="BO32" s="4">
        <f t="shared" si="9"/>
        <v>1870.2002110607255</v>
      </c>
      <c r="BP32" s="4">
        <f t="shared" si="9"/>
        <v>2236.6471537890984</v>
      </c>
      <c r="BQ32" s="4">
        <f t="shared" si="9"/>
        <v>2057.6306593188856</v>
      </c>
      <c r="BR32" s="207">
        <f t="shared" si="9"/>
        <v>1789.7867209149144</v>
      </c>
      <c r="BS32" s="217">
        <f t="shared" si="9"/>
        <v>1589.2090690295759</v>
      </c>
      <c r="BT32" s="212">
        <f>BA32+Y39+AL39</f>
        <v>0</v>
      </c>
      <c r="BU32" s="4">
        <f>BB32+Z39+AM39</f>
        <v>0</v>
      </c>
      <c r="BV32" s="124"/>
      <c r="BW32" s="348"/>
      <c r="BX32" s="124"/>
      <c r="BY32" s="124"/>
      <c r="BZ32" s="124"/>
      <c r="CP32" s="413"/>
    </row>
    <row r="33" spans="2:94">
      <c r="B33" s="337" t="s">
        <v>168</v>
      </c>
      <c r="C33" s="221">
        <v>312.34545607660476</v>
      </c>
      <c r="D33" s="221">
        <v>391.51171203566685</v>
      </c>
      <c r="E33" s="221">
        <v>294.51880822061969</v>
      </c>
      <c r="F33" s="221">
        <v>147.41754109602664</v>
      </c>
      <c r="G33" s="221">
        <v>193.15526846736498</v>
      </c>
      <c r="H33" s="149">
        <v>209.94175520748794</v>
      </c>
      <c r="I33" s="221">
        <v>175.91628794609224</v>
      </c>
      <c r="J33" s="221">
        <v>74.29310458784434</v>
      </c>
      <c r="K33" s="320">
        <f>SUM(C33:J33)</f>
        <v>1799.0999336377074</v>
      </c>
      <c r="L33" s="455"/>
      <c r="M33" s="150"/>
      <c r="N33" s="249"/>
      <c r="O33" s="598"/>
      <c r="P33" s="414"/>
      <c r="AC33" s="596"/>
      <c r="AP33" s="596"/>
      <c r="AT33" s="47" t="s">
        <v>77</v>
      </c>
      <c r="AU33" s="2"/>
      <c r="AV33" s="2"/>
      <c r="AW33" s="2"/>
      <c r="AX33" s="48"/>
      <c r="AY33" s="208"/>
      <c r="AZ33" s="218"/>
      <c r="BA33" s="213">
        <f>BA7</f>
        <v>426.93614741957992</v>
      </c>
      <c r="BB33" s="48">
        <f>BB7</f>
        <v>940.91078485912226</v>
      </c>
      <c r="BD33" s="235">
        <f>SUM(AU32:BB33)</f>
        <v>3792.9287148019312</v>
      </c>
      <c r="BE33" s="235"/>
      <c r="BJ33" s="413"/>
      <c r="BM33" s="47" t="s">
        <v>77</v>
      </c>
      <c r="BN33" s="4">
        <f t="shared" ref="BN33:BS33" si="10">AU33+S40+AF40</f>
        <v>0</v>
      </c>
      <c r="BO33" s="4">
        <f t="shared" si="10"/>
        <v>0</v>
      </c>
      <c r="BP33" s="4">
        <f t="shared" si="10"/>
        <v>0</v>
      </c>
      <c r="BQ33" s="4">
        <f t="shared" si="10"/>
        <v>0</v>
      </c>
      <c r="BR33" s="207">
        <f t="shared" si="10"/>
        <v>0</v>
      </c>
      <c r="BS33" s="217">
        <f t="shared" si="10"/>
        <v>0</v>
      </c>
      <c r="BT33" s="212">
        <f>Y7+AL7+BA33</f>
        <v>2021.2989707429729</v>
      </c>
      <c r="BU33" s="4">
        <f>Z7+AM7+BB33</f>
        <v>2710.7222403751912</v>
      </c>
      <c r="BV33" s="124"/>
      <c r="BW33" s="124"/>
      <c r="BX33" s="124"/>
      <c r="BY33" s="124"/>
      <c r="BZ33" s="124"/>
      <c r="CP33" s="413"/>
    </row>
    <row r="34" spans="2:94" ht="12.9" thickBot="1">
      <c r="B34" s="321" t="s">
        <v>169</v>
      </c>
      <c r="C34" s="322">
        <v>410.11873690495685</v>
      </c>
      <c r="D34" s="322">
        <v>514.06635089381587</v>
      </c>
      <c r="E34" s="322">
        <v>386.71182587195955</v>
      </c>
      <c r="F34" s="322">
        <v>193.56355143232537</v>
      </c>
      <c r="G34" s="322">
        <v>253.61852778465001</v>
      </c>
      <c r="H34" s="308">
        <v>275.65967679128892</v>
      </c>
      <c r="I34" s="322">
        <v>230.98324118333136</v>
      </c>
      <c r="J34" s="322">
        <v>97.5490234339822</v>
      </c>
      <c r="K34" s="323">
        <f t="shared" ref="K34:K46" si="11">SUM(C34:J34)</f>
        <v>2362.2709342963099</v>
      </c>
      <c r="L34" s="455"/>
      <c r="M34" s="150"/>
      <c r="N34" s="249"/>
      <c r="O34" s="598"/>
      <c r="P34" s="414"/>
      <c r="AC34" s="596"/>
      <c r="AP34" s="596"/>
      <c r="AT34" s="2" t="s">
        <v>78</v>
      </c>
      <c r="AU34" s="49">
        <f t="shared" ref="AU34:AZ34" si="12">AU8</f>
        <v>263.93933533272536</v>
      </c>
      <c r="AV34" s="49">
        <f t="shared" si="12"/>
        <v>462.62723954291118</v>
      </c>
      <c r="AW34" s="49">
        <f t="shared" si="12"/>
        <v>876.38530297672946</v>
      </c>
      <c r="AX34" s="49">
        <f t="shared" si="12"/>
        <v>738.50993836624161</v>
      </c>
      <c r="AY34" s="49">
        <f t="shared" si="12"/>
        <v>480.18537511847865</v>
      </c>
      <c r="AZ34" s="220">
        <f t="shared" si="12"/>
        <v>263.79201078756489</v>
      </c>
      <c r="BA34" s="214">
        <f>BA8+BA52</f>
        <v>273.7686265986224</v>
      </c>
      <c r="BB34" s="214">
        <f>BB8+BB52</f>
        <v>688.29875450374448</v>
      </c>
      <c r="BC34" s="124"/>
      <c r="BD34" s="235">
        <f>SUM(AU34:BB34)</f>
        <v>4047.5065832270179</v>
      </c>
      <c r="BE34" s="235"/>
      <c r="BF34" s="235"/>
      <c r="BJ34" s="413"/>
      <c r="BM34" s="2" t="s">
        <v>78</v>
      </c>
      <c r="BN34" s="4">
        <f t="shared" ref="BN34:BS34" si="13">S8+AF8+AU34</f>
        <v>2769.7389285287254</v>
      </c>
      <c r="BO34" s="4">
        <f t="shared" si="13"/>
        <v>2779.8583548474226</v>
      </c>
      <c r="BP34" s="4">
        <f t="shared" si="13"/>
        <v>2763.0379835398826</v>
      </c>
      <c r="BQ34" s="4">
        <f t="shared" si="13"/>
        <v>2311.4804155067441</v>
      </c>
      <c r="BR34" s="207">
        <f t="shared" si="13"/>
        <v>2109.2498914064795</v>
      </c>
      <c r="BS34" s="229">
        <f t="shared" si="13"/>
        <v>2183.9725698028183</v>
      </c>
      <c r="BT34" s="212">
        <f>Y8+AL8+BA34</f>
        <v>2118.7829442562543</v>
      </c>
      <c r="BU34" s="4">
        <f>Z8+AM8+BB34</f>
        <v>2414.0538588038185</v>
      </c>
      <c r="BV34" s="124"/>
      <c r="BW34" s="124"/>
      <c r="BX34" s="124"/>
      <c r="BY34" s="124"/>
      <c r="BZ34" s="124"/>
      <c r="CP34" s="413"/>
    </row>
    <row r="35" spans="2:94" s="124" customFormat="1">
      <c r="B35" s="319"/>
      <c r="C35" s="221"/>
      <c r="D35" s="221"/>
      <c r="E35" s="221"/>
      <c r="F35" s="221"/>
      <c r="G35" s="221"/>
      <c r="H35" s="149"/>
      <c r="I35" s="221"/>
      <c r="J35" s="221"/>
      <c r="K35" s="320"/>
      <c r="L35" s="455"/>
      <c r="M35" s="150"/>
      <c r="N35" s="249"/>
      <c r="O35" s="598"/>
      <c r="P35" s="414"/>
      <c r="R35" s="1" t="s">
        <v>286</v>
      </c>
      <c r="AC35" s="596"/>
      <c r="AE35" s="1" t="s">
        <v>1</v>
      </c>
      <c r="AP35" s="596"/>
      <c r="BD35" s="235"/>
      <c r="BJ35" s="413"/>
      <c r="CP35" s="413"/>
    </row>
    <row r="36" spans="2:94" s="124" customFormat="1" ht="27" customHeight="1" thickBot="1">
      <c r="B36" s="319" t="s">
        <v>297</v>
      </c>
      <c r="C36" s="221">
        <v>298.37255386944298</v>
      </c>
      <c r="D36" s="221">
        <v>399.43171518662786</v>
      </c>
      <c r="E36" s="221">
        <v>269.45843652784038</v>
      </c>
      <c r="F36" s="221">
        <v>42.835008118509478</v>
      </c>
      <c r="G36" s="221">
        <v>104.49675648738297</v>
      </c>
      <c r="H36" s="149">
        <v>129.85987659056545</v>
      </c>
      <c r="I36" s="221">
        <v>74.573616618899393</v>
      </c>
      <c r="J36" s="221">
        <v>-33.99319076929438</v>
      </c>
      <c r="K36" s="320">
        <f t="shared" si="11"/>
        <v>1285.034772629974</v>
      </c>
      <c r="L36" s="455"/>
      <c r="M36" s="569"/>
      <c r="N36" s="249"/>
      <c r="O36" s="598"/>
      <c r="P36" s="414"/>
      <c r="V36" s="238" t="s">
        <v>241</v>
      </c>
      <c r="AC36" s="596"/>
      <c r="AF36"/>
      <c r="AG36"/>
      <c r="AH36"/>
      <c r="AI36"/>
      <c r="AJ36"/>
      <c r="AK36" s="238" t="s">
        <v>241</v>
      </c>
      <c r="AL36"/>
      <c r="AM36"/>
      <c r="AN36"/>
      <c r="AP36" s="596"/>
      <c r="AT36" s="581" t="s">
        <v>545</v>
      </c>
      <c r="BJ36" s="413"/>
      <c r="BU36" s="1" t="s">
        <v>220</v>
      </c>
      <c r="CP36" s="413"/>
    </row>
    <row r="37" spans="2:94" s="124" customFormat="1">
      <c r="B37" s="319" t="s">
        <v>298</v>
      </c>
      <c r="C37" s="221">
        <v>87.717746766154491</v>
      </c>
      <c r="D37" s="221">
        <v>90.474896507395016</v>
      </c>
      <c r="E37" s="221">
        <v>92.568438422591498</v>
      </c>
      <c r="F37" s="221">
        <v>121.46796417642354</v>
      </c>
      <c r="G37" s="221">
        <v>120.80869713868933</v>
      </c>
      <c r="H37" s="149">
        <v>118.0108403909405</v>
      </c>
      <c r="I37" s="221">
        <v>127.17640822937884</v>
      </c>
      <c r="J37" s="221">
        <v>102.84056873822402</v>
      </c>
      <c r="K37" s="320">
        <f t="shared" si="11"/>
        <v>861.06556036979714</v>
      </c>
      <c r="L37" s="455"/>
      <c r="M37" s="569"/>
      <c r="N37" s="249"/>
      <c r="O37" s="598"/>
      <c r="P37" s="414"/>
      <c r="R37" s="124" t="s">
        <v>173</v>
      </c>
      <c r="S37" s="144" t="s">
        <v>131</v>
      </c>
      <c r="T37" s="144" t="s">
        <v>131</v>
      </c>
      <c r="U37" s="144" t="s">
        <v>131</v>
      </c>
      <c r="V37" s="144" t="s">
        <v>131</v>
      </c>
      <c r="W37" s="144" t="s">
        <v>131</v>
      </c>
      <c r="X37" s="215" t="s">
        <v>131</v>
      </c>
      <c r="Y37" s="144" t="s">
        <v>132</v>
      </c>
      <c r="Z37" s="144" t="s">
        <v>132</v>
      </c>
      <c r="AA37" s="528"/>
      <c r="AB37" s="528"/>
      <c r="AC37" s="596"/>
      <c r="AE37" s="124" t="str">
        <f>R37</f>
        <v>2018/19 prices</v>
      </c>
      <c r="AF37" s="144" t="s">
        <v>131</v>
      </c>
      <c r="AG37" s="144" t="s">
        <v>131</v>
      </c>
      <c r="AH37" s="144" t="s">
        <v>131</v>
      </c>
      <c r="AI37" s="144" t="s">
        <v>131</v>
      </c>
      <c r="AJ37" s="144" t="s">
        <v>131</v>
      </c>
      <c r="AK37" s="215" t="s">
        <v>131</v>
      </c>
      <c r="AL37" s="144" t="s">
        <v>132</v>
      </c>
      <c r="AM37" s="144" t="s">
        <v>132</v>
      </c>
      <c r="AN37"/>
      <c r="AP37" s="596"/>
      <c r="BJ37" s="413"/>
      <c r="BU37" s="124" t="s">
        <v>264</v>
      </c>
      <c r="CP37" s="413"/>
    </row>
    <row r="38" spans="2:94" s="124" customFormat="1">
      <c r="B38" s="319" t="s">
        <v>299</v>
      </c>
      <c r="C38" s="221">
        <v>1.1817263739029238</v>
      </c>
      <c r="D38" s="221">
        <v>1.1817263739029238</v>
      </c>
      <c r="E38" s="221">
        <v>1.1817263739029238</v>
      </c>
      <c r="F38" s="221">
        <v>1.1817263739029238</v>
      </c>
      <c r="G38" s="221">
        <v>1.1817263739029238</v>
      </c>
      <c r="H38" s="149">
        <v>1.1817263739029238</v>
      </c>
      <c r="I38" s="221">
        <v>1.1817263739029238</v>
      </c>
      <c r="J38" s="221">
        <v>1.1817263739029238</v>
      </c>
      <c r="K38" s="320">
        <f t="shared" si="11"/>
        <v>9.4538109912233903</v>
      </c>
      <c r="L38" s="455"/>
      <c r="M38" s="569"/>
      <c r="N38" s="249"/>
      <c r="O38" s="598"/>
      <c r="P38" s="414"/>
      <c r="S38" s="205">
        <v>2014</v>
      </c>
      <c r="T38" s="205">
        <v>2015</v>
      </c>
      <c r="U38" s="205">
        <v>2016</v>
      </c>
      <c r="V38" s="205">
        <v>2017</v>
      </c>
      <c r="W38" s="206">
        <v>2018</v>
      </c>
      <c r="X38" s="230">
        <v>2019</v>
      </c>
      <c r="Y38" s="210">
        <v>2020</v>
      </c>
      <c r="Z38" s="205">
        <v>2021</v>
      </c>
      <c r="AC38" s="596"/>
      <c r="AF38" s="205">
        <v>2014</v>
      </c>
      <c r="AG38" s="205">
        <v>2015</v>
      </c>
      <c r="AH38" s="205">
        <v>2016</v>
      </c>
      <c r="AI38" s="205">
        <v>2017</v>
      </c>
      <c r="AJ38" s="206">
        <v>2018</v>
      </c>
      <c r="AK38" s="216">
        <v>2019</v>
      </c>
      <c r="AL38" s="210">
        <v>2020</v>
      </c>
      <c r="AM38" s="205">
        <v>2021</v>
      </c>
      <c r="AN38"/>
      <c r="AP38" s="596"/>
      <c r="BJ38" s="413"/>
      <c r="BU38" s="124" t="s">
        <v>504</v>
      </c>
      <c r="CP38" s="413"/>
    </row>
    <row r="39" spans="2:94">
      <c r="B39" s="324" t="s">
        <v>171</v>
      </c>
      <c r="C39" s="325">
        <v>22.846709895456531</v>
      </c>
      <c r="D39" s="325">
        <v>22.978012825890186</v>
      </c>
      <c r="E39" s="325">
        <v>23.503224547624821</v>
      </c>
      <c r="F39" s="325">
        <v>28.078852763489444</v>
      </c>
      <c r="G39" s="325">
        <v>27.131347784674766</v>
      </c>
      <c r="H39" s="307">
        <v>26.607233435880062</v>
      </c>
      <c r="I39" s="325">
        <v>28.051489961150203</v>
      </c>
      <c r="J39" s="325">
        <v>27.51991909114966</v>
      </c>
      <c r="K39" s="326">
        <f t="shared" si="11"/>
        <v>206.71679030531567</v>
      </c>
      <c r="L39" s="455"/>
      <c r="M39" s="569"/>
      <c r="N39" s="249"/>
      <c r="O39" s="598"/>
      <c r="P39" s="414"/>
      <c r="R39" s="47" t="s">
        <v>6</v>
      </c>
      <c r="S39" s="4">
        <f t="shared" ref="S39:X39" si="14">S6</f>
        <v>1581.8214727820698</v>
      </c>
      <c r="T39" s="4">
        <f t="shared" si="14"/>
        <v>1187.7046068056329</v>
      </c>
      <c r="U39" s="4">
        <f t="shared" si="14"/>
        <v>1276.2471462518715</v>
      </c>
      <c r="V39" s="4">
        <f t="shared" si="14"/>
        <v>1194.5817555178405</v>
      </c>
      <c r="W39" s="207">
        <f t="shared" si="14"/>
        <v>1099.5827748855545</v>
      </c>
      <c r="X39" s="231">
        <f t="shared" si="14"/>
        <v>1056.1570156520302</v>
      </c>
      <c r="Y39" s="124"/>
      <c r="Z39" s="124"/>
      <c r="AC39" s="596"/>
      <c r="AE39" s="47" t="s">
        <v>6</v>
      </c>
      <c r="AF39" s="4">
        <f>AF6</f>
        <v>269.63348326714441</v>
      </c>
      <c r="AG39" s="4">
        <f>AG6</f>
        <v>308.8593873617931</v>
      </c>
      <c r="AH39" s="4">
        <f>AH6</f>
        <v>388.32248587064237</v>
      </c>
      <c r="AI39" s="4">
        <f>AI6</f>
        <v>369.5383897770127</v>
      </c>
      <c r="AJ39" s="4">
        <f>AJ6</f>
        <v>246.09413700613075</v>
      </c>
      <c r="AK39" s="217">
        <f>AK6-AL51</f>
        <v>186.94107354867478</v>
      </c>
      <c r="AL39" s="124"/>
      <c r="AM39" s="124"/>
      <c r="AP39" s="596"/>
      <c r="BJ39" s="413"/>
      <c r="BU39" s="124" t="s">
        <v>385</v>
      </c>
      <c r="BV39" s="124"/>
      <c r="BW39" s="124"/>
      <c r="CF39" s="124"/>
      <c r="CG39" s="124"/>
      <c r="CH39" s="124"/>
      <c r="CP39" s="413"/>
    </row>
    <row r="40" spans="2:94">
      <c r="B40" s="324" t="s">
        <v>172</v>
      </c>
      <c r="C40" s="325">
        <v>387.27202700950033</v>
      </c>
      <c r="D40" s="325">
        <v>491.08833806792575</v>
      </c>
      <c r="E40" s="325">
        <v>363.20860132433478</v>
      </c>
      <c r="F40" s="325">
        <v>165.48469866883593</v>
      </c>
      <c r="G40" s="325">
        <v>226.48717999997524</v>
      </c>
      <c r="H40" s="307">
        <v>249.05244335540891</v>
      </c>
      <c r="I40" s="325">
        <v>202.93175122218116</v>
      </c>
      <c r="J40" s="325">
        <v>70.029104342832554</v>
      </c>
      <c r="K40" s="326">
        <f t="shared" si="11"/>
        <v>2155.5541439909948</v>
      </c>
      <c r="L40" s="455"/>
      <c r="M40" s="150"/>
      <c r="N40" s="249"/>
      <c r="O40" s="598"/>
      <c r="P40" s="414"/>
      <c r="R40" s="47" t="s">
        <v>77</v>
      </c>
      <c r="S40" s="2"/>
      <c r="T40" s="2"/>
      <c r="U40" s="2"/>
      <c r="V40" s="48"/>
      <c r="W40" s="208"/>
      <c r="X40" s="232"/>
      <c r="Y40" s="211">
        <f>Y7</f>
        <v>1344.5226171314412</v>
      </c>
      <c r="Z40" s="154">
        <f>Z7</f>
        <v>1503.5468066039048</v>
      </c>
      <c r="AB40" s="235">
        <f>SUM(S39:Z40)</f>
        <v>10244.164195630347</v>
      </c>
      <c r="AC40" s="596"/>
      <c r="AE40" s="47" t="s">
        <v>77</v>
      </c>
      <c r="AF40" s="2"/>
      <c r="AG40" s="2"/>
      <c r="AH40" s="2"/>
      <c r="AI40" s="2"/>
      <c r="AJ40" s="2"/>
      <c r="AK40" s="218"/>
      <c r="AL40" s="213">
        <f>AL7-AM51</f>
        <v>237.717470981952</v>
      </c>
      <c r="AM40" s="48">
        <f>AM7-AN51</f>
        <v>258.3743002821638</v>
      </c>
      <c r="AO40" s="235">
        <f>SUM(AF39:AM40)</f>
        <v>2265.4807280955138</v>
      </c>
      <c r="AP40" s="596"/>
      <c r="BJ40" s="413"/>
      <c r="BU40" s="733" t="s">
        <v>512</v>
      </c>
      <c r="BV40" s="733"/>
      <c r="BW40" s="733"/>
      <c r="CF40" s="124"/>
      <c r="CG40" s="124"/>
      <c r="CH40" s="124"/>
      <c r="CP40" s="413"/>
    </row>
    <row r="41" spans="2:94" s="124" customFormat="1" ht="12.9" thickBot="1">
      <c r="B41" s="319"/>
      <c r="C41" s="221"/>
      <c r="D41" s="221"/>
      <c r="E41" s="221"/>
      <c r="F41" s="221"/>
      <c r="G41" s="221"/>
      <c r="H41" s="149"/>
      <c r="I41" s="221"/>
      <c r="J41" s="221"/>
      <c r="K41" s="320"/>
      <c r="L41" s="455"/>
      <c r="M41" s="150"/>
      <c r="N41" s="249"/>
      <c r="O41" s="89"/>
      <c r="P41" s="414"/>
      <c r="R41" s="2" t="s">
        <v>78</v>
      </c>
      <c r="S41" s="4">
        <v>2095.6808562910433</v>
      </c>
      <c r="T41" s="4">
        <v>1803.1647644106956</v>
      </c>
      <c r="U41" s="4">
        <v>1499.9408546911934</v>
      </c>
      <c r="V41" s="4">
        <v>1379.4069257081771</v>
      </c>
      <c r="W41" s="207">
        <v>1375.4459885033509</v>
      </c>
      <c r="X41" s="229">
        <v>1644.5208822239645</v>
      </c>
      <c r="Y41" s="212">
        <f>Y8-X57</f>
        <v>1929.1581095150802</v>
      </c>
      <c r="Z41" s="212">
        <f>Z8-Y57</f>
        <v>1943.3331139068714</v>
      </c>
      <c r="AB41" s="235">
        <f>SUM(S41:Z41)</f>
        <v>13670.651495250375</v>
      </c>
      <c r="AC41" s="596"/>
      <c r="AE41" s="2" t="s">
        <v>78</v>
      </c>
      <c r="AF41" s="49">
        <f t="shared" ref="AF41:AM41" si="15">AF8</f>
        <v>410.11873690495685</v>
      </c>
      <c r="AG41" s="49">
        <f t="shared" si="15"/>
        <v>514.06635089381587</v>
      </c>
      <c r="AH41" s="49">
        <f t="shared" si="15"/>
        <v>386.71182587195955</v>
      </c>
      <c r="AI41" s="49">
        <f t="shared" si="15"/>
        <v>193.56355143232537</v>
      </c>
      <c r="AJ41" s="49">
        <f t="shared" si="15"/>
        <v>253.61852778465001</v>
      </c>
      <c r="AK41" s="220">
        <f t="shared" si="15"/>
        <v>275.65967679128892</v>
      </c>
      <c r="AL41" s="214">
        <f t="shared" si="15"/>
        <v>230.98324118333136</v>
      </c>
      <c r="AM41" s="49">
        <f t="shared" si="15"/>
        <v>97.5490234339822</v>
      </c>
      <c r="AN41"/>
      <c r="AO41" s="235">
        <f>SUM(AF41:AM41)</f>
        <v>2362.2709342963099</v>
      </c>
      <c r="AP41" s="596"/>
      <c r="BJ41" s="413"/>
      <c r="BU41" s="733"/>
      <c r="BV41" s="733"/>
      <c r="BW41" s="733"/>
      <c r="CP41" s="413"/>
    </row>
    <row r="42" spans="2:94" s="124" customFormat="1" ht="15.9">
      <c r="B42" s="327" t="s">
        <v>300</v>
      </c>
      <c r="C42" s="221">
        <v>138.0077699821918</v>
      </c>
      <c r="D42" s="221">
        <v>186.91254490150442</v>
      </c>
      <c r="E42" s="221">
        <v>290.47790426179529</v>
      </c>
      <c r="F42" s="221">
        <v>244.23745800782618</v>
      </c>
      <c r="G42" s="221">
        <v>137.4289885923958</v>
      </c>
      <c r="H42" s="149">
        <v>63.136433753123939</v>
      </c>
      <c r="I42" s="221">
        <v>75.973723223335696</v>
      </c>
      <c r="J42" s="221">
        <v>90.462363742062564</v>
      </c>
      <c r="K42" s="320">
        <f>SUM(C42:J42)</f>
        <v>1226.6371864642358</v>
      </c>
      <c r="L42" s="455" t="s">
        <v>392</v>
      </c>
      <c r="M42" s="150"/>
      <c r="N42" s="249"/>
      <c r="O42" s="619"/>
      <c r="P42" s="414"/>
      <c r="Q42" s="249"/>
      <c r="X42" s="189"/>
      <c r="AC42" s="596"/>
      <c r="AP42" s="596"/>
      <c r="BJ42" s="413"/>
      <c r="BU42" s="733"/>
      <c r="BV42" s="733"/>
      <c r="BW42" s="733"/>
      <c r="CP42" s="413"/>
    </row>
    <row r="43" spans="2:94" s="124" customFormat="1">
      <c r="B43" s="327" t="s">
        <v>301</v>
      </c>
      <c r="C43" s="221">
        <v>103.5755707640442</v>
      </c>
      <c r="D43" s="221">
        <v>92.324533820769631</v>
      </c>
      <c r="E43" s="221">
        <v>62.110161112471474</v>
      </c>
      <c r="F43" s="221">
        <v>85.895716120068514</v>
      </c>
      <c r="G43" s="221">
        <v>76.299241850486595</v>
      </c>
      <c r="H43" s="149">
        <v>86.896956352133515</v>
      </c>
      <c r="I43" s="221">
        <v>124.94455848843693</v>
      </c>
      <c r="J43" s="221">
        <v>128.61678553626459</v>
      </c>
      <c r="K43" s="320">
        <f>SUM(C43:J43)</f>
        <v>760.66352404467546</v>
      </c>
      <c r="L43" s="455" t="s">
        <v>392</v>
      </c>
      <c r="M43" s="150"/>
      <c r="N43" s="249"/>
      <c r="O43" s="598"/>
      <c r="P43" s="414"/>
      <c r="R43" s="31" t="s">
        <v>234</v>
      </c>
      <c r="AC43" s="596"/>
      <c r="AE43" s="31" t="s">
        <v>277</v>
      </c>
      <c r="AP43" s="596"/>
      <c r="BJ43" s="413"/>
      <c r="BT43" s="1"/>
      <c r="BU43" s="733"/>
      <c r="BV43" s="733"/>
      <c r="BW43" s="733"/>
      <c r="CP43" s="413"/>
    </row>
    <row r="44" spans="2:94" s="124" customFormat="1">
      <c r="B44" s="327" t="s">
        <v>303</v>
      </c>
      <c r="C44" s="221">
        <v>1.5661226019546262</v>
      </c>
      <c r="D44" s="221">
        <v>2.4796581056652145</v>
      </c>
      <c r="E44" s="221">
        <v>3.5140296538510327</v>
      </c>
      <c r="F44" s="221">
        <v>2.3444639981472482</v>
      </c>
      <c r="G44" s="221">
        <v>2.7824886917868294</v>
      </c>
      <c r="H44" s="149">
        <v>0.80327577259358252</v>
      </c>
      <c r="I44" s="221">
        <v>2.6334321631201423</v>
      </c>
      <c r="J44" s="221">
        <v>2.6286682230424057</v>
      </c>
      <c r="K44" s="320">
        <f>SUM(C44:J44)</f>
        <v>18.752139210161083</v>
      </c>
      <c r="L44" s="455" t="s">
        <v>392</v>
      </c>
      <c r="M44" s="150"/>
      <c r="N44" s="249"/>
      <c r="O44" s="598"/>
      <c r="P44" s="414"/>
      <c r="AC44" s="596"/>
      <c r="AP44" s="596"/>
      <c r="BJ44" s="413"/>
      <c r="BU44" s="733"/>
      <c r="BV44" s="733"/>
      <c r="BW44" s="733"/>
      <c r="CP44" s="413"/>
    </row>
    <row r="45" spans="2:94" s="124" customFormat="1">
      <c r="B45" s="327" t="s">
        <v>302</v>
      </c>
      <c r="C45" s="221">
        <v>26.484019918953784</v>
      </c>
      <c r="D45" s="221">
        <v>27.142650533853793</v>
      </c>
      <c r="E45" s="221">
        <v>32.220390842524587</v>
      </c>
      <c r="F45" s="221">
        <v>37.060751650970687</v>
      </c>
      <c r="G45" s="221">
        <v>29.583417871461538</v>
      </c>
      <c r="H45" s="149">
        <v>36.85069239082376</v>
      </c>
      <c r="I45" s="221">
        <v>46.288492317059237</v>
      </c>
      <c r="J45" s="221">
        <v>44.556831410794267</v>
      </c>
      <c r="K45" s="320">
        <f>SUM(C45:J45)</f>
        <v>280.18724693644162</v>
      </c>
      <c r="L45" s="455"/>
      <c r="M45" s="150"/>
      <c r="N45" s="249"/>
      <c r="O45" s="598"/>
      <c r="P45" s="414"/>
      <c r="X45" s="1" t="s">
        <v>220</v>
      </c>
      <c r="AC45" s="596"/>
      <c r="AL45" s="1" t="s">
        <v>220</v>
      </c>
      <c r="AP45" s="596"/>
      <c r="BA45" s="1" t="s">
        <v>220</v>
      </c>
      <c r="BJ45" s="413"/>
      <c r="CP45" s="413"/>
    </row>
    <row r="46" spans="2:94" ht="12.9" thickBot="1">
      <c r="B46" s="328" t="s">
        <v>170</v>
      </c>
      <c r="C46" s="329">
        <v>269.63348326714441</v>
      </c>
      <c r="D46" s="329">
        <v>308.8593873617931</v>
      </c>
      <c r="E46" s="329">
        <v>388.32248587064237</v>
      </c>
      <c r="F46" s="329">
        <v>369.5383897770127</v>
      </c>
      <c r="G46" s="329">
        <v>246.09413700613075</v>
      </c>
      <c r="H46" s="309">
        <v>187.68735826867479</v>
      </c>
      <c r="I46" s="329">
        <v>249.84020619195201</v>
      </c>
      <c r="J46" s="329">
        <v>266.26464891216381</v>
      </c>
      <c r="K46" s="330">
        <f t="shared" si="11"/>
        <v>2286.2400966555142</v>
      </c>
      <c r="L46" s="536">
        <f>(K46-K34)/K34</f>
        <v>-3.2185485812381745E-2</v>
      </c>
      <c r="M46" s="150"/>
      <c r="N46" s="249"/>
      <c r="O46" s="89"/>
      <c r="P46" s="414"/>
      <c r="X46" t="s">
        <v>263</v>
      </c>
      <c r="AL46" s="124" t="s">
        <v>386</v>
      </c>
      <c r="AP46" s="596"/>
      <c r="BA46" s="124" t="s">
        <v>264</v>
      </c>
      <c r="BB46" s="124"/>
      <c r="BC46" s="124"/>
      <c r="BJ46" s="413"/>
      <c r="BM46" s="124"/>
      <c r="BN46" s="124"/>
      <c r="BO46" s="124"/>
      <c r="BP46" s="124"/>
      <c r="BQ46" s="124"/>
      <c r="BR46" s="124"/>
      <c r="BS46" s="124"/>
      <c r="BT46" s="89"/>
      <c r="BU46" s="194" t="s">
        <v>516</v>
      </c>
      <c r="BV46" s="124"/>
      <c r="BW46" s="124"/>
      <c r="BX46" s="124"/>
      <c r="CP46" s="413"/>
    </row>
    <row r="47" spans="2:94" ht="12.9" thickBot="1">
      <c r="C47" s="151"/>
      <c r="D47" s="151"/>
      <c r="E47" s="151"/>
      <c r="F47" s="151"/>
      <c r="G47" s="151"/>
      <c r="H47" s="223"/>
      <c r="I47" s="151"/>
      <c r="J47" s="151"/>
      <c r="K47" s="151"/>
      <c r="L47" s="238"/>
      <c r="M47" s="151"/>
      <c r="N47" s="249"/>
      <c r="P47" s="414"/>
      <c r="X47" s="124" t="s">
        <v>229</v>
      </c>
      <c r="Y47" s="124"/>
      <c r="Z47" s="124"/>
      <c r="AL47" s="124" t="s">
        <v>273</v>
      </c>
      <c r="AP47" s="596"/>
      <c r="BA47" s="124" t="s">
        <v>230</v>
      </c>
      <c r="BB47" s="124"/>
      <c r="BC47" s="124"/>
      <c r="BJ47" s="413"/>
      <c r="BM47" s="124"/>
      <c r="BN47" s="124"/>
      <c r="BO47" s="124"/>
      <c r="BP47" s="124"/>
      <c r="BQ47" s="124"/>
      <c r="BR47" s="124"/>
      <c r="BS47" s="124"/>
      <c r="BT47" s="239"/>
      <c r="BU47" s="239"/>
      <c r="BV47" s="239"/>
      <c r="BW47" s="124"/>
      <c r="BX47" s="124"/>
      <c r="CP47" s="413"/>
    </row>
    <row r="48" spans="2:94">
      <c r="B48" s="331" t="s">
        <v>51</v>
      </c>
      <c r="C48" s="332" t="s">
        <v>131</v>
      </c>
      <c r="D48" s="332" t="s">
        <v>131</v>
      </c>
      <c r="E48" s="332" t="s">
        <v>131</v>
      </c>
      <c r="F48" s="332" t="s">
        <v>131</v>
      </c>
      <c r="G48" s="332" t="s">
        <v>131</v>
      </c>
      <c r="H48" s="333" t="s">
        <v>131</v>
      </c>
      <c r="I48" s="332" t="s">
        <v>132</v>
      </c>
      <c r="J48" s="332" t="s">
        <v>132</v>
      </c>
      <c r="K48" s="334"/>
      <c r="L48" s="457"/>
      <c r="M48" s="151"/>
      <c r="N48" s="249"/>
      <c r="P48" s="414"/>
      <c r="X48" s="89" t="s">
        <v>221</v>
      </c>
      <c r="Y48" s="124"/>
      <c r="Z48" s="124"/>
      <c r="AL48" t="s">
        <v>275</v>
      </c>
      <c r="AP48" s="596"/>
      <c r="BA48" s="89" t="s">
        <v>228</v>
      </c>
      <c r="BB48" s="124"/>
      <c r="BC48" s="124"/>
      <c r="BJ48" s="413"/>
      <c r="BM48" s="124"/>
      <c r="BN48" s="124"/>
      <c r="BO48" s="124"/>
      <c r="BP48" s="124"/>
      <c r="BQ48" s="124"/>
      <c r="BR48" s="124"/>
      <c r="BS48" s="124"/>
      <c r="BT48" s="239"/>
      <c r="BU48" s="239"/>
      <c r="BV48" s="239"/>
      <c r="BW48" s="124"/>
      <c r="BX48" s="124"/>
      <c r="CP48" s="413"/>
    </row>
    <row r="49" spans="2:94" ht="12.9" thickBot="1">
      <c r="B49" s="316"/>
      <c r="C49" s="335">
        <v>2014</v>
      </c>
      <c r="D49" s="335">
        <v>2015</v>
      </c>
      <c r="E49" s="335">
        <v>2016</v>
      </c>
      <c r="F49" s="335">
        <v>2017</v>
      </c>
      <c r="G49" s="335">
        <v>2018</v>
      </c>
      <c r="H49" s="224">
        <v>2019</v>
      </c>
      <c r="I49" s="335">
        <v>2020</v>
      </c>
      <c r="J49" s="335">
        <v>2021</v>
      </c>
      <c r="K49" s="336" t="s">
        <v>52</v>
      </c>
      <c r="L49" s="456"/>
      <c r="M49" s="153"/>
      <c r="N49" s="249"/>
      <c r="P49" s="414"/>
      <c r="X49" s="89" t="s">
        <v>222</v>
      </c>
      <c r="Y49" s="124"/>
      <c r="Z49" s="124"/>
      <c r="AL49" t="s">
        <v>274</v>
      </c>
      <c r="AP49" s="596"/>
      <c r="BA49" s="518">
        <v>-23.74</v>
      </c>
      <c r="BB49" s="518">
        <v>-23.74</v>
      </c>
      <c r="BC49" s="239" t="s">
        <v>226</v>
      </c>
      <c r="BJ49" s="413"/>
      <c r="BM49" s="124"/>
      <c r="BN49" s="124"/>
      <c r="BO49" s="124"/>
      <c r="BP49" s="124"/>
      <c r="BQ49" s="124"/>
      <c r="BR49" s="124"/>
      <c r="BS49" s="124"/>
      <c r="BT49" s="239"/>
      <c r="BU49" s="239"/>
      <c r="BV49" s="239"/>
      <c r="BW49" s="124"/>
      <c r="BX49" s="124"/>
      <c r="CP49" s="413"/>
    </row>
    <row r="50" spans="2:94" ht="12.9" thickBot="1">
      <c r="B50" s="319" t="s">
        <v>168</v>
      </c>
      <c r="C50" s="221">
        <v>201.01557098611954</v>
      </c>
      <c r="D50" s="221">
        <v>352.33580698844878</v>
      </c>
      <c r="E50" s="221">
        <v>667.45296550675971</v>
      </c>
      <c r="F50" s="221">
        <v>562.44741524590665</v>
      </c>
      <c r="G50" s="221">
        <v>365.70804134573058</v>
      </c>
      <c r="H50" s="149">
        <v>200.90336896239171</v>
      </c>
      <c r="I50" s="221">
        <v>232.24153587162021</v>
      </c>
      <c r="J50" s="221">
        <v>547.94669685777694</v>
      </c>
      <c r="K50" s="320">
        <f>SUM(C50:J50)</f>
        <v>3130.0514017647538</v>
      </c>
      <c r="L50" s="455"/>
      <c r="M50" s="153"/>
      <c r="N50" s="249"/>
      <c r="O50" s="249"/>
      <c r="P50" s="414"/>
      <c r="W50" s="466" t="s">
        <v>484</v>
      </c>
      <c r="X50" s="239">
        <v>-175</v>
      </c>
      <c r="Y50" s="239">
        <v>-175</v>
      </c>
      <c r="Z50" s="239" t="s">
        <v>226</v>
      </c>
      <c r="AL50" s="297">
        <v>2019</v>
      </c>
      <c r="AM50" s="297">
        <v>2020</v>
      </c>
      <c r="AN50" s="297">
        <v>2021</v>
      </c>
      <c r="AO50" s="297" t="s">
        <v>52</v>
      </c>
      <c r="AP50" s="596"/>
      <c r="BA50" s="239"/>
      <c r="BB50" s="239"/>
      <c r="BC50" s="239"/>
      <c r="BJ50" s="413"/>
      <c r="BM50" s="124"/>
      <c r="BN50" s="124"/>
      <c r="BO50" s="124"/>
      <c r="BP50" s="124"/>
      <c r="BQ50" s="124"/>
      <c r="BR50" s="124"/>
      <c r="BS50" s="124"/>
      <c r="BT50" s="417"/>
      <c r="BU50" s="418"/>
      <c r="BV50" s="239"/>
      <c r="BW50" s="124"/>
      <c r="BX50" s="124"/>
      <c r="CP50" s="413"/>
    </row>
    <row r="51" spans="2:94" ht="13.3" thickTop="1" thickBot="1">
      <c r="B51" s="321" t="s">
        <v>169</v>
      </c>
      <c r="C51" s="322">
        <v>263.93933533272536</v>
      </c>
      <c r="D51" s="322">
        <v>462.62723954291118</v>
      </c>
      <c r="E51" s="322">
        <v>876.38530297672946</v>
      </c>
      <c r="F51" s="322">
        <v>738.50993836624161</v>
      </c>
      <c r="G51" s="322">
        <v>480.18537511847865</v>
      </c>
      <c r="H51" s="308">
        <v>263.79201078756489</v>
      </c>
      <c r="I51" s="322">
        <v>304.93994228357286</v>
      </c>
      <c r="J51" s="322">
        <v>719.47007018869488</v>
      </c>
      <c r="K51" s="323">
        <f t="shared" ref="K51:K63" si="16">SUM(C51:J51)</f>
        <v>4109.8492145969185</v>
      </c>
      <c r="L51" s="455"/>
      <c r="M51" s="153"/>
      <c r="N51" s="249"/>
      <c r="O51" s="249"/>
      <c r="P51" s="414"/>
      <c r="W51" s="466" t="s">
        <v>483</v>
      </c>
      <c r="X51" s="239">
        <v>-65</v>
      </c>
      <c r="Y51" s="239">
        <v>-65</v>
      </c>
      <c r="Z51" s="239" t="s">
        <v>226</v>
      </c>
      <c r="AL51" s="295">
        <v>0.74628472000000001</v>
      </c>
      <c r="AM51" s="295">
        <v>12.122735209999998</v>
      </c>
      <c r="AN51" s="295">
        <v>7.8903486299999992</v>
      </c>
      <c r="AO51" s="296">
        <f>SUM(AL51:AN51)</f>
        <v>20.759368559999999</v>
      </c>
      <c r="BA51" s="518">
        <f>BA49*I219</f>
        <v>-30.247095219049097</v>
      </c>
      <c r="BB51" s="518">
        <f>BB49*I219</f>
        <v>-30.247095219049097</v>
      </c>
      <c r="BC51" s="239" t="s">
        <v>438</v>
      </c>
      <c r="BJ51" s="413"/>
      <c r="BM51" s="124"/>
      <c r="BN51" s="124"/>
      <c r="BO51" s="124"/>
      <c r="BP51" s="124"/>
      <c r="BQ51" s="124"/>
      <c r="BR51" s="124"/>
      <c r="BS51" s="124"/>
      <c r="BT51" s="124"/>
      <c r="BU51" s="124"/>
      <c r="BV51" s="124"/>
      <c r="BW51" s="124"/>
      <c r="BX51" s="124"/>
      <c r="CP51" s="413"/>
    </row>
    <row r="52" spans="2:94" s="124" customFormat="1" ht="12.9" thickBot="1">
      <c r="B52" s="319"/>
      <c r="C52" s="221"/>
      <c r="D52" s="221"/>
      <c r="E52" s="221"/>
      <c r="F52" s="221"/>
      <c r="G52" s="221"/>
      <c r="H52" s="149"/>
      <c r="I52" s="221"/>
      <c r="J52" s="221"/>
      <c r="K52" s="320"/>
      <c r="L52" s="455"/>
      <c r="M52" s="150"/>
      <c r="N52" s="249"/>
      <c r="O52" s="249"/>
      <c r="P52" s="414"/>
      <c r="R52" s="189"/>
      <c r="S52" s="305"/>
      <c r="T52" s="305"/>
      <c r="U52" s="305"/>
      <c r="V52" s="305"/>
      <c r="W52" s="466"/>
      <c r="X52" s="239">
        <f>X50+X51</f>
        <v>-240</v>
      </c>
      <c r="Y52" s="239">
        <f>Y50+Y51</f>
        <v>-240</v>
      </c>
      <c r="Z52" s="239" t="s">
        <v>226</v>
      </c>
      <c r="AE52" s="189"/>
      <c r="AF52" s="306"/>
      <c r="AG52" s="306"/>
      <c r="AH52" s="306"/>
      <c r="AI52" s="306"/>
      <c r="AJ52" s="306"/>
      <c r="AK52" s="306"/>
      <c r="AL52" s="306"/>
      <c r="AM52" s="306"/>
      <c r="AO52" s="157"/>
      <c r="AP52" s="298"/>
      <c r="AT52" s="189"/>
      <c r="AU52" s="306"/>
      <c r="AV52" s="306"/>
      <c r="AW52" s="306"/>
      <c r="AX52" s="306"/>
      <c r="AY52" s="306"/>
      <c r="AZ52" s="306"/>
      <c r="BA52" s="241">
        <f>BA49*'Universal data'!$C$51</f>
        <v>-31.171315684950457</v>
      </c>
      <c r="BB52" s="242">
        <f>BB49*'Universal data'!$C$51</f>
        <v>-31.171315684950457</v>
      </c>
      <c r="BC52" s="239" t="s">
        <v>227</v>
      </c>
      <c r="BJ52" s="413"/>
      <c r="BM52" s="189"/>
      <c r="BN52" s="306"/>
      <c r="BO52" s="306"/>
      <c r="BP52" s="306"/>
      <c r="BQ52" s="306"/>
      <c r="BR52" s="306"/>
      <c r="BS52" s="306"/>
      <c r="BT52" s="306"/>
      <c r="BU52" s="306"/>
      <c r="CP52" s="413"/>
    </row>
    <row r="53" spans="2:94" s="124" customFormat="1" ht="14.6">
      <c r="B53" s="319" t="s">
        <v>297</v>
      </c>
      <c r="C53" s="221">
        <v>217.81437019478321</v>
      </c>
      <c r="D53" s="221">
        <v>412.07931629078888</v>
      </c>
      <c r="E53" s="221">
        <v>818.21343478920755</v>
      </c>
      <c r="F53" s="221">
        <v>674.2798439577158</v>
      </c>
      <c r="G53" s="221">
        <v>409.10898970461949</v>
      </c>
      <c r="H53" s="149">
        <v>182.03479102052412</v>
      </c>
      <c r="I53" s="221">
        <v>188.41994754071931</v>
      </c>
      <c r="J53" s="221">
        <v>604.60735496789766</v>
      </c>
      <c r="K53" s="320">
        <f t="shared" si="16"/>
        <v>3506.5580484662564</v>
      </c>
      <c r="L53" s="589" t="s">
        <v>534</v>
      </c>
      <c r="M53" s="150"/>
      <c r="N53" s="249"/>
      <c r="O53" s="249"/>
      <c r="P53" s="414"/>
      <c r="R53" s="189"/>
      <c r="S53" s="305"/>
      <c r="T53" s="305"/>
      <c r="U53" s="305"/>
      <c r="V53" s="305"/>
      <c r="W53" s="466"/>
      <c r="AE53" s="189"/>
      <c r="AF53" s="306"/>
      <c r="AG53" s="306"/>
      <c r="AH53" s="306"/>
      <c r="AI53" s="306"/>
      <c r="AJ53" s="306"/>
      <c r="AK53" s="306"/>
      <c r="AL53" s="306"/>
      <c r="AM53" s="306"/>
      <c r="AO53" s="157"/>
      <c r="AP53" s="298"/>
      <c r="AT53" s="189"/>
      <c r="AU53" s="306"/>
      <c r="AV53" s="306"/>
      <c r="AW53" s="306"/>
      <c r="AX53" s="306"/>
      <c r="AY53" s="306"/>
      <c r="AZ53" s="306"/>
      <c r="BJ53" s="413"/>
      <c r="BM53" s="189"/>
      <c r="BN53" s="306"/>
      <c r="BO53" s="306"/>
      <c r="BP53" s="306"/>
      <c r="BQ53" s="306"/>
      <c r="BR53" s="306"/>
      <c r="BS53" s="306"/>
      <c r="BT53" s="306"/>
      <c r="BU53" s="306"/>
      <c r="CP53" s="413"/>
    </row>
    <row r="54" spans="2:94" s="124" customFormat="1">
      <c r="B54" s="319" t="s">
        <v>298</v>
      </c>
      <c r="C54" s="221">
        <v>28.523114872863275</v>
      </c>
      <c r="D54" s="221">
        <v>26.427406997789674</v>
      </c>
      <c r="E54" s="221">
        <v>30.342533934369087</v>
      </c>
      <c r="F54" s="221">
        <v>36.224745479142335</v>
      </c>
      <c r="G54" s="221">
        <v>38.213572382883257</v>
      </c>
      <c r="H54" s="149">
        <v>39.560208540629269</v>
      </c>
      <c r="I54" s="221">
        <v>72.272992679324773</v>
      </c>
      <c r="J54" s="221">
        <v>67.654261819037714</v>
      </c>
      <c r="K54" s="320">
        <f t="shared" si="16"/>
        <v>339.21883670603938</v>
      </c>
      <c r="L54" s="455"/>
      <c r="M54" s="150"/>
      <c r="N54" s="249"/>
      <c r="O54" s="249"/>
      <c r="P54" s="414"/>
      <c r="R54" s="189"/>
      <c r="S54" s="305"/>
      <c r="T54" s="305"/>
      <c r="U54" s="305"/>
      <c r="V54" s="305"/>
      <c r="W54" s="466"/>
      <c r="AE54" s="189"/>
      <c r="AF54" s="306"/>
      <c r="AG54" s="306"/>
      <c r="AH54" s="306"/>
      <c r="AI54" s="306"/>
      <c r="AJ54" s="306"/>
      <c r="AK54" s="306"/>
      <c r="AL54" s="306"/>
      <c r="AM54" s="306"/>
      <c r="AO54" s="157"/>
      <c r="AP54" s="298"/>
      <c r="BJ54" s="413"/>
      <c r="BM54" s="189"/>
      <c r="BN54" s="306"/>
      <c r="BO54" s="306"/>
      <c r="BP54" s="306"/>
      <c r="BQ54" s="306"/>
      <c r="BR54" s="306"/>
      <c r="BS54" s="306"/>
      <c r="BT54" s="238" t="s">
        <v>241</v>
      </c>
      <c r="BU54" s="306"/>
      <c r="CP54" s="413"/>
    </row>
    <row r="55" spans="2:94" s="124" customFormat="1">
      <c r="B55" s="319" t="s">
        <v>299</v>
      </c>
      <c r="C55" s="221">
        <v>0.92637810000425436</v>
      </c>
      <c r="D55" s="221">
        <v>3.7462730364172052</v>
      </c>
      <c r="E55" s="221">
        <v>3.6449898689683535</v>
      </c>
      <c r="F55" s="221">
        <v>0.2735092397974031</v>
      </c>
      <c r="G55" s="221">
        <v>0.27706485991476926</v>
      </c>
      <c r="H55" s="149">
        <v>0.28066670309366126</v>
      </c>
      <c r="I55" s="221">
        <v>0.28431537023387882</v>
      </c>
      <c r="J55" s="221">
        <v>0.28801147004691918</v>
      </c>
      <c r="K55" s="320">
        <f t="shared" si="16"/>
        <v>9.7212086484764466</v>
      </c>
      <c r="L55" s="455"/>
      <c r="M55" s="150"/>
      <c r="N55" s="249"/>
      <c r="O55" s="249"/>
      <c r="P55" s="414"/>
      <c r="R55" s="189"/>
      <c r="S55" s="305"/>
      <c r="T55" s="305"/>
      <c r="U55" s="305"/>
      <c r="V55" s="305"/>
      <c r="W55" s="466" t="s">
        <v>484</v>
      </c>
      <c r="X55" s="558">
        <f>X50*'Universal data'!$C$51</f>
        <v>-229.78012825890187</v>
      </c>
      <c r="Y55" s="558">
        <f>Y50*'Universal data'!$C$51</f>
        <v>-229.78012825890187</v>
      </c>
      <c r="Z55" s="557" t="s">
        <v>227</v>
      </c>
      <c r="AE55" s="189"/>
      <c r="AF55" s="306"/>
      <c r="AG55" s="306"/>
      <c r="AH55" s="306"/>
      <c r="AI55" s="306"/>
      <c r="AJ55" s="306"/>
      <c r="AK55" s="306"/>
      <c r="AL55" s="306"/>
      <c r="AM55" s="306"/>
      <c r="AO55" s="157"/>
      <c r="AP55" s="298"/>
      <c r="BJ55" s="413"/>
      <c r="BM55" s="31" t="s">
        <v>505</v>
      </c>
      <c r="BS55" s="189"/>
      <c r="CP55" s="413"/>
    </row>
    <row r="56" spans="2:94" ht="12.9" thickBot="1">
      <c r="B56" s="324" t="s">
        <v>171</v>
      </c>
      <c r="C56" s="325">
        <v>16.675472165074595</v>
      </c>
      <c r="D56" s="325">
        <v>20.374243217915463</v>
      </c>
      <c r="E56" s="325">
        <v>24.184344384184399</v>
      </c>
      <c r="F56" s="325">
        <v>27.731839689586018</v>
      </c>
      <c r="G56" s="325">
        <v>32.585748171061084</v>
      </c>
      <c r="H56" s="307">
        <v>41.916344523317861</v>
      </c>
      <c r="I56" s="325">
        <v>43.962686693294948</v>
      </c>
      <c r="J56" s="325">
        <v>46.920441931712531</v>
      </c>
      <c r="K56" s="326">
        <f t="shared" si="16"/>
        <v>254.3511207761469</v>
      </c>
      <c r="L56" s="455"/>
      <c r="M56" s="150"/>
      <c r="N56" s="249"/>
      <c r="O56" s="249"/>
      <c r="P56" s="414"/>
      <c r="W56" s="466" t="s">
        <v>483</v>
      </c>
      <c r="X56" s="558">
        <f>X51*'Universal data'!$C$51</f>
        <v>-85.346904781877839</v>
      </c>
      <c r="Y56" s="558">
        <f>Y51*'Universal data'!$C$51</f>
        <v>-85.346904781877839</v>
      </c>
      <c r="Z56" s="557" t="s">
        <v>227</v>
      </c>
      <c r="AE56" s="235"/>
      <c r="BJ56" s="413"/>
      <c r="BM56" s="124"/>
      <c r="BN56" s="124"/>
      <c r="BO56" s="124"/>
      <c r="BP56" s="124"/>
      <c r="BQ56" s="124"/>
      <c r="BR56" s="124"/>
      <c r="BS56" s="124"/>
      <c r="BT56" s="124"/>
      <c r="BU56" s="124"/>
      <c r="BV56" s="124"/>
      <c r="BW56" s="235">
        <f>SUM(BN59:BU60)</f>
        <v>16276.734704588305</v>
      </c>
      <c r="BX56" s="124"/>
      <c r="CP56" s="413"/>
    </row>
    <row r="57" spans="2:94" ht="12.9" thickBot="1">
      <c r="B57" s="324" t="s">
        <v>172</v>
      </c>
      <c r="C57" s="325">
        <v>247.26386316765073</v>
      </c>
      <c r="D57" s="325">
        <v>442.25299632499576</v>
      </c>
      <c r="E57" s="325">
        <v>852.20095859254491</v>
      </c>
      <c r="F57" s="325">
        <v>710.77809867665553</v>
      </c>
      <c r="G57" s="325">
        <v>447.59962694741756</v>
      </c>
      <c r="H57" s="307">
        <v>221.87566626424703</v>
      </c>
      <c r="I57" s="325">
        <v>260.97725559027793</v>
      </c>
      <c r="J57" s="325">
        <v>672.54962825698237</v>
      </c>
      <c r="K57" s="326">
        <f t="shared" si="16"/>
        <v>3855.4980938207723</v>
      </c>
      <c r="L57" s="455"/>
      <c r="M57" s="150"/>
      <c r="N57" s="249"/>
      <c r="O57" s="249"/>
      <c r="P57" s="414"/>
      <c r="X57" s="555">
        <f>X52*'Universal data'!$C$51</f>
        <v>-315.12703304077974</v>
      </c>
      <c r="Y57" s="556">
        <f>Y52*'Universal data'!$C$51</f>
        <v>-315.12703304077974</v>
      </c>
      <c r="Z57" s="239" t="s">
        <v>227</v>
      </c>
      <c r="BJ57" s="413"/>
      <c r="BM57" s="124">
        <f>AK64</f>
        <v>0</v>
      </c>
      <c r="BN57" s="144" t="s">
        <v>131</v>
      </c>
      <c r="BO57" s="144" t="s">
        <v>131</v>
      </c>
      <c r="BP57" s="144" t="s">
        <v>131</v>
      </c>
      <c r="BQ57" s="144" t="s">
        <v>131</v>
      </c>
      <c r="BR57" s="144" t="s">
        <v>131</v>
      </c>
      <c r="BS57" s="215" t="s">
        <v>131</v>
      </c>
      <c r="BT57" s="144" t="s">
        <v>132</v>
      </c>
      <c r="BU57" s="144" t="s">
        <v>132</v>
      </c>
      <c r="BV57" s="124"/>
      <c r="BW57" s="235">
        <f>SUM(BN61:BU61)</f>
        <v>19450.174946692143</v>
      </c>
      <c r="BX57" s="124"/>
      <c r="BY57" s="124"/>
      <c r="BZ57" s="124"/>
      <c r="CP57" s="413"/>
    </row>
    <row r="58" spans="2:94" s="124" customFormat="1">
      <c r="B58" s="319"/>
      <c r="C58" s="221"/>
      <c r="D58" s="221"/>
      <c r="E58" s="221"/>
      <c r="F58" s="221"/>
      <c r="G58" s="221"/>
      <c r="H58" s="149"/>
      <c r="I58" s="221"/>
      <c r="J58" s="221"/>
      <c r="K58" s="320"/>
      <c r="L58" s="455"/>
      <c r="M58" s="150"/>
      <c r="N58" s="249"/>
      <c r="O58" s="249"/>
      <c r="P58" s="414"/>
      <c r="X58" s="1"/>
      <c r="AL58" s="1"/>
      <c r="BJ58" s="413"/>
      <c r="BN58" s="205">
        <v>2014</v>
      </c>
      <c r="BO58" s="205">
        <v>2015</v>
      </c>
      <c r="BP58" s="205">
        <v>2016</v>
      </c>
      <c r="BQ58" s="205">
        <v>2017</v>
      </c>
      <c r="BR58" s="206">
        <v>2018</v>
      </c>
      <c r="BS58" s="216">
        <v>2019</v>
      </c>
      <c r="BT58" s="210">
        <v>2020</v>
      </c>
      <c r="BU58" s="205">
        <v>2021</v>
      </c>
      <c r="BW58" s="235"/>
      <c r="CP58" s="413"/>
    </row>
    <row r="59" spans="2:94" s="124" customFormat="1">
      <c r="B59" s="319" t="s">
        <v>300</v>
      </c>
      <c r="C59" s="221">
        <v>159.01803899971742</v>
      </c>
      <c r="D59" s="221">
        <v>329.02876481464341</v>
      </c>
      <c r="E59" s="221">
        <v>529.07422047196985</v>
      </c>
      <c r="F59" s="221">
        <v>428.7430187196245</v>
      </c>
      <c r="G59" s="221">
        <v>352.90780924916385</v>
      </c>
      <c r="H59" s="149">
        <v>249.538578723011</v>
      </c>
      <c r="I59" s="221">
        <v>265.3293124299239</v>
      </c>
      <c r="J59" s="221">
        <v>768.34773146501902</v>
      </c>
      <c r="K59" s="320">
        <f>SUM(C59:J59)</f>
        <v>3081.9874748730731</v>
      </c>
      <c r="L59" s="455" t="s">
        <v>392</v>
      </c>
      <c r="M59" s="150"/>
      <c r="N59" s="249"/>
      <c r="O59" s="249"/>
      <c r="P59" s="414"/>
      <c r="Q59" s="249"/>
      <c r="X59" s="1"/>
      <c r="AL59" s="1"/>
      <c r="BJ59" s="413"/>
      <c r="BM59" s="47" t="s">
        <v>6</v>
      </c>
      <c r="BN59" s="4">
        <f t="shared" ref="BN59:BS59" si="17">S6+AF6+C67</f>
        <v>2047.8379818564276</v>
      </c>
      <c r="BO59" s="4">
        <f t="shared" si="17"/>
        <v>1870.1240476193029</v>
      </c>
      <c r="BP59" s="4">
        <f t="shared" si="17"/>
        <v>2236.6406016443125</v>
      </c>
      <c r="BQ59" s="4">
        <f t="shared" si="17"/>
        <v>2057.5740212638793</v>
      </c>
      <c r="BR59" s="207">
        <f t="shared" si="17"/>
        <v>1789.7800805736065</v>
      </c>
      <c r="BS59" s="217">
        <f t="shared" si="17"/>
        <v>1585.1958620325199</v>
      </c>
      <c r="BT59" s="212">
        <v>0</v>
      </c>
      <c r="BU59" s="4">
        <v>0</v>
      </c>
      <c r="BW59" s="348"/>
      <c r="CP59" s="413"/>
    </row>
    <row r="60" spans="2:94" s="124" customFormat="1">
      <c r="B60" s="319" t="s">
        <v>301</v>
      </c>
      <c r="C60" s="221">
        <v>22.286000000000001</v>
      </c>
      <c r="D60" s="221">
        <v>24.479132531196353</v>
      </c>
      <c r="E60" s="221">
        <v>19.320689753840004</v>
      </c>
      <c r="F60" s="221">
        <v>33.677424062815824</v>
      </c>
      <c r="G60" s="221">
        <v>52.633159574065331</v>
      </c>
      <c r="H60" s="149">
        <v>53.572818585859949</v>
      </c>
      <c r="I60" s="221">
        <v>108.98373718965601</v>
      </c>
      <c r="J60" s="221">
        <v>114.5529555941032</v>
      </c>
      <c r="K60" s="320">
        <f>SUM(C60:J60)</f>
        <v>429.50591729153666</v>
      </c>
      <c r="L60" s="455" t="s">
        <v>392</v>
      </c>
      <c r="M60" s="150"/>
      <c r="N60" s="249"/>
      <c r="O60" s="249"/>
      <c r="P60" s="414"/>
      <c r="X60" s="1"/>
      <c r="AL60" s="1"/>
      <c r="BJ60" s="413"/>
      <c r="BM60" s="47" t="s">
        <v>77</v>
      </c>
      <c r="BN60" s="4">
        <f t="shared" ref="BN60:BS60" si="18">BN33</f>
        <v>0</v>
      </c>
      <c r="BO60" s="4">
        <f t="shared" si="18"/>
        <v>0</v>
      </c>
      <c r="BP60" s="4">
        <f t="shared" si="18"/>
        <v>0</v>
      </c>
      <c r="BQ60" s="4">
        <f t="shared" si="18"/>
        <v>0</v>
      </c>
      <c r="BR60" s="207">
        <f t="shared" si="18"/>
        <v>0</v>
      </c>
      <c r="BS60" s="217">
        <f t="shared" si="18"/>
        <v>0</v>
      </c>
      <c r="BT60" s="212">
        <f>Y7+AL7+I67</f>
        <v>2015.0282389988336</v>
      </c>
      <c r="BU60" s="4">
        <f>Z7+AM7+J67</f>
        <v>2674.553870599424</v>
      </c>
      <c r="CP60" s="413"/>
    </row>
    <row r="61" spans="2:94" s="124" customFormat="1" ht="12.9" thickBot="1">
      <c r="B61" s="319" t="s">
        <v>303</v>
      </c>
      <c r="C61" s="221">
        <v>0.33800000000000002</v>
      </c>
      <c r="D61" s="221">
        <v>2.1219999999999999</v>
      </c>
      <c r="E61" s="221">
        <v>1.8049999999999999</v>
      </c>
      <c r="F61" s="221">
        <v>5.2789999999999999</v>
      </c>
      <c r="G61" s="221">
        <v>5.3660000000000005</v>
      </c>
      <c r="H61" s="149">
        <v>3.1351999999999998</v>
      </c>
      <c r="I61" s="221">
        <v>2.8170000000000002</v>
      </c>
      <c r="J61" s="221">
        <v>3.552</v>
      </c>
      <c r="K61" s="320">
        <f>SUM(C61:J61)</f>
        <v>24.414200000000001</v>
      </c>
      <c r="L61" s="455" t="s">
        <v>392</v>
      </c>
      <c r="M61" s="150"/>
      <c r="N61" s="249"/>
      <c r="O61" s="249"/>
      <c r="P61" s="414"/>
      <c r="X61" s="1"/>
      <c r="AL61" s="1"/>
      <c r="AT61" s="1" t="s">
        <v>51</v>
      </c>
      <c r="BJ61" s="413"/>
      <c r="BM61" s="2" t="s">
        <v>78</v>
      </c>
      <c r="BN61" s="4">
        <f>BN34</f>
        <v>2769.7389285287254</v>
      </c>
      <c r="BO61" s="4">
        <f t="shared" ref="BO61:BU61" si="19">BO34</f>
        <v>2779.8583548474226</v>
      </c>
      <c r="BP61" s="4">
        <f t="shared" si="19"/>
        <v>2763.0379835398826</v>
      </c>
      <c r="BQ61" s="4">
        <f t="shared" si="19"/>
        <v>2311.4804155067441</v>
      </c>
      <c r="BR61" s="207">
        <f t="shared" si="19"/>
        <v>2109.2498914064795</v>
      </c>
      <c r="BS61" s="229">
        <f t="shared" si="19"/>
        <v>2183.9725698028183</v>
      </c>
      <c r="BT61" s="212">
        <f t="shared" si="19"/>
        <v>2118.7829442562543</v>
      </c>
      <c r="BU61" s="4">
        <f t="shared" si="19"/>
        <v>2414.0538588038185</v>
      </c>
      <c r="CP61" s="413"/>
    </row>
    <row r="62" spans="2:94" s="124" customFormat="1" ht="12.9" thickBot="1">
      <c r="B62" s="319" t="s">
        <v>302</v>
      </c>
      <c r="C62" s="221">
        <v>14.740986807495982</v>
      </c>
      <c r="D62" s="221">
        <v>18.006319547459807</v>
      </c>
      <c r="E62" s="221">
        <v>21.877611440774544</v>
      </c>
      <c r="F62" s="221">
        <v>25.811071241592003</v>
      </c>
      <c r="G62" s="221">
        <v>33.202840199999997</v>
      </c>
      <c r="H62" s="149">
        <v>39.118097800000008</v>
      </c>
      <c r="I62" s="221">
        <v>49.806097800000003</v>
      </c>
      <c r="J62" s="221">
        <v>54.458097799999997</v>
      </c>
      <c r="K62" s="320">
        <f>SUM(C62:J62)</f>
        <v>257.02112263732238</v>
      </c>
      <c r="L62" s="150"/>
      <c r="M62" s="150"/>
      <c r="N62" s="249"/>
      <c r="O62" s="249"/>
      <c r="P62" s="414"/>
      <c r="X62" s="1"/>
      <c r="AL62" s="1"/>
      <c r="AZ62" s="238" t="s">
        <v>241</v>
      </c>
      <c r="BJ62" s="413"/>
      <c r="BT62" s="1"/>
      <c r="CP62" s="413"/>
    </row>
    <row r="63" spans="2:94" ht="12.9" thickBot="1">
      <c r="B63" s="328" t="s">
        <v>170</v>
      </c>
      <c r="C63" s="329">
        <v>196.38302580721339</v>
      </c>
      <c r="D63" s="329">
        <v>373.63621689329955</v>
      </c>
      <c r="E63" s="329">
        <v>572.07752166658429</v>
      </c>
      <c r="F63" s="329">
        <v>493.51051402403232</v>
      </c>
      <c r="G63" s="329">
        <v>444.10980902322922</v>
      </c>
      <c r="H63" s="309">
        <v>345.36469510887093</v>
      </c>
      <c r="I63" s="329">
        <v>426.93614741957992</v>
      </c>
      <c r="J63" s="329">
        <v>940.91078485912226</v>
      </c>
      <c r="K63" s="330">
        <f t="shared" si="16"/>
        <v>3792.9287148019312</v>
      </c>
      <c r="L63" s="536">
        <f>(K63-K51)/K51</f>
        <v>-7.7112439714183023E-2</v>
      </c>
      <c r="N63" s="124"/>
      <c r="O63" s="249"/>
      <c r="P63" s="413"/>
      <c r="AT63" s="124">
        <f>R63</f>
        <v>0</v>
      </c>
      <c r="AU63" s="144" t="s">
        <v>131</v>
      </c>
      <c r="AV63" s="144" t="s">
        <v>131</v>
      </c>
      <c r="AW63" s="144" t="s">
        <v>131</v>
      </c>
      <c r="AX63" s="144" t="s">
        <v>131</v>
      </c>
      <c r="AY63" s="144" t="s">
        <v>131</v>
      </c>
      <c r="AZ63" s="215" t="s">
        <v>131</v>
      </c>
      <c r="BA63" s="144" t="s">
        <v>132</v>
      </c>
      <c r="BB63" s="144" t="s">
        <v>132</v>
      </c>
      <c r="BC63" s="124"/>
      <c r="BD63" s="124"/>
      <c r="BJ63" s="413"/>
      <c r="BM63" s="124"/>
      <c r="BN63" s="124"/>
      <c r="BO63" s="124"/>
      <c r="BP63" s="124"/>
      <c r="BQ63" s="124"/>
      <c r="BR63" s="124"/>
      <c r="BS63" s="124"/>
      <c r="BT63" s="1" t="s">
        <v>220</v>
      </c>
      <c r="BU63" s="124"/>
      <c r="BV63" s="124"/>
      <c r="BW63" s="124"/>
      <c r="BX63" s="124"/>
      <c r="BY63" s="124"/>
      <c r="BZ63" s="124"/>
      <c r="CP63" s="413"/>
    </row>
    <row r="64" spans="2:94" s="124" customFormat="1" ht="14.6">
      <c r="B64" s="572" t="s">
        <v>495</v>
      </c>
      <c r="C64" s="573">
        <f t="shared" ref="C64:H64" si="20">C53</f>
        <v>217.81437019478321</v>
      </c>
      <c r="D64" s="573">
        <f t="shared" si="20"/>
        <v>412.07931629078888</v>
      </c>
      <c r="E64" s="573">
        <f t="shared" si="20"/>
        <v>818.21343478920755</v>
      </c>
      <c r="F64" s="573">
        <f t="shared" si="20"/>
        <v>674.2798439577158</v>
      </c>
      <c r="G64" s="573">
        <f t="shared" si="20"/>
        <v>409.10898970461949</v>
      </c>
      <c r="H64" s="573">
        <f t="shared" si="20"/>
        <v>182.03479102052412</v>
      </c>
      <c r="I64" s="573">
        <f>I53+BA52</f>
        <v>157.24863185576885</v>
      </c>
      <c r="J64" s="573">
        <f>J53+BB52</f>
        <v>573.43603928294715</v>
      </c>
      <c r="K64" s="455">
        <f>SUM(C64:J64)</f>
        <v>3444.2154170963554</v>
      </c>
      <c r="L64" s="589" t="s">
        <v>541</v>
      </c>
      <c r="M64" s="249"/>
      <c r="N64" s="150"/>
      <c r="O64" s="249"/>
      <c r="P64" s="413"/>
      <c r="AU64" s="205">
        <v>2014</v>
      </c>
      <c r="AV64" s="205">
        <v>2015</v>
      </c>
      <c r="AW64" s="205">
        <v>2016</v>
      </c>
      <c r="AX64" s="205">
        <v>2017</v>
      </c>
      <c r="AY64" s="206">
        <v>2018</v>
      </c>
      <c r="AZ64" s="216">
        <v>2019</v>
      </c>
      <c r="BA64" s="210">
        <v>2020</v>
      </c>
      <c r="BB64" s="205">
        <v>2021</v>
      </c>
      <c r="BE64"/>
      <c r="BF64"/>
      <c r="BJ64" s="413"/>
      <c r="BT64" s="124" t="s">
        <v>264</v>
      </c>
      <c r="CP64" s="413"/>
    </row>
    <row r="65" spans="2:94" s="124" customFormat="1">
      <c r="B65" s="572" t="s">
        <v>510</v>
      </c>
      <c r="C65" s="573">
        <f>C59-'SHET Crossover'!J23-'SHET Crossover'!J32</f>
        <v>159.01803899971742</v>
      </c>
      <c r="D65" s="573">
        <f>D59-'SHET Crossover'!K23-'SHET Crossover'!K32</f>
        <v>328.95260137322089</v>
      </c>
      <c r="E65" s="573">
        <f>E59-'SHET Crossover'!L23-'SHET Crossover'!L32</f>
        <v>529.06766832718381</v>
      </c>
      <c r="F65" s="573">
        <f>F59-'SHET Crossover'!M23-'SHET Crossover'!M32</f>
        <v>428.68638066461818</v>
      </c>
      <c r="G65" s="573">
        <f>G59-'SHET Crossover'!N23-'SHET Crossover'!N32</f>
        <v>352.90116890785583</v>
      </c>
      <c r="H65" s="573">
        <f>H59-'SHET Crossover'!O23-'SHET Crossover'!O32</f>
        <v>245.52537172595484</v>
      </c>
      <c r="I65" s="573">
        <f>I59-'SHET Crossover'!P23-'SHET Crossover'!P32</f>
        <v>259.05858068578442</v>
      </c>
      <c r="J65" s="573">
        <f>J59-'SHET Crossover'!Q23-'SHET Crossover'!Q32</f>
        <v>732.17936168925223</v>
      </c>
      <c r="K65" s="150"/>
      <c r="L65" s="150"/>
      <c r="O65" s="249"/>
      <c r="P65" s="413"/>
      <c r="AT65" s="47" t="s">
        <v>6</v>
      </c>
      <c r="AU65" s="4">
        <f t="shared" ref="AU65:AZ65" si="21">C67</f>
        <v>196.38302580721341</v>
      </c>
      <c r="AV65" s="4">
        <f t="shared" si="21"/>
        <v>373.56005345187702</v>
      </c>
      <c r="AW65" s="4">
        <f t="shared" si="21"/>
        <v>572.07096952179836</v>
      </c>
      <c r="AX65" s="4">
        <f t="shared" si="21"/>
        <v>493.453875969026</v>
      </c>
      <c r="AY65" s="207">
        <f t="shared" si="21"/>
        <v>444.10316868192115</v>
      </c>
      <c r="AZ65" s="217">
        <f t="shared" si="21"/>
        <v>341.35148811181477</v>
      </c>
      <c r="BJ65" s="413"/>
      <c r="BT65" s="124" t="s">
        <v>504</v>
      </c>
      <c r="CP65" s="413"/>
    </row>
    <row r="66" spans="2:94" s="124" customFormat="1">
      <c r="B66" s="576" t="s">
        <v>497</v>
      </c>
      <c r="C66" s="578">
        <f>C54+C55+C56+C64</f>
        <v>263.93933533272536</v>
      </c>
      <c r="D66" s="578">
        <f t="shared" ref="D66:I66" si="22">D54+D55+D56+D64</f>
        <v>462.62723954291124</v>
      </c>
      <c r="E66" s="578">
        <f t="shared" si="22"/>
        <v>876.38530297672935</v>
      </c>
      <c r="F66" s="578">
        <f t="shared" si="22"/>
        <v>738.50993836624161</v>
      </c>
      <c r="G66" s="578">
        <f t="shared" si="22"/>
        <v>480.18537511847859</v>
      </c>
      <c r="H66" s="578">
        <f t="shared" si="22"/>
        <v>263.79201078756489</v>
      </c>
      <c r="I66" s="578">
        <f t="shared" si="22"/>
        <v>273.76862659862246</v>
      </c>
      <c r="J66" s="578">
        <f>J54+J55+J56+J64</f>
        <v>688.29875450374436</v>
      </c>
      <c r="K66" s="574">
        <f>SUM(C66:J66)</f>
        <v>4047.5065832270184</v>
      </c>
      <c r="L66" s="150"/>
      <c r="O66" s="249"/>
      <c r="P66" s="413"/>
      <c r="AT66" s="47" t="s">
        <v>77</v>
      </c>
      <c r="AU66" s="2"/>
      <c r="AV66" s="2"/>
      <c r="AW66" s="2"/>
      <c r="AX66" s="48"/>
      <c r="AY66" s="208"/>
      <c r="AZ66" s="218"/>
      <c r="BA66" s="213">
        <f>I67</f>
        <v>420.66541567544044</v>
      </c>
      <c r="BB66" s="213">
        <f>J67</f>
        <v>904.74241508335547</v>
      </c>
      <c r="BD66" s="235">
        <f>SUM(AU65:BB66)</f>
        <v>3746.3304123024463</v>
      </c>
      <c r="BE66" s="235"/>
      <c r="BF66" s="235"/>
      <c r="BJ66" s="413"/>
      <c r="BT66" s="124" t="s">
        <v>385</v>
      </c>
      <c r="CP66" s="413"/>
    </row>
    <row r="67" spans="2:94" s="124" customFormat="1" ht="12.75" customHeight="1" thickBot="1">
      <c r="B67" s="577" t="s">
        <v>496</v>
      </c>
      <c r="C67" s="579">
        <f>C60+C61+C62+C65</f>
        <v>196.38302580721341</v>
      </c>
      <c r="D67" s="579">
        <f t="shared" ref="D67:J67" si="23">D60+D61+D62+D65</f>
        <v>373.56005345187702</v>
      </c>
      <c r="E67" s="579">
        <f t="shared" si="23"/>
        <v>572.07096952179836</v>
      </c>
      <c r="F67" s="579">
        <f t="shared" si="23"/>
        <v>493.453875969026</v>
      </c>
      <c r="G67" s="579">
        <f t="shared" si="23"/>
        <v>444.10316868192115</v>
      </c>
      <c r="H67" s="579">
        <f t="shared" si="23"/>
        <v>341.35148811181477</v>
      </c>
      <c r="I67" s="579">
        <f t="shared" si="23"/>
        <v>420.66541567544044</v>
      </c>
      <c r="J67" s="579">
        <f t="shared" si="23"/>
        <v>904.74241508335547</v>
      </c>
      <c r="K67" s="575">
        <f>SUM(C67:J67)</f>
        <v>3746.3304123024463</v>
      </c>
      <c r="L67" s="150"/>
      <c r="O67" s="249"/>
      <c r="P67" s="413"/>
      <c r="AT67" s="2" t="s">
        <v>78</v>
      </c>
      <c r="AU67" s="49">
        <f t="shared" ref="AU67:BB67" si="24">C66</f>
        <v>263.93933533272536</v>
      </c>
      <c r="AV67" s="49">
        <f t="shared" si="24"/>
        <v>462.62723954291124</v>
      </c>
      <c r="AW67" s="49">
        <f t="shared" si="24"/>
        <v>876.38530297672935</v>
      </c>
      <c r="AX67" s="49">
        <f t="shared" si="24"/>
        <v>738.50993836624161</v>
      </c>
      <c r="AY67" s="209">
        <f t="shared" si="24"/>
        <v>480.18537511847859</v>
      </c>
      <c r="AZ67" s="220">
        <f t="shared" si="24"/>
        <v>263.79201078756489</v>
      </c>
      <c r="BA67" s="214">
        <f t="shared" si="24"/>
        <v>273.76862659862246</v>
      </c>
      <c r="BB67" s="49">
        <f t="shared" si="24"/>
        <v>688.29875450374436</v>
      </c>
      <c r="BD67" s="235">
        <f>SUM(AU67:BB67)</f>
        <v>4047.5065832270184</v>
      </c>
      <c r="BJ67" s="413"/>
      <c r="BT67" s="733" t="s">
        <v>513</v>
      </c>
      <c r="BU67" s="733"/>
      <c r="BV67" s="733"/>
      <c r="CP67" s="413"/>
    </row>
    <row r="68" spans="2:94" s="124" customFormat="1">
      <c r="G68" s="148"/>
      <c r="H68" s="221"/>
      <c r="I68" s="148"/>
      <c r="J68" s="148"/>
      <c r="K68" s="150"/>
      <c r="L68" s="580">
        <f>(K67-K66)/K66</f>
        <v>-7.4410297977686959E-2</v>
      </c>
      <c r="O68" s="249"/>
      <c r="P68" s="413"/>
      <c r="BA68" s="1"/>
      <c r="BJ68" s="413"/>
      <c r="BT68" s="733"/>
      <c r="BU68" s="733"/>
      <c r="BV68" s="733"/>
      <c r="CP68" s="413"/>
    </row>
    <row r="69" spans="2:94" s="124" customFormat="1" ht="12.9" thickBot="1">
      <c r="B69" s="31" t="s">
        <v>381</v>
      </c>
      <c r="G69" s="148"/>
      <c r="H69" s="221"/>
      <c r="L69" s="249"/>
      <c r="M69" s="554"/>
      <c r="N69" s="148"/>
      <c r="O69" s="249"/>
      <c r="P69" s="413"/>
      <c r="AT69" s="581" t="s">
        <v>498</v>
      </c>
      <c r="BA69" s="1"/>
      <c r="BJ69" s="413"/>
      <c r="BT69" s="733"/>
      <c r="BU69" s="733"/>
      <c r="BV69" s="733"/>
      <c r="CP69" s="413"/>
    </row>
    <row r="70" spans="2:94" s="124" customFormat="1" ht="33.75" customHeight="1" thickTop="1" thickBot="1">
      <c r="B70" s="45" t="s">
        <v>167</v>
      </c>
      <c r="C70" s="728" t="s">
        <v>243</v>
      </c>
      <c r="D70" s="729"/>
      <c r="E70" s="729"/>
      <c r="F70" s="729"/>
      <c r="O70" s="249"/>
      <c r="P70" s="413"/>
      <c r="BJ70" s="413"/>
      <c r="BT70" s="733"/>
      <c r="BU70" s="733"/>
      <c r="BV70" s="733"/>
      <c r="CF70" s="189"/>
      <c r="CP70" s="413"/>
    </row>
    <row r="71" spans="2:94" s="124" customFormat="1">
      <c r="B71" s="129"/>
      <c r="C71" s="131" t="s">
        <v>2</v>
      </c>
      <c r="D71" s="183" t="s">
        <v>4</v>
      </c>
      <c r="E71" s="730" t="s">
        <v>47</v>
      </c>
      <c r="F71" s="731"/>
      <c r="O71" s="249"/>
      <c r="P71" s="413"/>
      <c r="BJ71" s="413"/>
      <c r="BT71" s="733"/>
      <c r="BU71" s="733"/>
      <c r="BV71" s="733"/>
      <c r="CP71" s="413"/>
    </row>
    <row r="72" spans="2:94" s="124" customFormat="1" ht="12.9">
      <c r="B72" s="129"/>
      <c r="C72" s="133"/>
      <c r="D72" s="134"/>
      <c r="E72" s="135" t="s">
        <v>48</v>
      </c>
      <c r="F72" s="136" t="s">
        <v>49</v>
      </c>
      <c r="O72" s="249"/>
      <c r="P72" s="413"/>
      <c r="BJ72" s="413"/>
      <c r="CP72" s="413"/>
    </row>
    <row r="73" spans="2:94" s="124" customFormat="1">
      <c r="B73" s="129" t="s">
        <v>503</v>
      </c>
      <c r="C73" s="137">
        <f>C7+'Forecast "True up" 1'!I26</f>
        <v>12773.904798327196</v>
      </c>
      <c r="D73" s="29">
        <f>D7</f>
        <v>10244.164195630347</v>
      </c>
      <c r="E73" s="138">
        <f>D73-C73</f>
        <v>-2529.7406026968492</v>
      </c>
      <c r="F73" s="139">
        <f>E73/C73</f>
        <v>-0.19803972572491155</v>
      </c>
      <c r="N73" s="537"/>
      <c r="O73" s="249"/>
      <c r="P73" s="413"/>
      <c r="R73" s="539"/>
      <c r="BJ73" s="413"/>
      <c r="CP73" s="413"/>
    </row>
    <row r="74" spans="2:94">
      <c r="B74" s="129" t="s">
        <v>1</v>
      </c>
      <c r="C74" s="137">
        <f>C8+'Forecast "True up" 1'!I17</f>
        <v>2354.8961267911741</v>
      </c>
      <c r="D74" s="29">
        <f>D8</f>
        <v>2286.2400966555142</v>
      </c>
      <c r="E74" s="138">
        <f>D74-C74</f>
        <v>-68.656030135659876</v>
      </c>
      <c r="F74" s="139">
        <f>E74/C74</f>
        <v>-2.9154589603581318E-2</v>
      </c>
      <c r="H74" s="124"/>
      <c r="N74" s="537"/>
      <c r="P74" s="413"/>
      <c r="R74" s="539"/>
      <c r="BJ74" s="413"/>
      <c r="BL74" s="124"/>
      <c r="CF74" s="124"/>
      <c r="CP74" s="413"/>
    </row>
    <row r="75" spans="2:94" s="124" customFormat="1" ht="27" customHeight="1">
      <c r="B75" s="129" t="s">
        <v>506</v>
      </c>
      <c r="C75" s="137">
        <f>C9+'Forecast "True up" 1'!I9</f>
        <v>3915.9325884700579</v>
      </c>
      <c r="D75" s="29">
        <f>D9</f>
        <v>3792.9287148019312</v>
      </c>
      <c r="E75" s="138">
        <f>D75-C75</f>
        <v>-123.00387366812674</v>
      </c>
      <c r="F75" s="139">
        <f>E75/C75</f>
        <v>-3.1411131547640851E-2</v>
      </c>
      <c r="N75" s="537"/>
      <c r="P75" s="413"/>
      <c r="R75" s="539"/>
      <c r="BA75" s="1" t="s">
        <v>220</v>
      </c>
      <c r="BJ75" s="413"/>
      <c r="CP75" s="413"/>
    </row>
    <row r="76" spans="2:94" s="124" customFormat="1" ht="12.9" thickBot="1">
      <c r="B76" s="130" t="s">
        <v>3</v>
      </c>
      <c r="C76" s="140">
        <f>SUM(C73:C75)</f>
        <v>19044.733513588428</v>
      </c>
      <c r="D76" s="140">
        <f>SUM(D73:D75)</f>
        <v>16323.333007087793</v>
      </c>
      <c r="E76" s="141">
        <f>D76-C76</f>
        <v>-2721.4005065006349</v>
      </c>
      <c r="F76" s="142">
        <f>E76/C76</f>
        <v>-0.14289517385784969</v>
      </c>
      <c r="P76" s="413"/>
      <c r="BA76" s="733" t="s">
        <v>514</v>
      </c>
      <c r="BB76" s="733"/>
      <c r="BC76" s="733"/>
      <c r="BD76" s="733"/>
      <c r="BE76" s="733"/>
      <c r="BF76" s="733"/>
      <c r="BJ76" s="413"/>
      <c r="CP76" s="413"/>
    </row>
    <row r="77" spans="2:94" s="124" customFormat="1" ht="12.9" thickTop="1">
      <c r="B77" s="96" t="s">
        <v>130</v>
      </c>
      <c r="P77" s="413"/>
      <c r="BA77" s="733"/>
      <c r="BB77" s="733"/>
      <c r="BC77" s="733"/>
      <c r="BD77" s="733"/>
      <c r="BE77" s="733"/>
      <c r="BF77" s="733"/>
      <c r="BJ77" s="413"/>
      <c r="CP77" s="413"/>
    </row>
    <row r="78" spans="2:94">
      <c r="B78" s="583" t="s">
        <v>509</v>
      </c>
      <c r="P78" s="413"/>
      <c r="BA78" s="733"/>
      <c r="BB78" s="733"/>
      <c r="BC78" s="733"/>
      <c r="BD78" s="733"/>
      <c r="BE78" s="733"/>
      <c r="BF78" s="733"/>
      <c r="BJ78" s="413"/>
      <c r="CP78" s="413"/>
    </row>
    <row r="79" spans="2:94" s="124" customFormat="1">
      <c r="P79" s="413"/>
      <c r="BA79" s="733"/>
      <c r="BB79" s="733"/>
      <c r="BC79" s="733"/>
      <c r="BD79" s="733"/>
      <c r="BE79" s="733"/>
      <c r="BF79" s="733"/>
      <c r="BJ79" s="413"/>
      <c r="CP79" s="413"/>
    </row>
    <row r="80" spans="2:94" s="124" customFormat="1" ht="12.9" thickBot="1">
      <c r="B80" s="31" t="s">
        <v>383</v>
      </c>
      <c r="P80" s="413"/>
      <c r="BA80" s="733"/>
      <c r="BB80" s="733"/>
      <c r="BC80" s="733"/>
      <c r="BD80" s="733"/>
      <c r="BE80" s="733"/>
      <c r="BF80" s="733"/>
      <c r="BJ80" s="413"/>
      <c r="CP80" s="413"/>
    </row>
    <row r="81" spans="1:94" s="124" customFormat="1" ht="24.75" customHeight="1" thickTop="1" thickBot="1">
      <c r="B81" s="45" t="s">
        <v>167</v>
      </c>
      <c r="C81" s="728" t="s">
        <v>243</v>
      </c>
      <c r="D81" s="729"/>
      <c r="E81" s="729"/>
      <c r="F81" s="729"/>
      <c r="P81" s="413"/>
      <c r="BA81" s="733"/>
      <c r="BB81" s="733"/>
      <c r="BC81" s="733"/>
      <c r="BD81" s="733"/>
      <c r="BE81" s="733"/>
      <c r="BF81" s="733"/>
      <c r="BJ81" s="413"/>
      <c r="BW81" s="235"/>
      <c r="CP81" s="413"/>
    </row>
    <row r="82" spans="1:94" s="124" customFormat="1">
      <c r="B82" s="129"/>
      <c r="C82" s="131" t="s">
        <v>2</v>
      </c>
      <c r="D82" s="421" t="s">
        <v>4</v>
      </c>
      <c r="E82" s="730" t="s">
        <v>47</v>
      </c>
      <c r="F82" s="731"/>
      <c r="P82" s="413"/>
      <c r="BJ82" s="413"/>
      <c r="BW82" s="235"/>
      <c r="CP82" s="413"/>
    </row>
    <row r="83" spans="1:94" s="124" customFormat="1" ht="12.9">
      <c r="B83" s="129"/>
      <c r="C83" s="133"/>
      <c r="D83" s="134"/>
      <c r="E83" s="135" t="s">
        <v>48</v>
      </c>
      <c r="F83" s="136" t="s">
        <v>49</v>
      </c>
      <c r="P83" s="413"/>
      <c r="BJ83" s="413"/>
      <c r="BW83" s="235"/>
      <c r="CP83" s="413"/>
    </row>
    <row r="84" spans="1:94" s="124" customFormat="1">
      <c r="B84" s="129" t="s">
        <v>503</v>
      </c>
      <c r="C84" s="137">
        <f>C73</f>
        <v>12773.904798327196</v>
      </c>
      <c r="D84" s="29">
        <f>D73</f>
        <v>10244.164195630347</v>
      </c>
      <c r="E84" s="138">
        <f>D84-C84</f>
        <v>-2529.7406026968492</v>
      </c>
      <c r="F84" s="139">
        <f>E84/C84</f>
        <v>-0.19803972572491155</v>
      </c>
      <c r="P84" s="413"/>
      <c r="BJ84" s="413"/>
      <c r="BW84" s="348"/>
      <c r="CP84" s="413"/>
    </row>
    <row r="85" spans="1:94" s="124" customFormat="1">
      <c r="B85" s="129" t="s">
        <v>1</v>
      </c>
      <c r="C85" s="137">
        <f>C74</f>
        <v>2354.8961267911741</v>
      </c>
      <c r="D85" s="29">
        <f>D74</f>
        <v>2286.2400966555142</v>
      </c>
      <c r="E85" s="138">
        <f>D85-C85</f>
        <v>-68.656030135659876</v>
      </c>
      <c r="F85" s="139">
        <f>E85/C85</f>
        <v>-2.9154589603581318E-2</v>
      </c>
      <c r="P85" s="413"/>
      <c r="BJ85" s="413"/>
      <c r="CP85" s="413"/>
    </row>
    <row r="86" spans="1:94" s="124" customFormat="1">
      <c r="B86" s="129" t="s">
        <v>507</v>
      </c>
      <c r="C86" s="137">
        <f>BD34+'Forecast "True up" 1'!I9</f>
        <v>3853.5899571001573</v>
      </c>
      <c r="D86" s="29">
        <f>D75</f>
        <v>3792.9287148019312</v>
      </c>
      <c r="E86" s="138">
        <f>D86-C86</f>
        <v>-60.661242298226171</v>
      </c>
      <c r="F86" s="139">
        <f>E86/C86</f>
        <v>-1.5741488579099891E-2</v>
      </c>
      <c r="P86" s="413"/>
      <c r="BJ86" s="413"/>
      <c r="CP86" s="413"/>
    </row>
    <row r="87" spans="1:94" s="124" customFormat="1" ht="12.9" thickBot="1">
      <c r="B87" s="130" t="s">
        <v>3</v>
      </c>
      <c r="C87" s="140">
        <f>SUM(C84:C86)</f>
        <v>18982.390882218526</v>
      </c>
      <c r="D87" s="140">
        <f>SUM(D84:D86)</f>
        <v>16323.333007087793</v>
      </c>
      <c r="E87" s="141">
        <f>D87-C87</f>
        <v>-2659.057875130733</v>
      </c>
      <c r="F87" s="142">
        <f>E87/C87</f>
        <v>-0.14008024024105237</v>
      </c>
      <c r="P87" s="413"/>
      <c r="BJ87" s="413"/>
      <c r="CP87" s="413"/>
    </row>
    <row r="88" spans="1:94" s="124" customFormat="1" ht="12.9" thickTop="1">
      <c r="B88" s="96" t="s">
        <v>382</v>
      </c>
      <c r="P88" s="413"/>
      <c r="BJ88" s="413"/>
      <c r="CP88" s="413"/>
    </row>
    <row r="89" spans="1:94" s="124" customFormat="1">
      <c r="B89" s="582" t="s">
        <v>508</v>
      </c>
      <c r="P89" s="413"/>
      <c r="BJ89" s="413"/>
      <c r="CP89" s="413"/>
    </row>
    <row r="90" spans="1:94">
      <c r="A90" s="413"/>
      <c r="B90" s="413"/>
      <c r="C90" s="413"/>
      <c r="D90" s="413"/>
      <c r="E90" s="413"/>
      <c r="F90" s="413"/>
      <c r="G90" s="413"/>
      <c r="H90" s="413"/>
      <c r="I90" s="413"/>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413"/>
      <c r="AK90" s="413"/>
      <c r="AL90" s="413"/>
      <c r="AM90" s="413"/>
      <c r="AN90" s="413"/>
      <c r="AO90" s="413"/>
      <c r="AP90" s="413"/>
      <c r="AQ90" s="413"/>
      <c r="AR90" s="413"/>
      <c r="AS90" s="413"/>
      <c r="AT90" s="413"/>
      <c r="AU90" s="413"/>
      <c r="AV90" s="413"/>
      <c r="AW90" s="413"/>
      <c r="AX90" s="413"/>
      <c r="AY90" s="413"/>
      <c r="AZ90" s="413"/>
      <c r="BA90" s="413"/>
      <c r="BB90" s="413"/>
      <c r="BC90" s="413"/>
      <c r="BD90" s="413"/>
      <c r="BE90" s="413"/>
      <c r="BF90" s="413"/>
      <c r="BG90" s="413"/>
      <c r="BH90" s="413"/>
      <c r="BI90" s="413"/>
      <c r="BJ90" s="413"/>
      <c r="BK90" s="413"/>
      <c r="BL90" s="413"/>
      <c r="BM90" s="413"/>
      <c r="BN90" s="413"/>
      <c r="BO90" s="413"/>
      <c r="BP90" s="413"/>
      <c r="BQ90" s="413"/>
      <c r="BR90" s="413"/>
      <c r="BS90" s="413"/>
      <c r="BT90" s="413"/>
      <c r="BU90" s="413"/>
      <c r="BV90" s="413"/>
      <c r="BW90" s="413"/>
      <c r="BX90" s="413"/>
      <c r="BY90" s="413"/>
      <c r="BZ90" s="413"/>
      <c r="CA90" s="413"/>
      <c r="CB90" s="413"/>
      <c r="CC90" s="413"/>
      <c r="CD90" s="413"/>
      <c r="CE90" s="413"/>
      <c r="CF90" s="413"/>
      <c r="CG90" s="413"/>
      <c r="CH90" s="413"/>
      <c r="CI90" s="413"/>
      <c r="CJ90" s="413"/>
      <c r="CK90" s="413"/>
      <c r="CL90" s="413"/>
      <c r="CM90" s="413"/>
      <c r="CN90" s="413"/>
      <c r="CO90" s="413"/>
      <c r="CP90" s="413"/>
    </row>
    <row r="91" spans="1:94">
      <c r="AF91" s="413"/>
      <c r="BI91" s="89"/>
      <c r="BJ91" s="89"/>
      <c r="BK91" s="89"/>
      <c r="BL91" s="89"/>
      <c r="BM91" s="89"/>
      <c r="BN91" s="89"/>
      <c r="BO91" s="89"/>
      <c r="BP91" s="89"/>
      <c r="BQ91" s="89"/>
      <c r="BR91" s="89"/>
      <c r="BS91" s="502"/>
      <c r="BT91" s="89"/>
      <c r="BU91" s="89"/>
      <c r="BV91" s="89"/>
      <c r="BW91" s="89"/>
      <c r="BX91" s="89"/>
      <c r="BY91" s="89"/>
      <c r="BZ91" s="89"/>
      <c r="CA91" s="89"/>
      <c r="CB91" s="89"/>
      <c r="CC91" s="89"/>
      <c r="CD91" s="89"/>
      <c r="CE91" s="89"/>
      <c r="CF91" s="89"/>
      <c r="CG91" s="89"/>
      <c r="CH91" s="89"/>
      <c r="CI91" s="89"/>
      <c r="CJ91" s="89"/>
      <c r="CK91" s="89"/>
      <c r="CL91" s="89"/>
      <c r="CM91" s="89"/>
      <c r="CN91" s="89"/>
      <c r="CO91" s="89"/>
      <c r="CP91" s="89"/>
    </row>
    <row r="92" spans="1:94" s="124" customFormat="1">
      <c r="AF92" s="413"/>
      <c r="BI92" s="89"/>
      <c r="BJ92" s="89"/>
      <c r="BK92" s="89"/>
      <c r="BL92" s="89"/>
      <c r="BM92" s="347"/>
      <c r="BN92" s="89"/>
      <c r="BO92" s="89"/>
      <c r="BP92" s="89"/>
      <c r="BQ92" s="89"/>
      <c r="BR92" s="89"/>
      <c r="BS92" s="502"/>
      <c r="BT92" s="89"/>
      <c r="BU92" s="89"/>
      <c r="BV92" s="347"/>
      <c r="BW92" s="89"/>
      <c r="BX92" s="89"/>
      <c r="BY92" s="89"/>
      <c r="BZ92" s="89"/>
      <c r="CA92" s="89"/>
      <c r="CB92" s="89"/>
      <c r="CC92" s="89"/>
      <c r="CD92" s="89"/>
      <c r="CE92" s="347"/>
      <c r="CF92" s="89"/>
      <c r="CG92" s="89"/>
      <c r="CH92" s="89"/>
      <c r="CI92" s="89"/>
      <c r="CJ92" s="89"/>
      <c r="CK92" s="89"/>
      <c r="CL92" s="89"/>
      <c r="CM92" s="89"/>
      <c r="CN92" s="89"/>
      <c r="CO92" s="89"/>
      <c r="CP92" s="89"/>
    </row>
    <row r="93" spans="1:94">
      <c r="A93" s="1" t="s">
        <v>205</v>
      </c>
      <c r="B93" s="246" t="s">
        <v>482</v>
      </c>
      <c r="C93" s="108"/>
      <c r="D93" s="108"/>
      <c r="E93" s="108"/>
      <c r="F93" s="108"/>
      <c r="R93" s="1" t="s">
        <v>206</v>
      </c>
      <c r="S93" s="32" t="s">
        <v>232</v>
      </c>
      <c r="AB93"/>
      <c r="AC93"/>
      <c r="AF93" s="413"/>
      <c r="BI93" s="89"/>
      <c r="BJ93" s="89"/>
      <c r="BK93" s="89"/>
      <c r="BL93" s="89"/>
      <c r="BM93" s="89"/>
      <c r="BN93" s="89"/>
      <c r="BO93" s="89"/>
      <c r="BP93" s="89"/>
      <c r="BQ93" s="89"/>
      <c r="BR93" s="89"/>
      <c r="BS93" s="89"/>
      <c r="BT93" s="89"/>
      <c r="BU93" s="89"/>
      <c r="BV93" s="89"/>
      <c r="BW93" s="89"/>
      <c r="BX93" s="89"/>
      <c r="BY93" s="89"/>
      <c r="BZ93" s="89"/>
      <c r="CA93" s="89"/>
      <c r="CB93" s="89"/>
      <c r="CC93" s="89"/>
      <c r="CD93" s="89"/>
      <c r="CE93" s="89"/>
      <c r="CF93" s="89"/>
      <c r="CG93" s="89"/>
      <c r="CH93" s="89"/>
      <c r="CI93" s="89"/>
      <c r="CJ93" s="89"/>
      <c r="CK93" s="89"/>
      <c r="CL93" s="89"/>
      <c r="CM93" s="89"/>
      <c r="CN93" s="89"/>
      <c r="CO93" s="89"/>
      <c r="CP93" s="89"/>
    </row>
    <row r="94" spans="1:94" ht="43.5" customHeight="1">
      <c r="B94" s="65"/>
      <c r="C94" s="108"/>
      <c r="D94" s="108"/>
      <c r="E94" s="108"/>
      <c r="F94" s="108"/>
      <c r="AB94"/>
      <c r="AC94"/>
      <c r="AF94" s="413"/>
      <c r="BI94" s="89"/>
      <c r="BJ94" s="89"/>
      <c r="BK94" s="89"/>
      <c r="BL94" s="89"/>
      <c r="BM94" s="503"/>
      <c r="BN94" s="504"/>
      <c r="BO94" s="504"/>
      <c r="BP94" s="504"/>
      <c r="BQ94" s="89"/>
      <c r="BR94" s="504"/>
      <c r="BS94" s="89"/>
      <c r="BT94" s="89"/>
      <c r="BU94" s="89"/>
      <c r="BV94" s="503"/>
      <c r="BW94" s="505"/>
      <c r="BX94" s="505"/>
      <c r="BY94" s="505"/>
      <c r="BZ94" s="504"/>
      <c r="CA94" s="89"/>
      <c r="CB94" s="89"/>
      <c r="CC94" s="89"/>
      <c r="CD94" s="89"/>
      <c r="CE94" s="503"/>
      <c r="CF94" s="505"/>
      <c r="CG94" s="505"/>
      <c r="CH94" s="505"/>
      <c r="CI94" s="504"/>
      <c r="CJ94" s="504"/>
      <c r="CK94" s="89"/>
      <c r="CL94" s="89"/>
      <c r="CM94" s="89"/>
      <c r="CN94" s="89"/>
      <c r="CO94" s="89"/>
      <c r="CP94" s="89"/>
    </row>
    <row r="95" spans="1:94" ht="14.6" thickBot="1">
      <c r="B95" s="106"/>
      <c r="C95" s="50" t="s">
        <v>179</v>
      </c>
      <c r="D95" s="50"/>
      <c r="E95" s="108"/>
      <c r="F95" s="97" t="s">
        <v>133</v>
      </c>
      <c r="G95" s="97" t="s">
        <v>176</v>
      </c>
      <c r="H95" s="98" t="s">
        <v>134</v>
      </c>
      <c r="K95" s="89"/>
      <c r="L95" s="347"/>
      <c r="M95" s="89"/>
      <c r="N95" s="89"/>
      <c r="O95" s="626"/>
      <c r="S95" s="106"/>
      <c r="T95" s="50" t="s">
        <v>179</v>
      </c>
      <c r="U95" s="124"/>
      <c r="V95" s="97" t="s">
        <v>133</v>
      </c>
      <c r="W95" s="97" t="s">
        <v>176</v>
      </c>
      <c r="X95" s="98" t="s">
        <v>134</v>
      </c>
      <c r="AA95" s="89"/>
      <c r="AB95" s="347"/>
      <c r="AC95" s="89"/>
      <c r="AD95" s="89"/>
      <c r="AE95" s="89"/>
      <c r="AF95" s="413"/>
      <c r="BI95" s="89"/>
      <c r="BJ95" s="89"/>
      <c r="BK95" s="89"/>
      <c r="BL95" s="89"/>
      <c r="BM95" s="488"/>
      <c r="BN95" s="490"/>
      <c r="BO95" s="490"/>
      <c r="BP95" s="490"/>
      <c r="BQ95" s="89"/>
      <c r="BR95" s="490"/>
      <c r="BS95" s="89"/>
      <c r="BT95" s="89"/>
      <c r="BU95" s="89"/>
      <c r="BV95" s="89"/>
      <c r="BW95" s="490"/>
      <c r="BX95" s="490"/>
      <c r="BY95" s="490"/>
      <c r="BZ95" s="490"/>
      <c r="CA95" s="89"/>
      <c r="CB95" s="89"/>
      <c r="CC95" s="89"/>
      <c r="CD95" s="89"/>
      <c r="CE95" s="89"/>
      <c r="CF95" s="490"/>
      <c r="CG95" s="490"/>
      <c r="CH95" s="490"/>
      <c r="CI95" s="490"/>
      <c r="CJ95" s="490"/>
      <c r="CK95" s="89"/>
      <c r="CL95" s="89"/>
      <c r="CM95" s="89"/>
      <c r="CN95" s="89"/>
      <c r="CO95" s="89"/>
      <c r="CP95" s="89"/>
    </row>
    <row r="96" spans="1:94" ht="14.6" thickBot="1">
      <c r="B96" s="726" t="s">
        <v>79</v>
      </c>
      <c r="C96" s="50" t="s">
        <v>135</v>
      </c>
      <c r="D96" s="50"/>
      <c r="E96" s="108"/>
      <c r="F96" s="159">
        <f>A121</f>
        <v>4.6469837597523362</v>
      </c>
      <c r="G96" s="159">
        <v>4.1465923305255039</v>
      </c>
      <c r="H96" s="748"/>
      <c r="K96" s="89"/>
      <c r="L96" s="627"/>
      <c r="M96" s="627"/>
      <c r="N96" s="627"/>
      <c r="O96" s="627"/>
      <c r="R96" s="157"/>
      <c r="S96" s="726" t="s">
        <v>79</v>
      </c>
      <c r="T96" s="50" t="s">
        <v>135</v>
      </c>
      <c r="U96" s="124"/>
      <c r="V96" s="159">
        <f>F96</f>
        <v>4.6469837597523362</v>
      </c>
      <c r="W96" s="159">
        <f>G96</f>
        <v>4.1465923305255039</v>
      </c>
      <c r="X96" s="748"/>
      <c r="AA96" s="89"/>
      <c r="AB96" s="627"/>
      <c r="AC96" s="627"/>
      <c r="AD96" s="627"/>
      <c r="AE96" s="627"/>
      <c r="AF96" s="413"/>
      <c r="BI96" s="89"/>
      <c r="BJ96" s="89"/>
      <c r="BK96" s="89"/>
      <c r="BL96" s="89"/>
      <c r="BM96" s="488"/>
      <c r="BN96" s="490"/>
      <c r="BO96" s="490"/>
      <c r="BP96" s="490"/>
      <c r="BQ96" s="89"/>
      <c r="BR96" s="490"/>
      <c r="BS96" s="89"/>
      <c r="BT96" s="89"/>
      <c r="BU96" s="89"/>
      <c r="BV96" s="89"/>
      <c r="BW96" s="490"/>
      <c r="BX96" s="490"/>
      <c r="BY96" s="490"/>
      <c r="BZ96" s="490"/>
      <c r="CA96" s="89"/>
      <c r="CB96" s="89"/>
      <c r="CC96" s="89"/>
      <c r="CD96" s="89"/>
      <c r="CE96" s="89"/>
      <c r="CF96" s="490"/>
      <c r="CG96" s="490"/>
      <c r="CH96" s="490"/>
      <c r="CI96" s="490"/>
      <c r="CJ96" s="763"/>
      <c r="CK96" s="89"/>
      <c r="CL96" s="89"/>
      <c r="CM96" s="89"/>
      <c r="CN96" s="89"/>
      <c r="CO96" s="89"/>
      <c r="CP96" s="89"/>
    </row>
    <row r="97" spans="2:94" ht="14.6" thickBot="1">
      <c r="B97" s="727"/>
      <c r="C97" s="50" t="s">
        <v>136</v>
      </c>
      <c r="D97" s="50"/>
      <c r="E97" s="108"/>
      <c r="F97" s="159">
        <f>B121</f>
        <v>6.2011414718863289</v>
      </c>
      <c r="G97" s="159">
        <v>6.0796930732513639</v>
      </c>
      <c r="H97" s="749"/>
      <c r="K97" s="89"/>
      <c r="L97" s="588"/>
      <c r="M97" s="588"/>
      <c r="N97" s="588"/>
      <c r="O97" s="628"/>
      <c r="R97" s="157"/>
      <c r="S97" s="727"/>
      <c r="T97" s="50" t="s">
        <v>136</v>
      </c>
      <c r="U97" s="124"/>
      <c r="V97" s="159">
        <f>F97-($X$55+$Y$55)/1000</f>
        <v>6.660701728404133</v>
      </c>
      <c r="W97" s="159">
        <f>G97-($X$55+$Y$55)/1000</f>
        <v>6.539253329769168</v>
      </c>
      <c r="X97" s="749"/>
      <c r="Z97" s="156"/>
      <c r="AA97" s="89"/>
      <c r="AB97" s="588"/>
      <c r="AC97" s="588"/>
      <c r="AD97" s="588"/>
      <c r="AE97" s="628"/>
      <c r="AF97" s="413"/>
      <c r="BI97" s="89"/>
      <c r="BJ97" s="89"/>
      <c r="BK97" s="89"/>
      <c r="BL97" s="89"/>
      <c r="BM97" s="488"/>
      <c r="BN97" s="490"/>
      <c r="BO97" s="490"/>
      <c r="BP97" s="490"/>
      <c r="BQ97" s="89"/>
      <c r="BR97" s="490"/>
      <c r="BS97" s="89"/>
      <c r="BT97" s="89"/>
      <c r="BU97" s="89"/>
      <c r="BV97" s="488"/>
      <c r="BW97" s="492"/>
      <c r="BX97" s="492"/>
      <c r="BY97" s="492"/>
      <c r="BZ97" s="492"/>
      <c r="CA97" s="89"/>
      <c r="CB97" s="89"/>
      <c r="CC97" s="89"/>
      <c r="CD97" s="89"/>
      <c r="CE97" s="488"/>
      <c r="CF97" s="492"/>
      <c r="CG97" s="492"/>
      <c r="CH97" s="492"/>
      <c r="CI97" s="492"/>
      <c r="CJ97" s="764"/>
      <c r="CK97" s="89"/>
      <c r="CL97" s="89"/>
      <c r="CM97" s="89"/>
      <c r="CN97" s="89"/>
      <c r="CO97" s="89"/>
      <c r="CP97" s="89"/>
    </row>
    <row r="98" spans="2:94" ht="15" thickBot="1">
      <c r="B98" s="727"/>
      <c r="C98" s="50" t="s">
        <v>223</v>
      </c>
      <c r="D98" s="50"/>
      <c r="E98" s="108"/>
      <c r="F98" s="160">
        <f>F96-F97</f>
        <v>-1.5541577121339927</v>
      </c>
      <c r="G98" s="160">
        <f>G96-G97</f>
        <v>-1.93310074272586</v>
      </c>
      <c r="H98" s="158">
        <f>G98-F98</f>
        <v>-0.37894303059186729</v>
      </c>
      <c r="K98" s="89"/>
      <c r="L98" s="588"/>
      <c r="M98" s="588"/>
      <c r="N98" s="588"/>
      <c r="O98" s="628"/>
      <c r="R98" s="157"/>
      <c r="S98" s="727"/>
      <c r="T98" s="50" t="s">
        <v>223</v>
      </c>
      <c r="U98" s="124"/>
      <c r="V98" s="160">
        <f>V96-V97</f>
        <v>-2.0137179686517968</v>
      </c>
      <c r="W98" s="160">
        <f>W96-W97</f>
        <v>-2.392660999243664</v>
      </c>
      <c r="X98" s="158">
        <f>W98-V98</f>
        <v>-0.37894303059186729</v>
      </c>
      <c r="AA98" s="89"/>
      <c r="AB98" s="588"/>
      <c r="AC98" s="588"/>
      <c r="AD98" s="588"/>
      <c r="AE98" s="628"/>
      <c r="AF98" s="413"/>
      <c r="BI98" s="89"/>
      <c r="BJ98" s="89"/>
      <c r="BK98" s="89"/>
      <c r="BL98" s="89"/>
      <c r="BM98" s="89"/>
      <c r="BN98" s="491"/>
      <c r="BO98" s="491"/>
      <c r="BP98" s="491"/>
      <c r="BQ98" s="89"/>
      <c r="BR98" s="491"/>
      <c r="BS98" s="89"/>
      <c r="BT98" s="89"/>
      <c r="BU98" s="89"/>
      <c r="BV98" s="506"/>
      <c r="BW98" s="89"/>
      <c r="BX98" s="89"/>
      <c r="BY98" s="89"/>
      <c r="BZ98" s="89"/>
      <c r="CA98" s="89"/>
      <c r="CB98" s="89"/>
      <c r="CC98" s="89"/>
      <c r="CD98" s="89"/>
      <c r="CE98" s="506"/>
      <c r="CF98" s="89"/>
      <c r="CG98" s="89"/>
      <c r="CH98" s="89"/>
      <c r="CI98" s="89"/>
      <c r="CJ98" s="491"/>
      <c r="CK98" s="89"/>
      <c r="CL98" s="89"/>
      <c r="CM98" s="89"/>
      <c r="CN98" s="89"/>
      <c r="CO98" s="89"/>
      <c r="CP98" s="89"/>
    </row>
    <row r="99" spans="2:94" ht="14.6" thickBot="1">
      <c r="E99" s="237" t="s">
        <v>224</v>
      </c>
      <c r="F99" s="236">
        <f>F98/F97</f>
        <v>-0.25062445667139932</v>
      </c>
      <c r="G99" s="236">
        <f>G98/G97</f>
        <v>-0.31796025217635787</v>
      </c>
      <c r="K99" s="89"/>
      <c r="L99" s="588"/>
      <c r="M99" s="588"/>
      <c r="N99" s="588"/>
      <c r="O99" s="629"/>
      <c r="R99" s="157"/>
      <c r="S99" s="124"/>
      <c r="T99" s="124"/>
      <c r="U99" s="237" t="s">
        <v>224</v>
      </c>
      <c r="V99" s="236">
        <f>V98/V97</f>
        <v>-0.30232820065555949</v>
      </c>
      <c r="W99" s="236">
        <f>W98/W97</f>
        <v>-0.36589207950567709</v>
      </c>
      <c r="X99" s="124"/>
      <c r="AA99" s="89"/>
      <c r="AB99" s="588"/>
      <c r="AC99" s="588"/>
      <c r="AD99" s="588"/>
      <c r="AE99" s="629"/>
      <c r="AF99" s="413"/>
      <c r="BI99" s="89"/>
      <c r="BJ99" s="89"/>
      <c r="BK99" s="89"/>
      <c r="BL99" s="89"/>
      <c r="BM99" s="488"/>
      <c r="BN99" s="490"/>
      <c r="BO99" s="490"/>
      <c r="BP99" s="490"/>
      <c r="BQ99" s="89"/>
      <c r="BR99" s="490"/>
      <c r="BS99" s="89"/>
      <c r="BT99" s="89"/>
      <c r="BU99" s="89"/>
      <c r="BV99" s="89"/>
      <c r="BW99" s="89"/>
      <c r="BX99" s="89"/>
      <c r="BY99" s="89"/>
      <c r="BZ99" s="89"/>
      <c r="CA99" s="89"/>
      <c r="CB99" s="89"/>
      <c r="CC99" s="89"/>
      <c r="CD99" s="89"/>
      <c r="CE99" s="488"/>
      <c r="CF99" s="490"/>
      <c r="CG99" s="490"/>
      <c r="CH99" s="490"/>
      <c r="CI99" s="89"/>
      <c r="CJ99" s="490"/>
      <c r="CK99" s="89"/>
      <c r="CL99" s="89"/>
      <c r="CM99" s="89"/>
      <c r="CN99" s="89"/>
      <c r="CO99" s="89"/>
      <c r="CP99" s="89"/>
    </row>
    <row r="100" spans="2:94" s="124" customFormat="1" ht="14.15">
      <c r="F100" s="161"/>
      <c r="G100" s="161"/>
      <c r="K100" s="89"/>
      <c r="L100" s="492"/>
      <c r="M100" s="492"/>
      <c r="N100" s="492"/>
      <c r="O100" s="492"/>
      <c r="R100" s="157"/>
      <c r="V100" s="161"/>
      <c r="W100" s="161"/>
      <c r="AA100" s="89"/>
      <c r="AB100" s="492"/>
      <c r="AC100" s="492"/>
      <c r="AD100" s="492"/>
      <c r="AE100" s="492"/>
      <c r="AF100" s="413"/>
      <c r="BI100" s="89"/>
      <c r="BJ100" s="89"/>
      <c r="BK100" s="89"/>
      <c r="BL100" s="89"/>
      <c r="BM100" s="488"/>
      <c r="BN100" s="490"/>
      <c r="BO100" s="490"/>
      <c r="BP100" s="490"/>
      <c r="BQ100" s="89"/>
      <c r="BR100" s="490"/>
      <c r="BS100" s="89"/>
      <c r="BT100" s="89"/>
      <c r="BU100" s="89"/>
      <c r="BV100" s="89"/>
      <c r="BW100" s="89"/>
      <c r="BX100" s="89"/>
      <c r="BY100" s="89"/>
      <c r="BZ100" s="89"/>
      <c r="CA100" s="89"/>
      <c r="CB100" s="89"/>
      <c r="CC100" s="89"/>
      <c r="CD100" s="89"/>
      <c r="CE100" s="765"/>
      <c r="CF100" s="762"/>
      <c r="CG100" s="762"/>
      <c r="CH100" s="762"/>
      <c r="CI100" s="89"/>
      <c r="CJ100" s="763"/>
      <c r="CK100" s="89"/>
      <c r="CL100" s="89"/>
      <c r="CM100" s="89"/>
      <c r="CN100" s="89"/>
      <c r="CO100" s="89"/>
      <c r="CP100" s="89"/>
    </row>
    <row r="101" spans="2:94" ht="14.25" customHeight="1" thickBot="1">
      <c r="B101" s="106"/>
      <c r="C101" s="50" t="str">
        <f>C95</f>
        <v>£ billion, 2018-19 Prices</v>
      </c>
      <c r="D101" s="50"/>
      <c r="E101" s="108"/>
      <c r="F101" s="160" t="s">
        <v>133</v>
      </c>
      <c r="G101" s="160" t="s">
        <v>176</v>
      </c>
      <c r="H101" s="98" t="s">
        <v>134</v>
      </c>
      <c r="K101" s="89"/>
      <c r="L101" s="89"/>
      <c r="M101" s="588"/>
      <c r="N101" s="588"/>
      <c r="O101" s="588"/>
      <c r="R101" s="157"/>
      <c r="S101" s="106"/>
      <c r="T101" s="50" t="str">
        <f>T95</f>
        <v>£ billion, 2018-19 Prices</v>
      </c>
      <c r="U101" s="124"/>
      <c r="V101" s="160" t="s">
        <v>133</v>
      </c>
      <c r="W101" s="160" t="s">
        <v>176</v>
      </c>
      <c r="X101" s="98" t="s">
        <v>134</v>
      </c>
      <c r="AA101" s="89"/>
      <c r="AB101" s="89"/>
      <c r="AC101" s="588"/>
      <c r="AD101" s="588"/>
      <c r="AE101" s="588"/>
      <c r="AF101" s="413"/>
      <c r="BI101" s="89"/>
      <c r="BJ101" s="89"/>
      <c r="BK101" s="89"/>
      <c r="BL101" s="89"/>
      <c r="BM101" s="488"/>
      <c r="BN101" s="490"/>
      <c r="BO101" s="507"/>
      <c r="BP101" s="507"/>
      <c r="BQ101" s="89"/>
      <c r="BR101" s="507"/>
      <c r="BS101" s="89"/>
      <c r="BT101" s="89"/>
      <c r="BU101" s="89"/>
      <c r="BV101" s="89"/>
      <c r="BW101" s="89"/>
      <c r="BX101" s="89"/>
      <c r="BY101" s="89"/>
      <c r="BZ101" s="89"/>
      <c r="CA101" s="89"/>
      <c r="CB101" s="89"/>
      <c r="CC101" s="89"/>
      <c r="CD101" s="89"/>
      <c r="CE101" s="762"/>
      <c r="CF101" s="762"/>
      <c r="CG101" s="762"/>
      <c r="CH101" s="762"/>
      <c r="CI101" s="89"/>
      <c r="CJ101" s="764"/>
      <c r="CK101" s="89"/>
      <c r="CL101" s="89"/>
      <c r="CM101" s="89"/>
      <c r="CN101" s="89"/>
      <c r="CO101" s="89"/>
      <c r="CP101" s="89"/>
    </row>
    <row r="102" spans="2:94" ht="18" customHeight="1" thickBot="1">
      <c r="B102" s="726" t="s">
        <v>175</v>
      </c>
      <c r="C102" s="50" t="s">
        <v>135</v>
      </c>
      <c r="D102" s="50"/>
      <c r="E102" s="108"/>
      <c r="F102" s="159">
        <f>A120</f>
        <v>3.4314875223642387</v>
      </c>
      <c r="G102" s="159">
        <v>3.4259555050867747</v>
      </c>
      <c r="H102" s="748"/>
      <c r="K102" s="89"/>
      <c r="L102" s="89"/>
      <c r="M102" s="588"/>
      <c r="N102" s="588"/>
      <c r="O102" s="588"/>
      <c r="R102" s="157"/>
      <c r="S102" s="726" t="s">
        <v>175</v>
      </c>
      <c r="T102" s="50" t="s">
        <v>135</v>
      </c>
      <c r="U102" s="124"/>
      <c r="V102" s="159">
        <f>F102</f>
        <v>3.4314875223642387</v>
      </c>
      <c r="W102" s="159">
        <f>G102</f>
        <v>3.4259555050867747</v>
      </c>
      <c r="X102" s="748"/>
      <c r="AA102" s="89"/>
      <c r="AB102" s="89"/>
      <c r="AC102" s="588"/>
      <c r="AD102" s="588"/>
      <c r="AE102" s="588"/>
      <c r="AF102" s="413"/>
      <c r="BI102" s="89"/>
      <c r="BJ102" s="89"/>
      <c r="BK102" s="89"/>
      <c r="BL102" s="89"/>
      <c r="BM102" s="89"/>
      <c r="BN102" s="491"/>
      <c r="BO102" s="491"/>
      <c r="BP102" s="491"/>
      <c r="BQ102" s="89"/>
      <c r="BR102" s="491"/>
      <c r="BS102" s="89"/>
      <c r="BT102" s="89"/>
      <c r="BU102" s="89"/>
      <c r="BV102" s="89"/>
      <c r="BW102" s="89"/>
      <c r="BX102" s="89"/>
      <c r="BY102" s="89"/>
      <c r="BZ102" s="89"/>
      <c r="CA102" s="89"/>
      <c r="CB102" s="89"/>
      <c r="CC102" s="89"/>
      <c r="CD102" s="89"/>
      <c r="CE102" s="89"/>
      <c r="CF102" s="493"/>
      <c r="CG102" s="491"/>
      <c r="CH102" s="493"/>
      <c r="CI102" s="89"/>
      <c r="CJ102" s="491"/>
      <c r="CK102" s="89"/>
      <c r="CL102" s="89"/>
      <c r="CM102" s="89"/>
      <c r="CN102" s="89"/>
      <c r="CO102" s="89"/>
      <c r="CP102" s="89"/>
    </row>
    <row r="103" spans="2:94" ht="14.6" thickBot="1">
      <c r="B103" s="727"/>
      <c r="C103" s="50" t="s">
        <v>136</v>
      </c>
      <c r="D103" s="50"/>
      <c r="E103" s="108"/>
      <c r="F103" s="159">
        <v>4.0413026838196977</v>
      </c>
      <c r="G103" s="159">
        <v>4.617440758242962</v>
      </c>
      <c r="H103" s="749"/>
      <c r="K103" s="89"/>
      <c r="L103" s="347"/>
      <c r="M103" s="588"/>
      <c r="N103" s="588"/>
      <c r="O103" s="626"/>
      <c r="R103" s="157"/>
      <c r="S103" s="727"/>
      <c r="T103" s="50" t="s">
        <v>136</v>
      </c>
      <c r="U103" s="124"/>
      <c r="V103" s="159">
        <f>F103-($X$56+$Y$56)/1000</f>
        <v>4.2119964933834533</v>
      </c>
      <c r="W103" s="159">
        <f>G103-($X$56+$Y$56)/1000</f>
        <v>4.7881345678067175</v>
      </c>
      <c r="X103" s="749"/>
      <c r="AA103" s="89"/>
      <c r="AB103" s="347"/>
      <c r="AC103" s="588"/>
      <c r="AD103" s="588"/>
      <c r="AE103" s="588"/>
      <c r="AF103" s="413"/>
      <c r="BI103" s="89"/>
      <c r="BJ103" s="89"/>
      <c r="BK103" s="89"/>
      <c r="BL103" s="89"/>
      <c r="BM103" s="488"/>
      <c r="BN103" s="492"/>
      <c r="BO103" s="492"/>
      <c r="BP103" s="492"/>
      <c r="BQ103" s="89"/>
      <c r="BR103" s="492"/>
      <c r="BS103" s="89"/>
      <c r="BT103" s="89"/>
      <c r="BU103" s="89"/>
      <c r="BV103" s="89"/>
      <c r="BW103" s="89"/>
      <c r="BX103" s="89"/>
      <c r="BY103" s="89"/>
      <c r="BZ103" s="89"/>
      <c r="CA103" s="89"/>
      <c r="CB103" s="89"/>
      <c r="CC103" s="89"/>
      <c r="CD103" s="89"/>
      <c r="CE103" s="89"/>
      <c r="CF103" s="492"/>
      <c r="CG103" s="492"/>
      <c r="CH103" s="492"/>
      <c r="CI103" s="89"/>
      <c r="CJ103" s="494"/>
      <c r="CK103" s="89"/>
      <c r="CL103" s="508"/>
      <c r="CM103" s="89"/>
      <c r="CN103" s="89"/>
      <c r="CO103" s="89"/>
      <c r="CP103" s="89"/>
    </row>
    <row r="104" spans="2:94" ht="15" thickBot="1">
      <c r="B104" s="727"/>
      <c r="C104" s="50" t="s">
        <v>223</v>
      </c>
      <c r="D104" s="50"/>
      <c r="E104" s="108"/>
      <c r="F104" s="160">
        <f>F102-F103</f>
        <v>-0.609815161455459</v>
      </c>
      <c r="G104" s="160">
        <f>G102-G103</f>
        <v>-1.1914852531561873</v>
      </c>
      <c r="H104" s="162">
        <f>G104-F104</f>
        <v>-0.58167009170072825</v>
      </c>
      <c r="K104" s="89"/>
      <c r="L104" s="627"/>
      <c r="M104" s="627"/>
      <c r="N104" s="627"/>
      <c r="O104" s="627"/>
      <c r="R104" s="157"/>
      <c r="S104" s="727"/>
      <c r="T104" s="50" t="s">
        <v>223</v>
      </c>
      <c r="U104" s="124"/>
      <c r="V104" s="160">
        <f>V102-V103</f>
        <v>-0.78050897101921457</v>
      </c>
      <c r="W104" s="160">
        <f>W102-W103</f>
        <v>-1.3621790627199428</v>
      </c>
      <c r="X104" s="162">
        <f>W104-V104</f>
        <v>-0.58167009170072825</v>
      </c>
      <c r="AA104" s="89"/>
      <c r="AB104" s="627"/>
      <c r="AC104" s="627"/>
      <c r="AD104" s="627"/>
      <c r="AE104" s="627"/>
      <c r="AF104" s="413"/>
      <c r="BI104" s="89"/>
      <c r="BJ104" s="89"/>
      <c r="BK104" s="89"/>
      <c r="BL104" s="89"/>
      <c r="BM104" s="506"/>
      <c r="BN104" s="89"/>
      <c r="BO104" s="89"/>
      <c r="BP104" s="89"/>
      <c r="BQ104" s="89"/>
      <c r="BR104" s="89"/>
      <c r="BS104" s="89"/>
      <c r="BT104" s="89"/>
      <c r="BU104" s="89"/>
      <c r="BV104" s="347"/>
      <c r="BW104" s="89"/>
      <c r="BX104" s="89"/>
      <c r="BY104" s="89"/>
      <c r="BZ104" s="89"/>
      <c r="CA104" s="89"/>
      <c r="CB104" s="89"/>
      <c r="CC104" s="89"/>
      <c r="CD104" s="89"/>
      <c r="CE104" s="506"/>
      <c r="CF104" s="89"/>
      <c r="CG104" s="89"/>
      <c r="CH104" s="89"/>
      <c r="CI104" s="89"/>
      <c r="CJ104" s="89"/>
      <c r="CK104" s="89"/>
      <c r="CL104" s="89"/>
      <c r="CM104" s="89"/>
      <c r="CN104" s="89"/>
      <c r="CO104" s="89"/>
      <c r="CP104" s="89"/>
    </row>
    <row r="105" spans="2:94" ht="12.9" thickBot="1">
      <c r="E105" s="237" t="s">
        <v>224</v>
      </c>
      <c r="F105" s="236">
        <f>F104/F103</f>
        <v>-0.15089569110895773</v>
      </c>
      <c r="G105" s="236">
        <f>G104/G103</f>
        <v>-0.25804018189711947</v>
      </c>
      <c r="H105" s="156"/>
      <c r="I105" s="348"/>
      <c r="K105" s="89"/>
      <c r="L105" s="588"/>
      <c r="M105" s="588"/>
      <c r="N105" s="588"/>
      <c r="O105" s="628"/>
      <c r="R105" s="157"/>
      <c r="S105" s="124"/>
      <c r="T105" s="124"/>
      <c r="U105" s="237" t="s">
        <v>224</v>
      </c>
      <c r="V105" s="236">
        <f>V104/V103</f>
        <v>-0.18530617778179578</v>
      </c>
      <c r="W105" s="236">
        <f>W104/W103</f>
        <v>-0.28449055544065693</v>
      </c>
      <c r="X105" s="156"/>
      <c r="AA105" s="89"/>
      <c r="AB105" s="588"/>
      <c r="AC105" s="588"/>
      <c r="AD105" s="588"/>
      <c r="AE105" s="628"/>
      <c r="AF105" s="413"/>
      <c r="BI105" s="89"/>
      <c r="BJ105" s="89"/>
      <c r="BK105" s="89"/>
      <c r="BL105" s="89"/>
      <c r="BM105" s="89"/>
      <c r="BN105" s="89"/>
      <c r="BO105" s="89"/>
      <c r="BP105" s="89"/>
      <c r="BQ105" s="89"/>
      <c r="BR105" s="89"/>
      <c r="BS105" s="89"/>
      <c r="BT105" s="89"/>
      <c r="BU105" s="89"/>
      <c r="BV105" s="732"/>
      <c r="BW105" s="732"/>
      <c r="BX105" s="732"/>
      <c r="BY105" s="732"/>
      <c r="BZ105" s="732"/>
      <c r="CA105" s="89"/>
      <c r="CB105" s="89"/>
      <c r="CC105" s="89"/>
      <c r="CD105" s="89"/>
      <c r="CE105" s="89"/>
      <c r="CF105" s="89"/>
      <c r="CG105" s="89"/>
      <c r="CH105" s="89"/>
      <c r="CI105" s="89"/>
      <c r="CJ105" s="347"/>
      <c r="CK105" s="89"/>
      <c r="CL105" s="89"/>
      <c r="CM105" s="89"/>
      <c r="CN105" s="89"/>
      <c r="CO105" s="89"/>
      <c r="CP105" s="89"/>
    </row>
    <row r="106" spans="2:94" s="124" customFormat="1" ht="19.5" customHeight="1">
      <c r="F106" s="161"/>
      <c r="G106" s="161"/>
      <c r="H106" s="156"/>
      <c r="K106" s="89"/>
      <c r="L106" s="588"/>
      <c r="M106" s="588"/>
      <c r="N106" s="588"/>
      <c r="O106" s="628"/>
      <c r="R106" s="157"/>
      <c r="V106" s="161"/>
      <c r="W106" s="161"/>
      <c r="X106" s="156"/>
      <c r="AA106" s="89"/>
      <c r="AB106" s="588"/>
      <c r="AC106" s="588"/>
      <c r="AD106" s="588"/>
      <c r="AE106" s="628"/>
      <c r="AF106" s="413"/>
      <c r="BI106" s="89"/>
      <c r="BJ106" s="89"/>
      <c r="BK106" s="89"/>
      <c r="BL106" s="89"/>
      <c r="BM106" s="769"/>
      <c r="BN106" s="732"/>
      <c r="BO106" s="732"/>
      <c r="BP106" s="732"/>
      <c r="BQ106" s="732"/>
      <c r="BR106" s="770"/>
      <c r="BS106" s="89"/>
      <c r="BT106" s="89"/>
      <c r="BU106" s="89"/>
      <c r="BV106" s="732"/>
      <c r="BW106" s="732"/>
      <c r="BX106" s="732"/>
      <c r="BY106" s="732"/>
      <c r="BZ106" s="732"/>
      <c r="CA106" s="89"/>
      <c r="CB106" s="89"/>
      <c r="CC106" s="89"/>
      <c r="CD106" s="89"/>
      <c r="CE106" s="509"/>
      <c r="CF106" s="510"/>
      <c r="CG106" s="510"/>
      <c r="CH106" s="510"/>
      <c r="CI106" s="510"/>
      <c r="CJ106" s="511"/>
      <c r="CK106" s="511"/>
      <c r="CL106" s="511"/>
      <c r="CM106" s="511"/>
      <c r="CN106" s="89"/>
      <c r="CO106" s="89"/>
      <c r="CP106" s="89"/>
    </row>
    <row r="107" spans="2:94" ht="19.5" customHeight="1" thickBot="1">
      <c r="B107" s="106"/>
      <c r="C107" s="50" t="str">
        <f>C95</f>
        <v>£ billion, 2018-19 Prices</v>
      </c>
      <c r="D107" s="50"/>
      <c r="E107" s="108"/>
      <c r="F107" s="160" t="s">
        <v>133</v>
      </c>
      <c r="G107" s="160" t="s">
        <v>176</v>
      </c>
      <c r="H107" s="163" t="s">
        <v>134</v>
      </c>
      <c r="K107" s="89"/>
      <c r="L107" s="588"/>
      <c r="M107" s="588"/>
      <c r="N107" s="588"/>
      <c r="O107" s="628"/>
      <c r="R107" s="157"/>
      <c r="S107" s="106"/>
      <c r="T107" s="50" t="str">
        <f>T95</f>
        <v>£ billion, 2018-19 Prices</v>
      </c>
      <c r="U107" s="124"/>
      <c r="V107" s="160" t="s">
        <v>133</v>
      </c>
      <c r="W107" s="160" t="s">
        <v>176</v>
      </c>
      <c r="X107" s="163" t="s">
        <v>134</v>
      </c>
      <c r="AA107" s="89"/>
      <c r="AB107" s="588"/>
      <c r="AC107" s="588"/>
      <c r="AD107" s="588"/>
      <c r="AE107" s="628"/>
      <c r="AF107" s="413"/>
      <c r="BI107" s="89"/>
      <c r="BJ107" s="89"/>
      <c r="BK107" s="89"/>
      <c r="BL107" s="89"/>
      <c r="BM107" s="732"/>
      <c r="BN107" s="732"/>
      <c r="BO107" s="732"/>
      <c r="BP107" s="732"/>
      <c r="BQ107" s="732"/>
      <c r="BR107" s="770"/>
      <c r="BS107" s="89"/>
      <c r="BT107" s="89"/>
      <c r="BU107" s="89"/>
      <c r="BV107" s="732"/>
      <c r="BW107" s="732"/>
      <c r="BX107" s="732"/>
      <c r="BY107" s="732"/>
      <c r="BZ107" s="732"/>
      <c r="CA107" s="89"/>
      <c r="CB107" s="89"/>
      <c r="CC107" s="89"/>
      <c r="CD107" s="89"/>
      <c r="CE107" s="510"/>
      <c r="CF107" s="510"/>
      <c r="CG107" s="510"/>
      <c r="CH107" s="510"/>
      <c r="CI107" s="510"/>
      <c r="CJ107" s="511"/>
      <c r="CK107" s="511"/>
      <c r="CL107" s="511"/>
      <c r="CM107" s="511"/>
      <c r="CN107" s="89"/>
      <c r="CO107" s="89"/>
      <c r="CP107" s="89"/>
    </row>
    <row r="108" spans="2:94" ht="12.9" thickBot="1">
      <c r="B108" s="726" t="s">
        <v>177</v>
      </c>
      <c r="C108" s="50" t="s">
        <v>135</v>
      </c>
      <c r="D108" s="50"/>
      <c r="E108" s="108"/>
      <c r="F108" s="159">
        <f>A122</f>
        <v>0.32649601581057469</v>
      </c>
      <c r="G108" s="159">
        <v>0.35750980897741619</v>
      </c>
      <c r="H108" s="750"/>
      <c r="K108" s="89"/>
      <c r="L108" s="492"/>
      <c r="M108" s="492"/>
      <c r="N108" s="492"/>
      <c r="O108" s="492"/>
      <c r="R108" s="157"/>
      <c r="S108" s="726" t="s">
        <v>177</v>
      </c>
      <c r="T108" s="50" t="s">
        <v>135</v>
      </c>
      <c r="U108" s="124"/>
      <c r="V108" s="159">
        <f>F108</f>
        <v>0.32649601581057469</v>
      </c>
      <c r="W108" s="159">
        <f>G108</f>
        <v>0.35750980897741619</v>
      </c>
      <c r="X108" s="750"/>
      <c r="AA108" s="89"/>
      <c r="AB108" s="632"/>
      <c r="AC108" s="492"/>
      <c r="AD108" s="492"/>
      <c r="AE108" s="492"/>
      <c r="AF108" s="413"/>
      <c r="BI108" s="89"/>
      <c r="BJ108" s="89"/>
      <c r="BK108" s="89"/>
      <c r="BL108" s="89"/>
      <c r="BM108" s="771"/>
      <c r="BN108" s="732"/>
      <c r="BO108" s="732"/>
      <c r="BP108" s="732"/>
      <c r="BQ108" s="732"/>
      <c r="BR108" s="770"/>
      <c r="BS108" s="89"/>
      <c r="BT108" s="89"/>
      <c r="BU108" s="89"/>
      <c r="BV108" s="89"/>
      <c r="BW108" s="89"/>
      <c r="BX108" s="89"/>
      <c r="BY108" s="89"/>
      <c r="BZ108" s="89"/>
      <c r="CA108" s="89"/>
      <c r="CB108" s="89"/>
      <c r="CC108" s="89"/>
      <c r="CD108" s="89"/>
      <c r="CE108" s="512"/>
      <c r="CF108" s="510"/>
      <c r="CG108" s="510"/>
      <c r="CH108" s="510"/>
      <c r="CI108" s="510"/>
      <c r="CJ108" s="511"/>
      <c r="CK108" s="511"/>
      <c r="CL108" s="511"/>
      <c r="CM108" s="511"/>
      <c r="CN108" s="89"/>
      <c r="CO108" s="89"/>
      <c r="CP108" s="89"/>
    </row>
    <row r="109" spans="2:94" ht="24.75" customHeight="1" thickBot="1">
      <c r="B109" s="727"/>
      <c r="C109" s="50" t="s">
        <v>136</v>
      </c>
      <c r="D109" s="50"/>
      <c r="E109" s="108"/>
      <c r="F109" s="159">
        <f>B122</f>
        <v>0.19401182221368832</v>
      </c>
      <c r="G109" s="159">
        <v>0.19401182221368832</v>
      </c>
      <c r="H109" s="751"/>
      <c r="K109" s="89"/>
      <c r="L109" s="89"/>
      <c r="M109" s="89"/>
      <c r="N109" s="89"/>
      <c r="O109" s="89"/>
      <c r="R109" s="157"/>
      <c r="S109" s="727"/>
      <c r="T109" s="50" t="s">
        <v>136</v>
      </c>
      <c r="U109" s="124"/>
      <c r="V109" s="159">
        <f>F109</f>
        <v>0.19401182221368832</v>
      </c>
      <c r="W109" s="159">
        <f>G109</f>
        <v>0.19401182221368832</v>
      </c>
      <c r="X109" s="751"/>
      <c r="AA109" s="89"/>
      <c r="AB109" s="89"/>
      <c r="AC109" s="89"/>
      <c r="AD109" s="89"/>
      <c r="AE109" s="89"/>
      <c r="AF109" s="413"/>
      <c r="BI109" s="89"/>
      <c r="BJ109" s="89"/>
      <c r="BK109" s="89"/>
      <c r="BL109" s="89"/>
      <c r="BM109" s="732"/>
      <c r="BN109" s="732"/>
      <c r="BO109" s="732"/>
      <c r="BP109" s="732"/>
      <c r="BQ109" s="732"/>
      <c r="BR109" s="770"/>
      <c r="BS109" s="89"/>
      <c r="BT109" s="89"/>
      <c r="BU109" s="89"/>
      <c r="BV109" s="89"/>
      <c r="BW109" s="89"/>
      <c r="BX109" s="89"/>
      <c r="BY109" s="89"/>
      <c r="BZ109" s="89"/>
      <c r="CA109" s="89"/>
      <c r="CB109" s="89"/>
      <c r="CC109" s="89"/>
      <c r="CD109" s="89"/>
      <c r="CE109" s="510"/>
      <c r="CF109" s="510"/>
      <c r="CG109" s="510"/>
      <c r="CH109" s="510"/>
      <c r="CI109" s="510"/>
      <c r="CJ109" s="513"/>
      <c r="CK109" s="511"/>
      <c r="CL109" s="511"/>
      <c r="CM109" s="511"/>
      <c r="CN109" s="89"/>
      <c r="CO109" s="89"/>
      <c r="CP109" s="89"/>
    </row>
    <row r="110" spans="2:94" ht="12.9" thickBot="1">
      <c r="B110" s="727"/>
      <c r="C110" s="50" t="s">
        <v>223</v>
      </c>
      <c r="D110" s="50"/>
      <c r="E110" s="108"/>
      <c r="F110" s="160">
        <f>F108-F109</f>
        <v>0.13248419359688637</v>
      </c>
      <c r="G110" s="160">
        <f>G108-G109</f>
        <v>0.16349798676372787</v>
      </c>
      <c r="H110" s="162">
        <f>G110-F110</f>
        <v>3.1013793166841497E-2</v>
      </c>
      <c r="K110" s="89"/>
      <c r="L110" s="562"/>
      <c r="M110" s="502"/>
      <c r="N110" s="502"/>
      <c r="O110" s="565"/>
      <c r="R110" s="157"/>
      <c r="S110" s="727"/>
      <c r="T110" s="50" t="s">
        <v>223</v>
      </c>
      <c r="U110" s="124"/>
      <c r="V110" s="160">
        <f>V108-V109</f>
        <v>0.13248419359688637</v>
      </c>
      <c r="W110" s="160">
        <f>W108-W109</f>
        <v>0.16349798676372787</v>
      </c>
      <c r="X110" s="162">
        <f>W110-V110</f>
        <v>3.1013793166841497E-2</v>
      </c>
      <c r="AA110" s="89"/>
      <c r="AB110" s="562"/>
      <c r="AC110" s="502"/>
      <c r="AD110" s="502"/>
      <c r="AE110" s="565"/>
      <c r="AF110" s="413"/>
      <c r="BI110" s="89"/>
      <c r="BJ110" s="89"/>
      <c r="BK110" s="89"/>
      <c r="BL110" s="89"/>
      <c r="BM110" s="514"/>
      <c r="BN110" s="89"/>
      <c r="BO110" s="89"/>
      <c r="BP110" s="89"/>
      <c r="BQ110" s="89"/>
      <c r="BR110" s="89"/>
      <c r="BS110" s="89"/>
      <c r="BT110" s="89"/>
      <c r="BU110" s="89"/>
      <c r="BV110" s="766"/>
      <c r="BW110" s="732"/>
      <c r="BX110" s="732"/>
      <c r="BY110" s="732"/>
      <c r="BZ110" s="732"/>
      <c r="CA110" s="89"/>
      <c r="CB110" s="89"/>
      <c r="CC110" s="89"/>
      <c r="CD110" s="89"/>
      <c r="CE110" s="515"/>
      <c r="CF110" s="511"/>
      <c r="CG110" s="511"/>
      <c r="CH110" s="511"/>
      <c r="CI110" s="511"/>
      <c r="CJ110" s="511"/>
      <c r="CK110" s="511"/>
      <c r="CL110" s="511"/>
      <c r="CM110" s="511"/>
      <c r="CN110" s="89"/>
      <c r="CO110" s="89"/>
      <c r="CP110" s="89"/>
    </row>
    <row r="111" spans="2:94" ht="24.75" customHeight="1" thickBot="1">
      <c r="E111" s="237" t="s">
        <v>224</v>
      </c>
      <c r="F111" s="236">
        <f>F110/F109</f>
        <v>0.68286660104127961</v>
      </c>
      <c r="G111" s="236">
        <f>G110/G109</f>
        <v>0.84272177281881344</v>
      </c>
      <c r="H111" s="156"/>
      <c r="I111" s="348"/>
      <c r="K111" s="588"/>
      <c r="L111" s="560"/>
      <c r="M111" s="560"/>
      <c r="N111" s="560"/>
      <c r="O111" s="560"/>
      <c r="R111" s="157"/>
      <c r="S111" s="124"/>
      <c r="T111" s="124"/>
      <c r="U111" s="237" t="s">
        <v>224</v>
      </c>
      <c r="V111" s="236">
        <f>V110/V109</f>
        <v>0.68286660104127961</v>
      </c>
      <c r="W111" s="236">
        <f>W110/W109</f>
        <v>0.84272177281881344</v>
      </c>
      <c r="X111" s="156"/>
      <c r="AA111" s="89"/>
      <c r="AB111" s="560"/>
      <c r="AC111" s="560"/>
      <c r="AD111" s="560"/>
      <c r="AE111" s="560"/>
      <c r="AF111" s="413"/>
      <c r="BI111" s="89"/>
      <c r="BJ111" s="89"/>
      <c r="BK111" s="89"/>
      <c r="BL111" s="762"/>
      <c r="BM111" s="772"/>
      <c r="BN111" s="773"/>
      <c r="BO111" s="773"/>
      <c r="BP111" s="773"/>
      <c r="BQ111" s="773"/>
      <c r="BR111" s="89"/>
      <c r="BS111" s="89"/>
      <c r="BT111" s="89"/>
      <c r="BU111" s="89"/>
      <c r="BV111" s="732"/>
      <c r="BW111" s="732"/>
      <c r="BX111" s="732"/>
      <c r="BY111" s="732"/>
      <c r="BZ111" s="732"/>
      <c r="CA111" s="89"/>
      <c r="CB111" s="89"/>
      <c r="CC111" s="89"/>
      <c r="CD111" s="89"/>
      <c r="CE111" s="347"/>
      <c r="CF111" s="516"/>
      <c r="CG111" s="517"/>
      <c r="CH111" s="517"/>
      <c r="CI111" s="517"/>
      <c r="CJ111" s="517"/>
      <c r="CK111" s="511"/>
      <c r="CL111" s="511"/>
      <c r="CM111" s="511"/>
      <c r="CN111" s="89"/>
      <c r="CO111" s="89"/>
      <c r="CP111" s="89"/>
    </row>
    <row r="112" spans="2:94" s="124" customFormat="1">
      <c r="F112" s="161"/>
      <c r="G112" s="161"/>
      <c r="H112" s="156"/>
      <c r="K112" s="588"/>
      <c r="L112" s="561"/>
      <c r="M112" s="561"/>
      <c r="N112" s="561"/>
      <c r="O112" s="563"/>
      <c r="Q112" s="157"/>
      <c r="R112" s="157"/>
      <c r="V112" s="161"/>
      <c r="W112" s="161"/>
      <c r="X112" s="156"/>
      <c r="AA112" s="89"/>
      <c r="AB112" s="561"/>
      <c r="AC112" s="561"/>
      <c r="AD112" s="561"/>
      <c r="AE112" s="563"/>
      <c r="AF112" s="413"/>
      <c r="BI112" s="89"/>
      <c r="BJ112" s="89"/>
      <c r="BK112" s="89"/>
      <c r="BL112" s="762"/>
      <c r="BM112" s="773"/>
      <c r="BN112" s="773"/>
      <c r="BO112" s="773"/>
      <c r="BP112" s="773"/>
      <c r="BQ112" s="773"/>
      <c r="BR112" s="89"/>
      <c r="BS112" s="89"/>
      <c r="BT112" s="89"/>
      <c r="BU112" s="89"/>
      <c r="BV112" s="89"/>
      <c r="BW112" s="89"/>
      <c r="BX112" s="89"/>
      <c r="BY112" s="89"/>
      <c r="BZ112" s="89"/>
      <c r="CA112" s="89"/>
      <c r="CB112" s="89"/>
      <c r="CC112" s="89"/>
      <c r="CD112" s="89"/>
      <c r="CE112" s="347"/>
      <c r="CF112" s="517"/>
      <c r="CG112" s="517"/>
      <c r="CH112" s="517"/>
      <c r="CI112" s="517"/>
      <c r="CJ112" s="517"/>
      <c r="CK112" s="511"/>
      <c r="CL112" s="511"/>
      <c r="CM112" s="511"/>
      <c r="CN112" s="89"/>
      <c r="CO112" s="89"/>
      <c r="CP112" s="89"/>
    </row>
    <row r="113" spans="1:94" ht="12.9" thickBot="1">
      <c r="B113" s="106"/>
      <c r="C113" s="50" t="str">
        <f>C95</f>
        <v>£ billion, 2018-19 Prices</v>
      </c>
      <c r="D113" s="50"/>
      <c r="E113" s="108"/>
      <c r="F113" s="160" t="s">
        <v>133</v>
      </c>
      <c r="G113" s="160" t="s">
        <v>176</v>
      </c>
      <c r="H113" s="163" t="s">
        <v>134</v>
      </c>
      <c r="K113" s="588"/>
      <c r="L113" s="561"/>
      <c r="M113" s="561"/>
      <c r="N113" s="561"/>
      <c r="O113" s="563"/>
      <c r="Q113" s="157"/>
      <c r="R113" s="157"/>
      <c r="S113" s="106"/>
      <c r="T113" s="50" t="str">
        <f>T95</f>
        <v>£ billion, 2018-19 Prices</v>
      </c>
      <c r="U113" s="124"/>
      <c r="V113" s="160" t="s">
        <v>133</v>
      </c>
      <c r="W113" s="160" t="s">
        <v>176</v>
      </c>
      <c r="X113" s="163" t="s">
        <v>134</v>
      </c>
      <c r="AA113" s="89"/>
      <c r="AB113" s="561"/>
      <c r="AC113" s="561"/>
      <c r="AD113" s="561"/>
      <c r="AE113" s="563"/>
      <c r="AF113" s="413"/>
      <c r="BI113" s="89"/>
      <c r="BJ113" s="89"/>
      <c r="BK113" s="89"/>
      <c r="BL113" s="762"/>
      <c r="BM113" s="773"/>
      <c r="BN113" s="773"/>
      <c r="BO113" s="773"/>
      <c r="BP113" s="773"/>
      <c r="BQ113" s="773"/>
      <c r="BR113" s="89"/>
      <c r="BS113" s="89"/>
      <c r="BT113" s="89"/>
      <c r="BU113" s="89"/>
      <c r="BV113" s="766"/>
      <c r="BW113" s="732"/>
      <c r="BX113" s="732"/>
      <c r="BY113" s="732"/>
      <c r="BZ113" s="732"/>
      <c r="CA113" s="89"/>
      <c r="CB113" s="89"/>
      <c r="CC113" s="89"/>
      <c r="CD113" s="89"/>
      <c r="CE113" s="489"/>
      <c r="CF113" s="517"/>
      <c r="CG113" s="517"/>
      <c r="CH113" s="517"/>
      <c r="CI113" s="517"/>
      <c r="CJ113" s="517"/>
      <c r="CK113" s="511"/>
      <c r="CL113" s="511"/>
      <c r="CM113" s="511"/>
      <c r="CN113" s="89"/>
      <c r="CO113" s="89"/>
      <c r="CP113" s="89"/>
    </row>
    <row r="114" spans="1:94" ht="12.9" thickBot="1">
      <c r="B114" s="726" t="s">
        <v>178</v>
      </c>
      <c r="C114" s="50" t="s">
        <v>135</v>
      </c>
      <c r="D114" s="50"/>
      <c r="E114" s="108"/>
      <c r="F114" s="159">
        <f>A123</f>
        <v>2.2764846014532072</v>
      </c>
      <c r="G114" s="159">
        <v>2.3141065510406498</v>
      </c>
      <c r="H114" s="750"/>
      <c r="K114" s="588"/>
      <c r="L114" s="561"/>
      <c r="M114" s="561"/>
      <c r="N114" s="561"/>
      <c r="O114" s="561"/>
      <c r="Q114" s="157"/>
      <c r="R114" s="157"/>
      <c r="S114" s="726" t="s">
        <v>178</v>
      </c>
      <c r="T114" s="50" t="s">
        <v>135</v>
      </c>
      <c r="U114" s="124"/>
      <c r="V114" s="159">
        <f>F114</f>
        <v>2.2764846014532072</v>
      </c>
      <c r="W114" s="159">
        <f>G114</f>
        <v>2.3141065510406498</v>
      </c>
      <c r="X114" s="750"/>
      <c r="AA114" s="89"/>
      <c r="AB114" s="561"/>
      <c r="AC114" s="561"/>
      <c r="AD114" s="561"/>
      <c r="AE114" s="561"/>
      <c r="AF114" s="413"/>
      <c r="BI114" s="89"/>
      <c r="BJ114" s="89"/>
      <c r="BK114" s="89"/>
      <c r="BL114" s="762"/>
      <c r="BM114" s="773"/>
      <c r="BN114" s="773"/>
      <c r="BO114" s="773"/>
      <c r="BP114" s="773"/>
      <c r="BQ114" s="773"/>
      <c r="BR114" s="89"/>
      <c r="BS114" s="89"/>
      <c r="BT114" s="89"/>
      <c r="BU114" s="89"/>
      <c r="BV114" s="732"/>
      <c r="BW114" s="732"/>
      <c r="BX114" s="732"/>
      <c r="BY114" s="732"/>
      <c r="BZ114" s="732"/>
      <c r="CA114" s="89"/>
      <c r="CB114" s="89"/>
      <c r="CC114" s="89"/>
      <c r="CD114" s="89"/>
      <c r="CE114" s="489"/>
      <c r="CF114" s="517"/>
      <c r="CG114" s="517"/>
      <c r="CH114" s="517"/>
      <c r="CI114" s="517"/>
      <c r="CJ114" s="517"/>
      <c r="CK114" s="511"/>
      <c r="CL114" s="511"/>
      <c r="CM114" s="511"/>
      <c r="CN114" s="89"/>
      <c r="CO114" s="89"/>
      <c r="CP114" s="89"/>
    </row>
    <row r="115" spans="1:94" ht="12.9" thickBot="1">
      <c r="B115" s="727"/>
      <c r="C115" s="50" t="s">
        <v>136</v>
      </c>
      <c r="D115" s="50"/>
      <c r="E115" s="108"/>
      <c r="F115" s="159">
        <f>B123</f>
        <v>2.1494859235007167</v>
      </c>
      <c r="G115" s="159">
        <v>2.1492517754608018</v>
      </c>
      <c r="H115" s="751"/>
      <c r="K115" s="588"/>
      <c r="L115" s="564"/>
      <c r="M115" s="564"/>
      <c r="N115" s="564"/>
      <c r="O115" s="564"/>
      <c r="Q115" s="564"/>
      <c r="R115" s="348"/>
      <c r="S115" s="727"/>
      <c r="T115" s="50" t="s">
        <v>136</v>
      </c>
      <c r="U115" s="124"/>
      <c r="V115" s="159">
        <f>F115</f>
        <v>2.1494859235007167</v>
      </c>
      <c r="W115" s="159">
        <f>G115</f>
        <v>2.1492517754608018</v>
      </c>
      <c r="X115" s="751"/>
      <c r="AA115" s="89"/>
      <c r="AB115" s="566"/>
      <c r="AC115" s="564"/>
      <c r="AD115" s="564"/>
      <c r="AE115" s="564"/>
      <c r="AF115" s="413"/>
      <c r="BI115" s="89"/>
      <c r="BJ115" s="89"/>
      <c r="BK115" s="89"/>
      <c r="BL115" s="762"/>
      <c r="BM115" s="772"/>
      <c r="BN115" s="773"/>
      <c r="BO115" s="773"/>
      <c r="BP115" s="773"/>
      <c r="BQ115" s="773"/>
      <c r="BR115" s="89"/>
      <c r="BS115" s="89"/>
      <c r="BT115" s="89"/>
      <c r="BU115" s="89"/>
      <c r="BV115" s="89"/>
      <c r="BW115" s="89"/>
      <c r="BX115" s="89"/>
      <c r="BY115" s="89"/>
      <c r="BZ115" s="89"/>
      <c r="CA115" s="89"/>
      <c r="CB115" s="89"/>
      <c r="CC115" s="89"/>
      <c r="CD115" s="89"/>
      <c r="CE115" s="489"/>
      <c r="CF115" s="516"/>
      <c r="CG115" s="517"/>
      <c r="CH115" s="517"/>
      <c r="CI115" s="517"/>
      <c r="CJ115" s="517"/>
      <c r="CK115" s="511"/>
      <c r="CL115" s="511"/>
      <c r="CM115" s="511"/>
      <c r="CN115" s="89"/>
      <c r="CO115" s="89"/>
      <c r="CP115" s="89"/>
    </row>
    <row r="116" spans="1:94" ht="16.5" customHeight="1" thickBot="1">
      <c r="B116" s="727"/>
      <c r="C116" s="50" t="s">
        <v>223</v>
      </c>
      <c r="D116" s="50"/>
      <c r="E116" s="108"/>
      <c r="F116" s="160">
        <f>F114-F115</f>
        <v>0.12699867795249054</v>
      </c>
      <c r="G116" s="160">
        <f>G114-G115</f>
        <v>0.16485477557984796</v>
      </c>
      <c r="H116" s="162">
        <f>G116-F116</f>
        <v>3.7856097627357421E-2</v>
      </c>
      <c r="K116" s="157"/>
      <c r="L116" s="157"/>
      <c r="M116" s="157"/>
      <c r="R116" s="169"/>
      <c r="S116" s="727"/>
      <c r="T116" s="50" t="s">
        <v>223</v>
      </c>
      <c r="U116" s="124"/>
      <c r="V116" s="160">
        <f>V114-V115</f>
        <v>0.12699867795249054</v>
      </c>
      <c r="W116" s="160">
        <f>W114-W115</f>
        <v>0.16485477557984796</v>
      </c>
      <c r="X116" s="162">
        <f>W116-V116</f>
        <v>3.7856097627357421E-2</v>
      </c>
      <c r="AA116" s="89"/>
      <c r="AB116" s="89"/>
      <c r="AC116" s="89"/>
      <c r="AD116" s="89"/>
      <c r="AE116" s="89"/>
      <c r="AF116" s="413"/>
      <c r="BI116" s="89"/>
      <c r="BJ116" s="89"/>
      <c r="BK116" s="89"/>
      <c r="BL116" s="762"/>
      <c r="BM116" s="773"/>
      <c r="BN116" s="773"/>
      <c r="BO116" s="773"/>
      <c r="BP116" s="773"/>
      <c r="BQ116" s="773"/>
      <c r="BR116" s="89"/>
      <c r="BS116" s="89"/>
      <c r="BT116" s="89"/>
      <c r="BU116" s="89"/>
      <c r="BV116" s="766"/>
      <c r="BW116" s="732"/>
      <c r="BX116" s="732"/>
      <c r="BY116" s="732"/>
      <c r="BZ116" s="732"/>
      <c r="CA116" s="89"/>
      <c r="CB116" s="89"/>
      <c r="CC116" s="89"/>
      <c r="CD116" s="89"/>
      <c r="CE116" s="489"/>
      <c r="CF116" s="517"/>
      <c r="CG116" s="517"/>
      <c r="CH116" s="517"/>
      <c r="CI116" s="517"/>
      <c r="CJ116" s="517"/>
      <c r="CK116" s="511"/>
      <c r="CL116" s="511"/>
      <c r="CM116" s="511"/>
      <c r="CN116" s="89"/>
      <c r="CO116" s="89"/>
      <c r="CP116" s="89"/>
    </row>
    <row r="117" spans="1:94" ht="12.9" thickBot="1">
      <c r="E117" s="237" t="s">
        <v>224</v>
      </c>
      <c r="F117" s="236">
        <f>F116/F115</f>
        <v>5.9083279664216976E-2</v>
      </c>
      <c r="G117" s="236">
        <f>G116/G115</f>
        <v>7.6703333440077265E-2</v>
      </c>
      <c r="I117" s="348"/>
      <c r="K117" s="157"/>
      <c r="L117" s="157"/>
      <c r="M117" s="157"/>
      <c r="R117" s="169"/>
      <c r="T117" s="124"/>
      <c r="U117" s="237" t="s">
        <v>224</v>
      </c>
      <c r="V117" s="236">
        <f>V116/V115</f>
        <v>5.9083279664216976E-2</v>
      </c>
      <c r="W117" s="236">
        <f>W116/W115</f>
        <v>7.6703333440077265E-2</v>
      </c>
      <c r="AA117" s="89"/>
      <c r="AB117" s="89"/>
      <c r="AC117" s="89"/>
      <c r="AD117" s="89"/>
      <c r="AE117" s="89"/>
      <c r="AF117" s="413"/>
      <c r="BI117" s="89"/>
      <c r="BJ117" s="89"/>
      <c r="BK117" s="89"/>
      <c r="BL117" s="762"/>
      <c r="BM117" s="773"/>
      <c r="BN117" s="773"/>
      <c r="BO117" s="773"/>
      <c r="BP117" s="773"/>
      <c r="BQ117" s="773"/>
      <c r="BR117" s="89"/>
      <c r="BS117" s="89"/>
      <c r="BT117" s="89"/>
      <c r="BU117" s="89"/>
      <c r="BV117" s="732"/>
      <c r="BW117" s="732"/>
      <c r="BX117" s="732"/>
      <c r="BY117" s="732"/>
      <c r="BZ117" s="732"/>
      <c r="CA117" s="89"/>
      <c r="CB117" s="89"/>
      <c r="CC117" s="89"/>
      <c r="CD117" s="89"/>
      <c r="CE117" s="489"/>
      <c r="CF117" s="517"/>
      <c r="CG117" s="517"/>
      <c r="CH117" s="517"/>
      <c r="CI117" s="517"/>
      <c r="CJ117" s="517"/>
      <c r="CK117" s="511"/>
      <c r="CL117" s="511"/>
      <c r="CM117" s="511"/>
      <c r="CN117" s="89"/>
      <c r="CO117" s="89"/>
      <c r="CP117" s="89"/>
    </row>
    <row r="118" spans="1:94" s="124" customFormat="1">
      <c r="A118" s="633" t="s">
        <v>444</v>
      </c>
      <c r="B118" s="633"/>
      <c r="K118" s="157"/>
      <c r="L118" s="157"/>
      <c r="M118" s="157"/>
      <c r="R118" s="169"/>
      <c r="AF118" s="413"/>
      <c r="BI118" s="89"/>
      <c r="BJ118" s="89"/>
      <c r="BK118" s="89"/>
      <c r="BL118" s="762"/>
      <c r="BM118" s="773"/>
      <c r="BN118" s="773"/>
      <c r="BO118" s="773"/>
      <c r="BP118" s="773"/>
      <c r="BQ118" s="773"/>
      <c r="BR118" s="89"/>
      <c r="BS118" s="89"/>
      <c r="BT118" s="89"/>
      <c r="BU118" s="89"/>
      <c r="BV118" s="89"/>
      <c r="BW118" s="89"/>
      <c r="BX118" s="89"/>
      <c r="BY118" s="89"/>
      <c r="BZ118" s="89"/>
      <c r="CA118" s="89"/>
      <c r="CB118" s="89"/>
      <c r="CC118" s="89"/>
      <c r="CD118" s="89"/>
      <c r="CE118" s="489"/>
      <c r="CF118" s="517"/>
      <c r="CG118" s="517"/>
      <c r="CH118" s="517"/>
      <c r="CI118" s="517"/>
      <c r="CJ118" s="517"/>
      <c r="CK118" s="511"/>
      <c r="CL118" s="511"/>
      <c r="CM118" s="511"/>
      <c r="CN118" s="89"/>
      <c r="CO118" s="89"/>
      <c r="CP118" s="89"/>
    </row>
    <row r="119" spans="1:94" s="124" customFormat="1">
      <c r="A119" s="634" t="s">
        <v>442</v>
      </c>
      <c r="B119" s="634" t="s">
        <v>443</v>
      </c>
      <c r="E119" s="239" t="s">
        <v>225</v>
      </c>
      <c r="F119" s="243">
        <f>F96+F102+F108+F114</f>
        <v>10.681451899380356</v>
      </c>
      <c r="G119" s="243">
        <f t="shared" ref="F119:G121" si="25">G96+G102+G108+G114</f>
        <v>10.244164195630344</v>
      </c>
      <c r="H119" s="243">
        <f>SUM(S6:Z7)/1000</f>
        <v>10.244164195630347</v>
      </c>
      <c r="I119" s="244">
        <f>H119-G119</f>
        <v>0</v>
      </c>
      <c r="K119" s="157"/>
      <c r="L119" s="157"/>
      <c r="M119" s="157"/>
      <c r="R119" s="169"/>
      <c r="U119" s="239" t="s">
        <v>225</v>
      </c>
      <c r="V119" s="530">
        <f t="shared" ref="V119:W121" si="26">V96+V102+V108+V114</f>
        <v>10.681451899380356</v>
      </c>
      <c r="W119" s="530">
        <f t="shared" si="26"/>
        <v>10.244164195630344</v>
      </c>
      <c r="X119" s="530">
        <f>SUM(S39:Z40)/1000</f>
        <v>10.244164195630347</v>
      </c>
      <c r="Y119" s="530">
        <f>X119-W119</f>
        <v>0</v>
      </c>
      <c r="AF119" s="413"/>
      <c r="BI119" s="89"/>
      <c r="BJ119" s="89"/>
      <c r="BK119" s="89"/>
      <c r="BL119" s="762"/>
      <c r="BM119" s="772"/>
      <c r="BN119" s="773"/>
      <c r="BO119" s="773"/>
      <c r="BP119" s="773"/>
      <c r="BQ119" s="773"/>
      <c r="BR119" s="89"/>
      <c r="BS119" s="89"/>
      <c r="BT119" s="89"/>
      <c r="BU119" s="89"/>
      <c r="BV119" s="89"/>
      <c r="BW119" s="89"/>
      <c r="BX119" s="89"/>
      <c r="BY119" s="89"/>
      <c r="BZ119" s="89"/>
      <c r="CA119" s="89"/>
      <c r="CB119" s="89"/>
      <c r="CC119" s="89"/>
      <c r="CD119" s="89"/>
      <c r="CE119" s="489"/>
      <c r="CF119" s="516"/>
      <c r="CG119" s="517"/>
      <c r="CH119" s="517"/>
      <c r="CI119" s="517"/>
      <c r="CJ119" s="517"/>
      <c r="CK119" s="511"/>
      <c r="CL119" s="511"/>
      <c r="CM119" s="511"/>
      <c r="CN119" s="89"/>
      <c r="CO119" s="89"/>
      <c r="CP119" s="89"/>
    </row>
    <row r="120" spans="1:94" s="124" customFormat="1">
      <c r="A120" s="635">
        <v>3.4314875223642387</v>
      </c>
      <c r="B120" s="635">
        <v>4.0413026838196977</v>
      </c>
      <c r="C120" s="51"/>
      <c r="E120" s="239" t="s">
        <v>225</v>
      </c>
      <c r="F120" s="243">
        <f t="shared" si="25"/>
        <v>12.585941901420432</v>
      </c>
      <c r="G120" s="243">
        <f t="shared" si="25"/>
        <v>13.040397429168817</v>
      </c>
      <c r="H120" s="243">
        <f>SUM(S8:Z8)/1000</f>
        <v>13.040397429168817</v>
      </c>
      <c r="I120" s="244">
        <f>H120-G120</f>
        <v>0</v>
      </c>
      <c r="K120" s="157"/>
      <c r="L120" s="157"/>
      <c r="M120" s="157"/>
      <c r="R120" s="169"/>
      <c r="U120" s="239" t="s">
        <v>225</v>
      </c>
      <c r="V120" s="530">
        <f t="shared" si="26"/>
        <v>13.216195967501992</v>
      </c>
      <c r="W120" s="530">
        <f t="shared" si="26"/>
        <v>13.670651495250375</v>
      </c>
      <c r="X120" s="530">
        <f>SUM(S41:Z41)/1000</f>
        <v>13.670651495250375</v>
      </c>
      <c r="Y120" s="530">
        <f>X120-W120</f>
        <v>0</v>
      </c>
      <c r="AF120" s="413"/>
      <c r="BI120" s="89"/>
      <c r="BJ120" s="89"/>
      <c r="BK120" s="89"/>
      <c r="BL120" s="762"/>
      <c r="BM120" s="773"/>
      <c r="BN120" s="773"/>
      <c r="BO120" s="773"/>
      <c r="BP120" s="773"/>
      <c r="BQ120" s="773"/>
      <c r="BR120" s="89"/>
      <c r="BS120" s="89"/>
      <c r="BT120" s="89"/>
      <c r="BU120" s="89"/>
      <c r="BV120" s="732"/>
      <c r="BW120" s="732"/>
      <c r="BX120" s="732"/>
      <c r="BY120" s="732"/>
      <c r="BZ120" s="732"/>
      <c r="CA120" s="89"/>
      <c r="CB120" s="89"/>
      <c r="CC120" s="89"/>
      <c r="CD120" s="89"/>
      <c r="CE120" s="489"/>
      <c r="CF120" s="517"/>
      <c r="CG120" s="517"/>
      <c r="CH120" s="517"/>
      <c r="CI120" s="517"/>
      <c r="CJ120" s="517"/>
      <c r="CK120" s="511"/>
      <c r="CL120" s="511"/>
      <c r="CM120" s="511"/>
      <c r="CN120" s="89"/>
      <c r="CO120" s="89"/>
      <c r="CP120" s="89"/>
    </row>
    <row r="121" spans="1:94" s="124" customFormat="1">
      <c r="A121" s="635">
        <v>4.6469837597523362</v>
      </c>
      <c r="B121" s="635">
        <v>6.2011414718863289</v>
      </c>
      <c r="C121" s="51"/>
      <c r="E121" s="239" t="s">
        <v>225</v>
      </c>
      <c r="F121" s="243">
        <f t="shared" si="25"/>
        <v>-1.9044900020400748</v>
      </c>
      <c r="G121" s="243">
        <f t="shared" si="25"/>
        <v>-2.7962332335384712</v>
      </c>
      <c r="H121" s="243">
        <f>H119-H120</f>
        <v>-2.7962332335384694</v>
      </c>
      <c r="I121" s="244">
        <f>H121-G121</f>
        <v>0</v>
      </c>
      <c r="K121" s="168"/>
      <c r="L121" s="157"/>
      <c r="M121" s="157"/>
      <c r="R121" s="169"/>
      <c r="U121" s="239" t="s">
        <v>225</v>
      </c>
      <c r="V121" s="530">
        <f t="shared" si="26"/>
        <v>-2.5347440681216344</v>
      </c>
      <c r="W121" s="530">
        <f t="shared" si="26"/>
        <v>-3.4264872996200308</v>
      </c>
      <c r="X121" s="530">
        <f>X119-X120</f>
        <v>-3.4264872996200282</v>
      </c>
      <c r="Y121" s="530">
        <f>X121-W121</f>
        <v>0</v>
      </c>
      <c r="AF121" s="413"/>
      <c r="BI121" s="89"/>
      <c r="BJ121" s="89"/>
      <c r="BK121" s="89"/>
      <c r="BL121" s="762"/>
      <c r="BM121" s="773"/>
      <c r="BN121" s="773"/>
      <c r="BO121" s="773"/>
      <c r="BP121" s="773"/>
      <c r="BQ121" s="773"/>
      <c r="BR121" s="89"/>
      <c r="BS121" s="89"/>
      <c r="BT121" s="89"/>
      <c r="BU121" s="89"/>
      <c r="BV121" s="732"/>
      <c r="BW121" s="732"/>
      <c r="BX121" s="732"/>
      <c r="BY121" s="732"/>
      <c r="BZ121" s="732"/>
      <c r="CA121" s="89"/>
      <c r="CB121" s="89"/>
      <c r="CC121" s="89"/>
      <c r="CD121" s="89"/>
      <c r="CE121" s="489"/>
      <c r="CF121" s="517"/>
      <c r="CG121" s="517"/>
      <c r="CH121" s="517"/>
      <c r="CI121" s="517"/>
      <c r="CJ121" s="517"/>
      <c r="CK121" s="511"/>
      <c r="CL121" s="511"/>
      <c r="CM121" s="511"/>
      <c r="CN121" s="89"/>
      <c r="CO121" s="89"/>
      <c r="CP121" s="89"/>
    </row>
    <row r="122" spans="1:94" s="124" customFormat="1">
      <c r="A122" s="635">
        <v>0.32649601581057469</v>
      </c>
      <c r="B122" s="635">
        <v>0.19401182221368832</v>
      </c>
      <c r="C122" s="51"/>
      <c r="F122" s="370">
        <f>F121/F120</f>
        <v>-0.15131882992604126</v>
      </c>
      <c r="G122" s="370">
        <f>G121/G120</f>
        <v>-0.21442852863393908</v>
      </c>
      <c r="K122" s="168"/>
      <c r="L122" s="157"/>
      <c r="M122" s="157"/>
      <c r="N122" s="169"/>
      <c r="O122" s="169"/>
      <c r="P122" s="169"/>
      <c r="U122" s="239"/>
      <c r="AF122" s="413"/>
      <c r="BI122" s="89"/>
      <c r="BJ122" s="89"/>
      <c r="BK122" s="89"/>
      <c r="BL122" s="762"/>
      <c r="BM122" s="773"/>
      <c r="BN122" s="773"/>
      <c r="BO122" s="773"/>
      <c r="BP122" s="773"/>
      <c r="BQ122" s="773"/>
      <c r="BR122" s="89"/>
      <c r="BS122" s="89"/>
      <c r="BT122" s="89"/>
      <c r="BU122" s="89"/>
      <c r="BV122" s="89"/>
      <c r="BW122" s="89"/>
      <c r="BX122" s="89"/>
      <c r="BY122" s="89"/>
      <c r="BZ122" s="89"/>
      <c r="CA122" s="89"/>
      <c r="CB122" s="89"/>
      <c r="CC122" s="89"/>
      <c r="CD122" s="89"/>
      <c r="CE122" s="489"/>
      <c r="CF122" s="517"/>
      <c r="CG122" s="517"/>
      <c r="CH122" s="517"/>
      <c r="CI122" s="517"/>
      <c r="CJ122" s="517"/>
      <c r="CK122" s="511"/>
      <c r="CL122" s="511"/>
      <c r="CM122" s="511"/>
      <c r="CN122" s="89"/>
      <c r="CO122" s="89"/>
      <c r="CP122" s="89"/>
    </row>
    <row r="123" spans="1:94" s="124" customFormat="1">
      <c r="A123" s="635">
        <v>2.2764846014532072</v>
      </c>
      <c r="B123" s="635">
        <v>2.1494859235007167</v>
      </c>
      <c r="C123" s="51"/>
      <c r="F123" s="370"/>
      <c r="G123" s="370"/>
      <c r="K123" s="168"/>
      <c r="L123" s="157"/>
      <c r="M123" s="157"/>
      <c r="N123" s="169"/>
      <c r="O123" s="169"/>
      <c r="P123" s="169"/>
      <c r="U123" s="239"/>
      <c r="V123" s="527"/>
      <c r="W123" s="527"/>
      <c r="X123" s="527"/>
      <c r="AF123" s="413"/>
      <c r="BI123" s="89"/>
      <c r="BJ123" s="89"/>
      <c r="BK123" s="89"/>
      <c r="BL123" s="495"/>
      <c r="BM123" s="517"/>
      <c r="BN123" s="517"/>
      <c r="BO123" s="517"/>
      <c r="BP123" s="517"/>
      <c r="BQ123" s="517"/>
      <c r="BR123" s="89"/>
      <c r="BS123" s="89"/>
      <c r="BT123" s="89"/>
      <c r="BU123" s="89"/>
      <c r="BV123" s="89"/>
      <c r="BW123" s="89"/>
      <c r="BX123" s="89"/>
      <c r="BY123" s="89"/>
      <c r="BZ123" s="89"/>
      <c r="CA123" s="89"/>
      <c r="CB123" s="89"/>
      <c r="CC123" s="89"/>
      <c r="CD123" s="89"/>
      <c r="CE123" s="495"/>
      <c r="CF123" s="517"/>
      <c r="CG123" s="517"/>
      <c r="CH123" s="517"/>
      <c r="CI123" s="517"/>
      <c r="CJ123" s="517"/>
      <c r="CK123" s="511"/>
      <c r="CL123" s="511"/>
      <c r="CM123" s="511"/>
      <c r="CN123" s="89"/>
      <c r="CO123" s="89"/>
      <c r="CP123" s="89"/>
    </row>
    <row r="124" spans="1:94" s="124" customFormat="1">
      <c r="F124" s="370"/>
      <c r="G124" s="370"/>
      <c r="K124" s="168"/>
      <c r="L124" s="157"/>
      <c r="M124" s="157"/>
      <c r="N124" s="169"/>
      <c r="O124" s="169"/>
      <c r="P124" s="169"/>
      <c r="U124" s="239"/>
      <c r="V124" s="527"/>
      <c r="W124" s="527"/>
      <c r="X124" s="527"/>
      <c r="AF124" s="413"/>
      <c r="BI124" s="89"/>
      <c r="BJ124" s="89"/>
      <c r="BK124" s="89"/>
      <c r="BL124" s="495"/>
      <c r="BM124" s="517"/>
      <c r="BN124" s="517"/>
      <c r="BO124" s="517"/>
      <c r="BP124" s="517"/>
      <c r="BQ124" s="517"/>
      <c r="BR124" s="89"/>
      <c r="BS124" s="89"/>
      <c r="BT124" s="89"/>
      <c r="BU124" s="89"/>
      <c r="BV124" s="89"/>
      <c r="BW124" s="89"/>
      <c r="BX124" s="89"/>
      <c r="BY124" s="89"/>
      <c r="BZ124" s="89"/>
      <c r="CA124" s="89"/>
      <c r="CB124" s="89"/>
      <c r="CC124" s="89"/>
      <c r="CD124" s="89"/>
      <c r="CE124" s="495"/>
      <c r="CF124" s="517"/>
      <c r="CG124" s="517"/>
      <c r="CH124" s="517"/>
      <c r="CI124" s="517"/>
      <c r="CJ124" s="517"/>
      <c r="CK124" s="511"/>
      <c r="CL124" s="511"/>
      <c r="CM124" s="511"/>
      <c r="CN124" s="89"/>
      <c r="CO124" s="89"/>
      <c r="CP124" s="89"/>
    </row>
    <row r="125" spans="1:94">
      <c r="A125" s="1" t="s">
        <v>551</v>
      </c>
      <c r="B125" s="32" t="s">
        <v>242</v>
      </c>
      <c r="C125" s="108"/>
      <c r="D125" s="108"/>
      <c r="E125" s="108"/>
      <c r="F125" s="108"/>
      <c r="G125" s="108"/>
      <c r="H125" s="108"/>
      <c r="K125" s="168"/>
      <c r="L125" s="157"/>
      <c r="M125" s="157"/>
      <c r="N125" s="157"/>
      <c r="O125" s="157"/>
      <c r="P125" s="157"/>
      <c r="V125" s="1" t="s">
        <v>552</v>
      </c>
      <c r="X125" s="32" t="s">
        <v>533</v>
      </c>
      <c r="Y125" s="124"/>
      <c r="Z125" s="124"/>
      <c r="AA125" s="124"/>
      <c r="AF125" s="413"/>
      <c r="BI125" s="89"/>
      <c r="BJ125" s="89"/>
      <c r="BK125" s="89"/>
      <c r="BL125" s="89"/>
      <c r="BM125" s="347"/>
      <c r="BN125" s="89"/>
      <c r="BO125" s="89"/>
      <c r="BP125" s="89"/>
      <c r="BQ125" s="89"/>
      <c r="BR125" s="89"/>
      <c r="BS125" s="89"/>
      <c r="BT125" s="89"/>
      <c r="BU125" s="89"/>
      <c r="BV125" s="347"/>
      <c r="BW125" s="89"/>
      <c r="BX125" s="89"/>
      <c r="BY125" s="89"/>
      <c r="BZ125" s="89"/>
      <c r="CA125" s="89"/>
      <c r="CB125" s="89"/>
      <c r="CC125" s="89"/>
      <c r="CD125" s="89"/>
      <c r="CE125" s="347"/>
      <c r="CF125" s="89"/>
      <c r="CG125" s="89"/>
      <c r="CH125" s="89"/>
      <c r="CI125" s="89"/>
      <c r="CJ125" s="89"/>
      <c r="CK125" s="89"/>
      <c r="CL125" s="89"/>
      <c r="CM125" s="89"/>
      <c r="CN125" s="89"/>
      <c r="CO125" s="89"/>
      <c r="CP125" s="89"/>
    </row>
    <row r="126" spans="1:94">
      <c r="B126" s="65"/>
      <c r="C126" s="108"/>
      <c r="D126" s="108"/>
      <c r="E126" s="108"/>
      <c r="F126" s="108"/>
      <c r="G126" s="108"/>
      <c r="H126" s="108"/>
      <c r="K126" s="168"/>
      <c r="L126" s="157"/>
      <c r="M126" s="157"/>
      <c r="N126" s="157"/>
      <c r="O126" s="157"/>
      <c r="P126" s="157"/>
      <c r="R126" s="124"/>
      <c r="X126" s="584"/>
      <c r="Y126" s="124"/>
      <c r="Z126" s="124"/>
      <c r="AA126" s="124"/>
      <c r="AE126" s="124"/>
      <c r="AF126" s="413"/>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row>
    <row r="127" spans="1:94" ht="13.3" thickBot="1">
      <c r="B127" s="106"/>
      <c r="C127" s="50" t="s">
        <v>179</v>
      </c>
      <c r="D127" s="50"/>
      <c r="E127" s="124"/>
      <c r="F127" s="97" t="s">
        <v>133</v>
      </c>
      <c r="G127" s="97" t="s">
        <v>176</v>
      </c>
      <c r="H127" s="98" t="s">
        <v>134</v>
      </c>
      <c r="J127" s="411" t="s">
        <v>335</v>
      </c>
      <c r="K127" s="168"/>
      <c r="L127" s="157"/>
      <c r="M127" s="157"/>
      <c r="N127" s="157"/>
      <c r="O127" s="157"/>
      <c r="P127" s="157"/>
      <c r="Q127" s="410" t="s">
        <v>554</v>
      </c>
      <c r="R127" s="124"/>
      <c r="S127" s="124"/>
      <c r="T127" s="124"/>
      <c r="U127" s="124"/>
      <c r="X127" s="106"/>
      <c r="Y127" s="50" t="s">
        <v>179</v>
      </c>
      <c r="Z127" s="50"/>
      <c r="AA127" s="124"/>
      <c r="AB127" s="97" t="s">
        <v>133</v>
      </c>
      <c r="AC127" s="97" t="s">
        <v>176</v>
      </c>
      <c r="AD127" s="98" t="s">
        <v>134</v>
      </c>
      <c r="AE127" s="124"/>
      <c r="AF127" s="413"/>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row>
    <row r="128" spans="1:94" ht="23.25" customHeight="1" thickTop="1" thickBot="1">
      <c r="B128" s="726" t="s">
        <v>79</v>
      </c>
      <c r="C128" s="50" t="s">
        <v>135</v>
      </c>
      <c r="D128" s="50"/>
      <c r="E128" s="124"/>
      <c r="F128" s="165">
        <f>A153</f>
        <v>0.76811525333553188</v>
      </c>
      <c r="G128" s="165">
        <v>0.76066352404467541</v>
      </c>
      <c r="H128" s="748"/>
      <c r="J128" s="374" t="s">
        <v>167</v>
      </c>
      <c r="K128" s="758" t="s">
        <v>332</v>
      </c>
      <c r="L128" s="759"/>
      <c r="M128" s="759"/>
      <c r="N128" s="759"/>
      <c r="O128" s="157"/>
      <c r="P128" s="157"/>
      <c r="Q128" s="392" t="s">
        <v>167</v>
      </c>
      <c r="R128" s="754" t="s">
        <v>332</v>
      </c>
      <c r="S128" s="755"/>
      <c r="T128" s="755"/>
      <c r="U128" s="755"/>
      <c r="V128" s="124"/>
      <c r="X128" s="726" t="s">
        <v>79</v>
      </c>
      <c r="Y128" s="50" t="s">
        <v>135</v>
      </c>
      <c r="Z128" s="50"/>
      <c r="AA128" s="124"/>
      <c r="AB128" s="165">
        <f>F128+(AO51/1000)</f>
        <v>0.78887462189553192</v>
      </c>
      <c r="AC128" s="165">
        <f>G128+(AO51/1000)</f>
        <v>0.78142289260467546</v>
      </c>
      <c r="AD128" s="748"/>
      <c r="AE128" s="124"/>
      <c r="AF128" s="413"/>
    </row>
    <row r="129" spans="2:81" ht="12.9" thickBot="1">
      <c r="B129" s="727"/>
      <c r="C129" s="50" t="s">
        <v>136</v>
      </c>
      <c r="D129" s="50"/>
      <c r="E129" s="124"/>
      <c r="F129" s="165">
        <f>B153</f>
        <v>0.86108029102724626</v>
      </c>
      <c r="G129" s="165">
        <v>0.86106556036979709</v>
      </c>
      <c r="H129" s="749"/>
      <c r="J129" s="375"/>
      <c r="K129" s="376" t="s">
        <v>2</v>
      </c>
      <c r="L129" s="377" t="s">
        <v>4</v>
      </c>
      <c r="M129" s="756" t="s">
        <v>47</v>
      </c>
      <c r="N129" s="757"/>
      <c r="O129" s="157"/>
      <c r="P129" s="157"/>
      <c r="Q129" s="393"/>
      <c r="R129" s="394" t="s">
        <v>2</v>
      </c>
      <c r="S129" s="395" t="s">
        <v>4</v>
      </c>
      <c r="T129" s="752" t="s">
        <v>47</v>
      </c>
      <c r="U129" s="753"/>
      <c r="V129" s="124"/>
      <c r="X129" s="727"/>
      <c r="Y129" s="50" t="s">
        <v>136</v>
      </c>
      <c r="Z129" s="50"/>
      <c r="AA129" s="124"/>
      <c r="AB129" s="165">
        <f>F129</f>
        <v>0.86108029102724626</v>
      </c>
      <c r="AC129" s="165">
        <f>G129</f>
        <v>0.86106556036979709</v>
      </c>
      <c r="AD129" s="749"/>
      <c r="AE129" s="124"/>
      <c r="AF129" s="413"/>
    </row>
    <row r="130" spans="2:81" ht="13.3" thickBot="1">
      <c r="B130" s="727"/>
      <c r="C130" s="50" t="s">
        <v>223</v>
      </c>
      <c r="D130" s="50"/>
      <c r="E130" s="124"/>
      <c r="F130" s="559">
        <f>F128-F129</f>
        <v>-9.2965037691714381E-2</v>
      </c>
      <c r="G130" s="559">
        <f>G128-G129</f>
        <v>-0.10040203632512168</v>
      </c>
      <c r="H130" s="158">
        <f>G130-F130</f>
        <v>-7.4369986334072991E-3</v>
      </c>
      <c r="J130" s="375"/>
      <c r="K130" s="378"/>
      <c r="L130" s="379"/>
      <c r="M130" s="380" t="s">
        <v>48</v>
      </c>
      <c r="N130" s="381" t="s">
        <v>49</v>
      </c>
      <c r="O130" s="157"/>
      <c r="P130" s="157"/>
      <c r="Q130" s="393"/>
      <c r="R130" s="396"/>
      <c r="S130" s="397"/>
      <c r="T130" s="398" t="s">
        <v>48</v>
      </c>
      <c r="U130" s="399" t="s">
        <v>49</v>
      </c>
      <c r="V130" s="124"/>
      <c r="X130" s="727"/>
      <c r="Y130" s="50" t="s">
        <v>223</v>
      </c>
      <c r="Z130" s="50"/>
      <c r="AA130" s="124"/>
      <c r="AB130" s="559">
        <f>AB128-AB129</f>
        <v>-7.2205669131714334E-2</v>
      </c>
      <c r="AC130" s="559">
        <f>AC128-AC129</f>
        <v>-7.9642667765121633E-2</v>
      </c>
      <c r="AD130" s="158">
        <f>AC130-AB130</f>
        <v>-7.4369986334072991E-3</v>
      </c>
      <c r="AE130" s="124"/>
      <c r="AF130" s="413"/>
      <c r="CC130" s="124"/>
    </row>
    <row r="131" spans="2:81" ht="12.9" thickBot="1">
      <c r="B131" s="124"/>
      <c r="C131" s="124"/>
      <c r="D131" s="124"/>
      <c r="E131" s="237" t="s">
        <v>224</v>
      </c>
      <c r="F131" s="236">
        <f>F130/F129</f>
        <v>-0.10796326272990121</v>
      </c>
      <c r="G131" s="236">
        <f>G130/G129</f>
        <v>-0.11660208112609052</v>
      </c>
      <c r="H131" s="108"/>
      <c r="J131" s="375" t="s">
        <v>76</v>
      </c>
      <c r="K131" s="382">
        <f>G103</f>
        <v>4.617440758242962</v>
      </c>
      <c r="L131" s="383">
        <f>G102</f>
        <v>3.4259555050867747</v>
      </c>
      <c r="M131" s="384">
        <f>L131-K131</f>
        <v>-1.1914852531561873</v>
      </c>
      <c r="N131" s="385">
        <f>M131/K131</f>
        <v>-0.25804018189711947</v>
      </c>
      <c r="O131" s="157"/>
      <c r="P131" s="157"/>
      <c r="Q131" s="393" t="s">
        <v>76</v>
      </c>
      <c r="R131" s="400">
        <f>W103</f>
        <v>4.7881345678067175</v>
      </c>
      <c r="S131" s="401">
        <f>W102</f>
        <v>3.4259555050867747</v>
      </c>
      <c r="T131" s="412">
        <f>S131-R131</f>
        <v>-1.3621790627199428</v>
      </c>
      <c r="U131" s="403">
        <f>T131/R131</f>
        <v>-0.28449055544065693</v>
      </c>
      <c r="V131" s="124"/>
      <c r="X131" s="124"/>
      <c r="Y131" s="124"/>
      <c r="Z131" s="124"/>
      <c r="AA131" s="237" t="s">
        <v>224</v>
      </c>
      <c r="AB131" s="236">
        <f>AB130/AB129</f>
        <v>-8.3854746048797446E-2</v>
      </c>
      <c r="AC131" s="236">
        <f>AC130/AC129</f>
        <v>-9.2493152009143112E-2</v>
      </c>
      <c r="AE131" s="124"/>
      <c r="AF131" s="413"/>
      <c r="CC131" s="124"/>
    </row>
    <row r="132" spans="2:81" s="124" customFormat="1">
      <c r="F132" s="157"/>
      <c r="G132" s="157"/>
      <c r="J132" s="375" t="s">
        <v>1</v>
      </c>
      <c r="K132" s="382">
        <f>G135</f>
        <v>1.2850347726299742</v>
      </c>
      <c r="L132" s="383">
        <f>G134</f>
        <v>1.2266371864642356</v>
      </c>
      <c r="M132" s="384">
        <f>L132-K132</f>
        <v>-5.8397586165738646E-2</v>
      </c>
      <c r="N132" s="385">
        <f>M132/K132</f>
        <v>-4.5444362603683591E-2</v>
      </c>
      <c r="O132" s="157"/>
      <c r="P132" s="157"/>
      <c r="Q132" s="393" t="s">
        <v>1</v>
      </c>
      <c r="R132" s="400">
        <f>AC135</f>
        <v>1.2850347726299742</v>
      </c>
      <c r="S132" s="401">
        <f>AC134</f>
        <v>1.2266371864642356</v>
      </c>
      <c r="T132" s="402">
        <f>S132-R132</f>
        <v>-5.8397586165738646E-2</v>
      </c>
      <c r="U132" s="403">
        <f>T132/R132</f>
        <v>-4.5444362603683591E-2</v>
      </c>
      <c r="AB132" s="157"/>
      <c r="AC132" s="157"/>
      <c r="AF132" s="413"/>
    </row>
    <row r="133" spans="2:81" ht="12.9" thickBot="1">
      <c r="B133" s="106"/>
      <c r="C133" s="50" t="str">
        <f>C127</f>
        <v>£ billion, 2018-19 Prices</v>
      </c>
      <c r="D133" s="50"/>
      <c r="E133" s="124"/>
      <c r="F133" s="166" t="s">
        <v>133</v>
      </c>
      <c r="G133" s="166" t="s">
        <v>176</v>
      </c>
      <c r="H133" s="98" t="s">
        <v>134</v>
      </c>
      <c r="J133" s="375" t="s">
        <v>71</v>
      </c>
      <c r="K133" s="382">
        <f>G167</f>
        <v>3.5065580484662564</v>
      </c>
      <c r="L133" s="383">
        <f>G166</f>
        <v>3.0353874748730729</v>
      </c>
      <c r="M133" s="384">
        <f>L133-K133</f>
        <v>-0.47117057359318348</v>
      </c>
      <c r="N133" s="385">
        <f>M133/K133</f>
        <v>-0.1343683940436321</v>
      </c>
      <c r="O133" s="157"/>
      <c r="P133" s="157"/>
      <c r="Q133" s="393" t="s">
        <v>71</v>
      </c>
      <c r="R133" s="400">
        <f>W167</f>
        <v>3.4442154170963555</v>
      </c>
      <c r="S133" s="401">
        <f>W166</f>
        <v>3.0353874748730729</v>
      </c>
      <c r="T133" s="402">
        <f>S133-R133</f>
        <v>-0.40882794222328256</v>
      </c>
      <c r="U133" s="403">
        <f>T133/R133</f>
        <v>-0.11869987579579003</v>
      </c>
      <c r="V133" s="124"/>
      <c r="X133" s="106"/>
      <c r="Y133" s="50" t="str">
        <f>Y127</f>
        <v>£ billion, 2018-19 Prices</v>
      </c>
      <c r="Z133" s="50"/>
      <c r="AA133" s="124"/>
      <c r="AB133" s="166" t="s">
        <v>133</v>
      </c>
      <c r="AC133" s="166" t="s">
        <v>176</v>
      </c>
      <c r="AD133" s="98" t="s">
        <v>134</v>
      </c>
      <c r="AE133" s="124"/>
      <c r="AF133" s="413"/>
      <c r="CC133" s="124"/>
    </row>
    <row r="134" spans="2:81" ht="12.9" thickBot="1">
      <c r="B134" s="726" t="s">
        <v>175</v>
      </c>
      <c r="C134" s="50" t="s">
        <v>135</v>
      </c>
      <c r="D134" s="50"/>
      <c r="E134" s="124"/>
      <c r="F134" s="165">
        <f>A152</f>
        <v>1.1942043850738444</v>
      </c>
      <c r="G134" s="165">
        <v>1.2266371864642356</v>
      </c>
      <c r="H134" s="748"/>
      <c r="J134" s="386" t="s">
        <v>3</v>
      </c>
      <c r="K134" s="387">
        <f>SUM(K131:K133)</f>
        <v>9.4090335793391926</v>
      </c>
      <c r="L134" s="387">
        <f>SUM(L131:L133)</f>
        <v>7.687980166424083</v>
      </c>
      <c r="M134" s="388">
        <f>L134-K134</f>
        <v>-1.7210534129151096</v>
      </c>
      <c r="N134" s="389">
        <f>M134/K134</f>
        <v>-0.18291500379956993</v>
      </c>
      <c r="O134" s="157"/>
      <c r="P134" s="157"/>
      <c r="Q134" s="404" t="s">
        <v>3</v>
      </c>
      <c r="R134" s="405">
        <f>SUM(R131:R133)</f>
        <v>9.5173847575330477</v>
      </c>
      <c r="S134" s="405">
        <f>SUM(S131:S133)</f>
        <v>7.687980166424083</v>
      </c>
      <c r="T134" s="406">
        <f>S134-R134</f>
        <v>-1.8294045911089647</v>
      </c>
      <c r="U134" s="407">
        <f>T134/R134</f>
        <v>-0.19221715184530958</v>
      </c>
      <c r="X134" s="726" t="s">
        <v>175</v>
      </c>
      <c r="Y134" s="50" t="s">
        <v>135</v>
      </c>
      <c r="Z134" s="50"/>
      <c r="AA134" s="124"/>
      <c r="AB134" s="165">
        <f>F134</f>
        <v>1.1942043850738444</v>
      </c>
      <c r="AC134" s="165">
        <f>G134</f>
        <v>1.2266371864642356</v>
      </c>
      <c r="AD134" s="748"/>
      <c r="AF134" s="413"/>
      <c r="CC134" s="124"/>
    </row>
    <row r="135" spans="2:81" ht="23.25" customHeight="1" thickTop="1" thickBot="1">
      <c r="B135" s="727"/>
      <c r="C135" s="50" t="s">
        <v>136</v>
      </c>
      <c r="D135" s="50"/>
      <c r="E135" s="124"/>
      <c r="F135" s="165">
        <f>B152</f>
        <v>1.2504231477499352</v>
      </c>
      <c r="G135" s="165">
        <v>1.2850347726299742</v>
      </c>
      <c r="H135" s="749"/>
      <c r="J135" s="374" t="s">
        <v>167</v>
      </c>
      <c r="K135" s="758" t="s">
        <v>333</v>
      </c>
      <c r="L135" s="759"/>
      <c r="M135" s="759"/>
      <c r="N135" s="759"/>
      <c r="O135" s="157"/>
      <c r="P135" s="157"/>
      <c r="Q135" s="392" t="s">
        <v>167</v>
      </c>
      <c r="R135" s="754" t="s">
        <v>333</v>
      </c>
      <c r="S135" s="755"/>
      <c r="T135" s="755"/>
      <c r="U135" s="755"/>
      <c r="X135" s="727"/>
      <c r="Y135" s="50" t="s">
        <v>136</v>
      </c>
      <c r="Z135" s="50"/>
      <c r="AA135" s="124"/>
      <c r="AB135" s="165">
        <f>F135</f>
        <v>1.2504231477499352</v>
      </c>
      <c r="AC135" s="165">
        <f>G135</f>
        <v>1.2850347726299742</v>
      </c>
      <c r="AD135" s="749"/>
      <c r="AF135" s="413"/>
      <c r="BV135" s="34"/>
      <c r="CC135" s="124"/>
    </row>
    <row r="136" spans="2:81" ht="12.9" thickBot="1">
      <c r="B136" s="727"/>
      <c r="C136" s="50" t="s">
        <v>223</v>
      </c>
      <c r="D136" s="50"/>
      <c r="E136" s="124"/>
      <c r="F136" s="166">
        <f>F134-F135</f>
        <v>-5.6218762676090828E-2</v>
      </c>
      <c r="G136" s="166">
        <f>G134-G135</f>
        <v>-5.8397586165738646E-2</v>
      </c>
      <c r="H136" s="162">
        <f>G136-F136</f>
        <v>-2.1788234896478187E-3</v>
      </c>
      <c r="J136" s="375"/>
      <c r="K136" s="376" t="s">
        <v>2</v>
      </c>
      <c r="L136" s="377" t="s">
        <v>4</v>
      </c>
      <c r="M136" s="756" t="s">
        <v>47</v>
      </c>
      <c r="N136" s="757"/>
      <c r="O136" s="157"/>
      <c r="P136" s="157"/>
      <c r="Q136" s="393"/>
      <c r="R136" s="394" t="s">
        <v>2</v>
      </c>
      <c r="S136" s="395" t="s">
        <v>4</v>
      </c>
      <c r="T136" s="752" t="s">
        <v>47</v>
      </c>
      <c r="U136" s="753"/>
      <c r="X136" s="727"/>
      <c r="Y136" s="50" t="s">
        <v>223</v>
      </c>
      <c r="Z136" s="50"/>
      <c r="AA136" s="124"/>
      <c r="AB136" s="166">
        <f>AB134-AB135</f>
        <v>-5.6218762676090828E-2</v>
      </c>
      <c r="AC136" s="166">
        <f>AC134-AC135</f>
        <v>-5.8397586165738646E-2</v>
      </c>
      <c r="AD136" s="162">
        <f>AC136-AB136</f>
        <v>-2.1788234896478187E-3</v>
      </c>
      <c r="AF136" s="413"/>
      <c r="BV136" s="124"/>
      <c r="BW136" s="485"/>
      <c r="BX136" s="463"/>
      <c r="BY136" s="463"/>
      <c r="BZ136" s="463"/>
      <c r="CA136" s="463"/>
      <c r="CB136" s="463"/>
      <c r="CC136" s="124"/>
    </row>
    <row r="137" spans="2:81" ht="13.3" thickBot="1">
      <c r="B137" s="124"/>
      <c r="C137" s="124"/>
      <c r="D137" s="124"/>
      <c r="E137" s="237" t="s">
        <v>224</v>
      </c>
      <c r="F137" s="236">
        <f>F136/F135</f>
        <v>-4.4959790433545054E-2</v>
      </c>
      <c r="G137" s="236">
        <f>G136/G135</f>
        <v>-4.5444362603683591E-2</v>
      </c>
      <c r="H137" s="156"/>
      <c r="J137" s="375"/>
      <c r="K137" s="378"/>
      <c r="L137" s="379"/>
      <c r="M137" s="380" t="s">
        <v>48</v>
      </c>
      <c r="N137" s="381" t="s">
        <v>49</v>
      </c>
      <c r="O137" s="157"/>
      <c r="P137" s="157"/>
      <c r="Q137" s="393"/>
      <c r="R137" s="396"/>
      <c r="S137" s="397"/>
      <c r="T137" s="398" t="s">
        <v>48</v>
      </c>
      <c r="U137" s="399" t="s">
        <v>49</v>
      </c>
      <c r="X137" s="124"/>
      <c r="Y137" s="124"/>
      <c r="Z137" s="124"/>
      <c r="AA137" s="237" t="s">
        <v>224</v>
      </c>
      <c r="AB137" s="236">
        <f>AB136/AB135</f>
        <v>-4.4959790433545054E-2</v>
      </c>
      <c r="AC137" s="236">
        <f>AC136/AC135</f>
        <v>-4.5444362603683591E-2</v>
      </c>
      <c r="AD137" s="156"/>
      <c r="AF137" s="413"/>
      <c r="BV137" s="124"/>
      <c r="BW137" s="483"/>
      <c r="BX137" s="463"/>
      <c r="BY137" s="463"/>
      <c r="BZ137" s="463"/>
      <c r="CA137" s="463"/>
      <c r="CB137" s="463"/>
      <c r="CC137" s="124"/>
    </row>
    <row r="138" spans="2:81" s="124" customFormat="1">
      <c r="F138" s="157"/>
      <c r="G138" s="157"/>
      <c r="H138" s="156"/>
      <c r="J138" s="375" t="s">
        <v>76</v>
      </c>
      <c r="K138" s="382">
        <f>G97</f>
        <v>6.0796930732513639</v>
      </c>
      <c r="L138" s="383">
        <f>G103</f>
        <v>4.617440758242962</v>
      </c>
      <c r="M138" s="384">
        <f>L138-K138</f>
        <v>-1.4622523150084019</v>
      </c>
      <c r="N138" s="385">
        <f>M138/K138</f>
        <v>-0.24051416698020955</v>
      </c>
      <c r="O138" s="157"/>
      <c r="P138" s="157"/>
      <c r="Q138" s="393" t="s">
        <v>76</v>
      </c>
      <c r="R138" s="400">
        <f>W97</f>
        <v>6.539253329769168</v>
      </c>
      <c r="S138" s="401">
        <f>W103</f>
        <v>4.7881345678067175</v>
      </c>
      <c r="T138" s="412">
        <f>S138-R138</f>
        <v>-1.7511187619624504</v>
      </c>
      <c r="U138" s="403">
        <f>T138/R138</f>
        <v>-0.26778573541274076</v>
      </c>
      <c r="AB138" s="157"/>
      <c r="AC138" s="157"/>
      <c r="AD138" s="156"/>
      <c r="AF138" s="413"/>
      <c r="BW138" s="463"/>
      <c r="BX138" s="463"/>
      <c r="BY138" s="463"/>
      <c r="BZ138" s="463"/>
      <c r="CA138" s="463"/>
      <c r="CB138" s="463"/>
    </row>
    <row r="139" spans="2:81" ht="12.9" thickBot="1">
      <c r="B139" s="106"/>
      <c r="C139" s="50" t="str">
        <f>C127</f>
        <v>£ billion, 2018-19 Prices</v>
      </c>
      <c r="D139" s="50"/>
      <c r="E139" s="124"/>
      <c r="F139" s="166" t="s">
        <v>133</v>
      </c>
      <c r="G139" s="166" t="s">
        <v>176</v>
      </c>
      <c r="H139" s="163" t="s">
        <v>134</v>
      </c>
      <c r="J139" s="375" t="s">
        <v>1</v>
      </c>
      <c r="K139" s="382">
        <f>G129</f>
        <v>0.86106556036979709</v>
      </c>
      <c r="L139" s="383">
        <f>G128</f>
        <v>0.76066352404467541</v>
      </c>
      <c r="M139" s="384">
        <f>L139-K139</f>
        <v>-0.10040203632512168</v>
      </c>
      <c r="N139" s="385">
        <f>M139/K139</f>
        <v>-0.11660208112609052</v>
      </c>
      <c r="O139" s="157"/>
      <c r="P139" s="157"/>
      <c r="Q139" s="393" t="s">
        <v>1</v>
      </c>
      <c r="R139" s="400">
        <f>AC129</f>
        <v>0.86106556036979709</v>
      </c>
      <c r="S139" s="401">
        <f>AC128</f>
        <v>0.78142289260467546</v>
      </c>
      <c r="T139" s="402">
        <f>S139-R139</f>
        <v>-7.9642667765121633E-2</v>
      </c>
      <c r="U139" s="403">
        <f>T139/R139</f>
        <v>-9.2493152009143112E-2</v>
      </c>
      <c r="X139" s="106"/>
      <c r="Y139" s="50" t="str">
        <f>Y127</f>
        <v>£ billion, 2018-19 Prices</v>
      </c>
      <c r="Z139" s="50"/>
      <c r="AA139" s="124"/>
      <c r="AB139" s="166" t="s">
        <v>133</v>
      </c>
      <c r="AC139" s="166" t="s">
        <v>176</v>
      </c>
      <c r="AD139" s="163" t="s">
        <v>134</v>
      </c>
      <c r="AF139" s="413"/>
      <c r="BV139" s="124"/>
      <c r="BW139" s="261"/>
      <c r="BX139" s="463"/>
      <c r="BY139" s="463"/>
      <c r="BZ139" s="463"/>
      <c r="CA139" s="463"/>
      <c r="CB139" s="463"/>
      <c r="CC139" s="124"/>
    </row>
    <row r="140" spans="2:81" ht="12.9" thickBot="1">
      <c r="B140" s="726" t="s">
        <v>177</v>
      </c>
      <c r="C140" s="50" t="s">
        <v>135</v>
      </c>
      <c r="D140" s="50"/>
      <c r="E140" s="124"/>
      <c r="F140" s="164">
        <f>A154</f>
        <v>1.8348961959765025E-2</v>
      </c>
      <c r="G140" s="164">
        <v>1.8752139210161081E-2</v>
      </c>
      <c r="H140" s="750"/>
      <c r="J140" s="375" t="s">
        <v>71</v>
      </c>
      <c r="K140" s="382">
        <f>G161</f>
        <v>0.33921883670603936</v>
      </c>
      <c r="L140" s="383">
        <f>G160</f>
        <v>0.42950591729153664</v>
      </c>
      <c r="M140" s="384">
        <f>L140-K140</f>
        <v>9.0287080585497281E-2</v>
      </c>
      <c r="N140" s="385">
        <f>M140/K140</f>
        <v>0.26616175405299902</v>
      </c>
      <c r="O140" s="157"/>
      <c r="P140" s="157"/>
      <c r="Q140" s="393" t="s">
        <v>71</v>
      </c>
      <c r="R140" s="400">
        <f>W161</f>
        <v>0.33921883670603936</v>
      </c>
      <c r="S140" s="401">
        <f>W160</f>
        <v>0.42950591729153664</v>
      </c>
      <c r="T140" s="402">
        <f>S140-R140</f>
        <v>9.0287080585497281E-2</v>
      </c>
      <c r="U140" s="403">
        <f>T140/R140</f>
        <v>0.26616175405299902</v>
      </c>
      <c r="X140" s="726" t="s">
        <v>177</v>
      </c>
      <c r="Y140" s="50" t="s">
        <v>135</v>
      </c>
      <c r="Z140" s="50"/>
      <c r="AA140" s="124"/>
      <c r="AB140" s="164">
        <f>F140</f>
        <v>1.8348961959765025E-2</v>
      </c>
      <c r="AC140" s="164">
        <f>G140</f>
        <v>1.8752139210161081E-2</v>
      </c>
      <c r="AD140" s="750"/>
      <c r="AF140" s="413"/>
      <c r="BV140" s="124"/>
      <c r="BW140" s="463"/>
      <c r="BX140" s="463"/>
      <c r="BY140" s="463"/>
      <c r="BZ140" s="463"/>
      <c r="CA140" s="463"/>
      <c r="CB140" s="463"/>
      <c r="CC140" s="124"/>
    </row>
    <row r="141" spans="2:81" ht="12.9" thickBot="1">
      <c r="B141" s="727"/>
      <c r="C141" s="50" t="s">
        <v>136</v>
      </c>
      <c r="D141" s="50"/>
      <c r="E141" s="124"/>
      <c r="F141" s="164">
        <f>B154</f>
        <v>9.4538109912233916E-3</v>
      </c>
      <c r="G141" s="164">
        <v>9.4538109912233916E-3</v>
      </c>
      <c r="H141" s="751"/>
      <c r="J141" s="386" t="s">
        <v>3</v>
      </c>
      <c r="K141" s="387">
        <f>SUM(K138:K140)</f>
        <v>7.2799774703272</v>
      </c>
      <c r="L141" s="387">
        <f>SUM(L138:L140)</f>
        <v>5.807610199579174</v>
      </c>
      <c r="M141" s="388">
        <f>L141-K141</f>
        <v>-1.472367270748026</v>
      </c>
      <c r="N141" s="389">
        <f>M141/K141</f>
        <v>-0.20224887738311231</v>
      </c>
      <c r="O141" s="157"/>
      <c r="P141" s="157"/>
      <c r="Q141" s="404" t="s">
        <v>3</v>
      </c>
      <c r="R141" s="405">
        <f>SUM(R138:R140)</f>
        <v>7.7395377268450041</v>
      </c>
      <c r="S141" s="405">
        <f>SUM(S138:S140)</f>
        <v>5.9990633777029299</v>
      </c>
      <c r="T141" s="406">
        <f>S141-R141</f>
        <v>-1.7404743491420742</v>
      </c>
      <c r="U141" s="407">
        <f>T141/R141</f>
        <v>-0.22488091803017446</v>
      </c>
      <c r="X141" s="727"/>
      <c r="Y141" s="50" t="s">
        <v>136</v>
      </c>
      <c r="Z141" s="50"/>
      <c r="AA141" s="124"/>
      <c r="AB141" s="164">
        <f>F141</f>
        <v>9.4538109912233916E-3</v>
      </c>
      <c r="AC141" s="164">
        <f>G141</f>
        <v>9.4538109912233916E-3</v>
      </c>
      <c r="AD141" s="751"/>
      <c r="AF141" s="413"/>
      <c r="BV141" s="124"/>
      <c r="BW141" s="463"/>
      <c r="BX141" s="463"/>
      <c r="BY141" s="463"/>
      <c r="BZ141" s="463"/>
      <c r="CA141" s="463"/>
      <c r="CB141" s="463"/>
      <c r="CC141" s="124"/>
    </row>
    <row r="142" spans="2:81" ht="23.25" customHeight="1" thickTop="1" thickBot="1">
      <c r="B142" s="727"/>
      <c r="C142" s="50" t="s">
        <v>223</v>
      </c>
      <c r="D142" s="50"/>
      <c r="E142" s="124"/>
      <c r="F142" s="162">
        <f>F140-F141</f>
        <v>8.8951509685416333E-3</v>
      </c>
      <c r="G142" s="162">
        <f>G140-G141</f>
        <v>9.298328218937689E-3</v>
      </c>
      <c r="H142" s="162">
        <f>G142-F142</f>
        <v>4.0317725039605568E-4</v>
      </c>
      <c r="J142" s="374" t="s">
        <v>167</v>
      </c>
      <c r="K142" s="758" t="s">
        <v>334</v>
      </c>
      <c r="L142" s="759"/>
      <c r="M142" s="759"/>
      <c r="N142" s="759"/>
      <c r="O142" s="157"/>
      <c r="P142" s="157"/>
      <c r="Q142" s="392" t="s">
        <v>167</v>
      </c>
      <c r="R142" s="754" t="s">
        <v>334</v>
      </c>
      <c r="S142" s="755"/>
      <c r="T142" s="755"/>
      <c r="U142" s="755"/>
      <c r="X142" s="727"/>
      <c r="Y142" s="50" t="s">
        <v>223</v>
      </c>
      <c r="Z142" s="50"/>
      <c r="AA142" s="124"/>
      <c r="AB142" s="162">
        <f>AB140-AB141</f>
        <v>8.8951509685416333E-3</v>
      </c>
      <c r="AC142" s="162">
        <f>AC140-AC141</f>
        <v>9.298328218937689E-3</v>
      </c>
      <c r="AD142" s="162">
        <f>AC142-AB142</f>
        <v>4.0317725039605568E-4</v>
      </c>
      <c r="AF142" s="413"/>
      <c r="BV142" s="124"/>
      <c r="BW142" s="65"/>
      <c r="BX142" s="486"/>
      <c r="BY142" s="481"/>
      <c r="BZ142" s="481"/>
      <c r="CA142" s="481"/>
      <c r="CB142" s="481"/>
      <c r="CC142" s="124"/>
    </row>
    <row r="143" spans="2:81" ht="12.9" thickBot="1">
      <c r="B143" s="124"/>
      <c r="C143" s="124"/>
      <c r="D143" s="124"/>
      <c r="E143" s="237" t="s">
        <v>224</v>
      </c>
      <c r="F143" s="236">
        <f>F142/F141</f>
        <v>0.94090636853218246</v>
      </c>
      <c r="G143" s="236">
        <f>G142/G141</f>
        <v>0.98355342914830346</v>
      </c>
      <c r="H143" s="156"/>
      <c r="J143" s="375"/>
      <c r="K143" s="376" t="s">
        <v>2</v>
      </c>
      <c r="L143" s="377" t="s">
        <v>4</v>
      </c>
      <c r="M143" s="756" t="s">
        <v>47</v>
      </c>
      <c r="N143" s="757"/>
      <c r="O143" s="157"/>
      <c r="P143" s="157"/>
      <c r="Q143" s="393"/>
      <c r="R143" s="394" t="s">
        <v>2</v>
      </c>
      <c r="S143" s="395" t="s">
        <v>4</v>
      </c>
      <c r="T143" s="752" t="s">
        <v>47</v>
      </c>
      <c r="U143" s="753"/>
      <c r="X143" s="124"/>
      <c r="Y143" s="124"/>
      <c r="Z143" s="124"/>
      <c r="AA143" s="237" t="s">
        <v>224</v>
      </c>
      <c r="AB143" s="236">
        <f>AB142/AB141</f>
        <v>0.94090636853218246</v>
      </c>
      <c r="AC143" s="236">
        <f>AC142/AC141</f>
        <v>0.98355342914830346</v>
      </c>
      <c r="AD143" s="156"/>
      <c r="AF143" s="413"/>
      <c r="BV143" s="124"/>
      <c r="BW143" s="65"/>
      <c r="BX143" s="481"/>
      <c r="BY143" s="481"/>
      <c r="BZ143" s="481"/>
      <c r="CA143" s="481"/>
      <c r="CB143" s="481"/>
      <c r="CC143" s="124"/>
    </row>
    <row r="144" spans="2:81" s="124" customFormat="1" ht="12.9">
      <c r="F144" s="157"/>
      <c r="G144" s="157"/>
      <c r="H144" s="156"/>
      <c r="J144" s="375"/>
      <c r="K144" s="378"/>
      <c r="L144" s="379"/>
      <c r="M144" s="380" t="s">
        <v>48</v>
      </c>
      <c r="N144" s="381" t="s">
        <v>49</v>
      </c>
      <c r="O144" s="157"/>
      <c r="P144" s="157"/>
      <c r="Q144" s="393"/>
      <c r="R144" s="396"/>
      <c r="S144" s="397"/>
      <c r="T144" s="398" t="s">
        <v>48</v>
      </c>
      <c r="U144" s="399" t="s">
        <v>49</v>
      </c>
      <c r="AB144" s="157"/>
      <c r="AC144" s="157"/>
      <c r="AD144" s="156"/>
      <c r="AF144" s="413"/>
      <c r="BW144" s="65"/>
      <c r="BX144" s="481"/>
      <c r="BY144" s="481"/>
      <c r="BZ144" s="481"/>
      <c r="CA144" s="481"/>
      <c r="CB144" s="481"/>
    </row>
    <row r="145" spans="1:80" ht="12.9" thickBot="1">
      <c r="B145" s="106"/>
      <c r="C145" s="50" t="str">
        <f>C127</f>
        <v>£ billion, 2018-19 Prices</v>
      </c>
      <c r="D145" s="50"/>
      <c r="E145" s="124"/>
      <c r="F145" s="166" t="s">
        <v>133</v>
      </c>
      <c r="G145" s="166" t="s">
        <v>176</v>
      </c>
      <c r="H145" s="163" t="s">
        <v>134</v>
      </c>
      <c r="J145" s="375" t="s">
        <v>76</v>
      </c>
      <c r="K145" s="382">
        <f>G109</f>
        <v>0.19401182221368832</v>
      </c>
      <c r="L145" s="383">
        <f>G108</f>
        <v>0.35750980897741619</v>
      </c>
      <c r="M145" s="384">
        <f>L145-K145</f>
        <v>0.16349798676372787</v>
      </c>
      <c r="N145" s="385">
        <f>M145/K145</f>
        <v>0.84272177281881344</v>
      </c>
      <c r="O145" s="157"/>
      <c r="P145" s="157"/>
      <c r="Q145" s="393" t="s">
        <v>76</v>
      </c>
      <c r="R145" s="400">
        <f>W109</f>
        <v>0.19401182221368832</v>
      </c>
      <c r="S145" s="401">
        <f>W108</f>
        <v>0.35750980897741619</v>
      </c>
      <c r="T145" s="402">
        <f>S145-R145</f>
        <v>0.16349798676372787</v>
      </c>
      <c r="U145" s="403">
        <f>T145/R145</f>
        <v>0.84272177281881344</v>
      </c>
      <c r="X145" s="106"/>
      <c r="Y145" s="50" t="str">
        <f>Y127</f>
        <v>£ billion, 2018-19 Prices</v>
      </c>
      <c r="Z145" s="50"/>
      <c r="AA145" s="124"/>
      <c r="AB145" s="166" t="s">
        <v>133</v>
      </c>
      <c r="AC145" s="166" t="s">
        <v>176</v>
      </c>
      <c r="AD145" s="163" t="s">
        <v>134</v>
      </c>
      <c r="AF145" s="413"/>
      <c r="BV145" s="124"/>
      <c r="BW145" s="65"/>
      <c r="BX145" s="481"/>
      <c r="BY145" s="481"/>
      <c r="BZ145" s="481"/>
      <c r="CA145" s="481"/>
      <c r="CB145" s="481"/>
    </row>
    <row r="146" spans="1:80" ht="12.9" thickBot="1">
      <c r="B146" s="726" t="s">
        <v>178</v>
      </c>
      <c r="C146" s="50" t="s">
        <v>135</v>
      </c>
      <c r="D146" s="50"/>
      <c r="E146" s="124"/>
      <c r="F146" s="165">
        <f>A155</f>
        <v>0.27864407349152404</v>
      </c>
      <c r="G146" s="165">
        <v>0.2801872469364417</v>
      </c>
      <c r="H146" s="750"/>
      <c r="J146" s="375" t="s">
        <v>1</v>
      </c>
      <c r="K146" s="390">
        <f>G141</f>
        <v>9.4538109912233916E-3</v>
      </c>
      <c r="L146" s="391">
        <f>G140</f>
        <v>1.8752139210161081E-2</v>
      </c>
      <c r="M146" s="384">
        <f>L146-K146</f>
        <v>9.298328218937689E-3</v>
      </c>
      <c r="N146" s="385">
        <f>M146/K146</f>
        <v>0.98355342914830346</v>
      </c>
      <c r="O146" s="157"/>
      <c r="P146" s="157"/>
      <c r="Q146" s="393" t="s">
        <v>1</v>
      </c>
      <c r="R146" s="408">
        <f>AC141</f>
        <v>9.4538109912233916E-3</v>
      </c>
      <c r="S146" s="409">
        <f>AC140</f>
        <v>1.8752139210161081E-2</v>
      </c>
      <c r="T146" s="402">
        <f>S146-R146</f>
        <v>9.298328218937689E-3</v>
      </c>
      <c r="U146" s="403">
        <f>T146/R146</f>
        <v>0.98355342914830346</v>
      </c>
      <c r="X146" s="726" t="s">
        <v>178</v>
      </c>
      <c r="Y146" s="50" t="s">
        <v>135</v>
      </c>
      <c r="Z146" s="50"/>
      <c r="AA146" s="124"/>
      <c r="AB146" s="165">
        <f>F146</f>
        <v>0.27864407349152404</v>
      </c>
      <c r="AC146" s="165">
        <f>G146</f>
        <v>0.2801872469364417</v>
      </c>
      <c r="AD146" s="750"/>
      <c r="AF146" s="413"/>
      <c r="BV146" s="124"/>
      <c r="BW146" s="65"/>
      <c r="BX146" s="486"/>
      <c r="BY146" s="481"/>
      <c r="BZ146" s="481"/>
      <c r="CA146" s="481"/>
      <c r="CB146" s="481"/>
    </row>
    <row r="147" spans="1:80" ht="12.9" thickBot="1">
      <c r="B147" s="727"/>
      <c r="C147" s="50" t="s">
        <v>136</v>
      </c>
      <c r="D147" s="50"/>
      <c r="E147" s="124"/>
      <c r="F147" s="165">
        <f>B155</f>
        <v>0.2063706188873751</v>
      </c>
      <c r="G147" s="165">
        <v>0.20671679030531567</v>
      </c>
      <c r="H147" s="751"/>
      <c r="J147" s="375" t="s">
        <v>71</v>
      </c>
      <c r="K147" s="390">
        <f>G173</f>
        <v>9.7212086484764464E-3</v>
      </c>
      <c r="L147" s="391">
        <f>G172</f>
        <v>2.44142E-2</v>
      </c>
      <c r="M147" s="384">
        <f>L147-K147</f>
        <v>1.4692991351523554E-2</v>
      </c>
      <c r="N147" s="385">
        <f>M147/K147</f>
        <v>1.5114366827036789</v>
      </c>
      <c r="O147" s="157"/>
      <c r="P147" s="157"/>
      <c r="Q147" s="393" t="s">
        <v>71</v>
      </c>
      <c r="R147" s="408">
        <f>W173</f>
        <v>9.7212086484764447E-3</v>
      </c>
      <c r="S147" s="409">
        <f>W172</f>
        <v>2.4414199999999997E-2</v>
      </c>
      <c r="T147" s="402">
        <f>S147-R147</f>
        <v>1.4692991351523552E-2</v>
      </c>
      <c r="U147" s="403">
        <f>T147/R147</f>
        <v>1.5114366827036789</v>
      </c>
      <c r="X147" s="727"/>
      <c r="Y147" s="50" t="s">
        <v>136</v>
      </c>
      <c r="Z147" s="50"/>
      <c r="AA147" s="124"/>
      <c r="AB147" s="165">
        <f>F147</f>
        <v>0.2063706188873751</v>
      </c>
      <c r="AC147" s="165">
        <f>G147</f>
        <v>0.20671679030531567</v>
      </c>
      <c r="AD147" s="751"/>
      <c r="AF147" s="413"/>
      <c r="BV147" s="124"/>
      <c r="BW147" s="65"/>
      <c r="BX147" s="481"/>
      <c r="BY147" s="481"/>
      <c r="BZ147" s="481"/>
      <c r="CA147" s="481"/>
      <c r="CB147" s="481"/>
    </row>
    <row r="148" spans="1:80" ht="12.9" thickBot="1">
      <c r="B148" s="727"/>
      <c r="C148" s="50" t="s">
        <v>223</v>
      </c>
      <c r="D148" s="50"/>
      <c r="E148" s="124"/>
      <c r="F148" s="166">
        <f>F146-F147</f>
        <v>7.227345460414894E-2</v>
      </c>
      <c r="G148" s="166">
        <f>G146-G147</f>
        <v>7.347045663112603E-2</v>
      </c>
      <c r="H148" s="162">
        <f>G148-F148</f>
        <v>1.1970020269770898E-3</v>
      </c>
      <c r="J148" s="386" t="s">
        <v>3</v>
      </c>
      <c r="K148" s="387">
        <f>SUM(K145:K147)</f>
        <v>0.21318684185338815</v>
      </c>
      <c r="L148" s="387">
        <f>SUM(L145:L147)</f>
        <v>0.40067614818757724</v>
      </c>
      <c r="M148" s="388">
        <f>L148-K148</f>
        <v>0.18748930633418909</v>
      </c>
      <c r="N148" s="389">
        <f>M148/K148</f>
        <v>0.87946003001033402</v>
      </c>
      <c r="O148" s="157"/>
      <c r="P148" s="157"/>
      <c r="Q148" s="404" t="s">
        <v>3</v>
      </c>
      <c r="R148" s="405">
        <f>SUM(R145:R147)</f>
        <v>0.21318684185338815</v>
      </c>
      <c r="S148" s="405">
        <f>SUM(S145:S147)</f>
        <v>0.40067614818757724</v>
      </c>
      <c r="T148" s="406">
        <f>S148-R148</f>
        <v>0.18748930633418909</v>
      </c>
      <c r="U148" s="407">
        <f>T148/R148</f>
        <v>0.87946003001033402</v>
      </c>
      <c r="X148" s="727"/>
      <c r="Y148" s="50" t="s">
        <v>223</v>
      </c>
      <c r="Z148" s="50"/>
      <c r="AA148" s="124"/>
      <c r="AB148" s="166">
        <f>AB146-AB147</f>
        <v>7.227345460414894E-2</v>
      </c>
      <c r="AC148" s="166">
        <f>AC146-AC147</f>
        <v>7.347045663112603E-2</v>
      </c>
      <c r="AD148" s="162">
        <f>AC148-AB148</f>
        <v>1.1970020269770898E-3</v>
      </c>
      <c r="AF148" s="413"/>
      <c r="BV148" s="124"/>
      <c r="BW148" s="65"/>
      <c r="BX148" s="481"/>
      <c r="BY148" s="481"/>
      <c r="BZ148" s="481"/>
      <c r="CA148" s="481"/>
      <c r="CB148" s="481"/>
    </row>
    <row r="149" spans="1:80" ht="12.9" thickBot="1">
      <c r="C149" s="124"/>
      <c r="D149" s="124"/>
      <c r="E149" s="237" t="s">
        <v>224</v>
      </c>
      <c r="F149" s="236">
        <f>F148/F147</f>
        <v>0.350211939053163</v>
      </c>
      <c r="G149" s="236">
        <f>G148/G147</f>
        <v>0.35541600913313309</v>
      </c>
      <c r="K149" s="168"/>
      <c r="L149" s="157"/>
      <c r="M149" s="157"/>
      <c r="N149" s="169"/>
      <c r="O149" s="157"/>
      <c r="P149" s="157"/>
      <c r="X149" s="124"/>
      <c r="Y149" s="124"/>
      <c r="Z149" s="124"/>
      <c r="AA149" s="237" t="s">
        <v>224</v>
      </c>
      <c r="AB149" s="236">
        <f>AB148/AB147</f>
        <v>0.350211939053163</v>
      </c>
      <c r="AC149" s="236">
        <f>AC148/AC147</f>
        <v>0.35541600913313309</v>
      </c>
      <c r="AF149" s="413"/>
      <c r="BV149" s="124"/>
      <c r="BW149" s="65"/>
      <c r="BX149" s="481"/>
      <c r="BY149" s="481"/>
      <c r="BZ149" s="481"/>
      <c r="CA149" s="481"/>
      <c r="CB149" s="481"/>
    </row>
    <row r="150" spans="1:80" s="124" customFormat="1">
      <c r="A150" s="633" t="s">
        <v>444</v>
      </c>
      <c r="B150" s="633"/>
      <c r="E150" s="248"/>
      <c r="F150" s="236"/>
      <c r="G150" s="236"/>
      <c r="K150" s="168"/>
      <c r="L150" s="157"/>
      <c r="M150" s="157"/>
      <c r="N150" s="169"/>
      <c r="O150" s="157"/>
      <c r="P150" s="157"/>
      <c r="AF150" s="413"/>
      <c r="BW150" s="65"/>
      <c r="BX150" s="486"/>
      <c r="BY150" s="481"/>
      <c r="BZ150" s="481"/>
      <c r="CA150" s="481"/>
      <c r="CB150" s="481"/>
    </row>
    <row r="151" spans="1:80" s="124" customFormat="1">
      <c r="A151" s="634" t="s">
        <v>442</v>
      </c>
      <c r="B151" s="634" t="s">
        <v>443</v>
      </c>
      <c r="E151" s="239" t="s">
        <v>225</v>
      </c>
      <c r="F151" s="243">
        <f>F128+F134+F140+F146</f>
        <v>2.2593126738606655</v>
      </c>
      <c r="G151" s="243">
        <f t="shared" ref="F151:G153" si="27">G128+G134+G140+G146</f>
        <v>2.2862400966555141</v>
      </c>
      <c r="H151" s="243">
        <f>SUM(AF6:AM7)/1000</f>
        <v>2.2862400966555141</v>
      </c>
      <c r="I151" s="243">
        <f>H151-G151</f>
        <v>0</v>
      </c>
      <c r="K151" s="168"/>
      <c r="L151" s="157"/>
      <c r="M151" s="157"/>
      <c r="N151" s="169"/>
      <c r="O151" s="157"/>
      <c r="P151" s="157"/>
      <c r="AB151" s="243">
        <f t="shared" ref="AB151:AC153" si="28">AB128+AB134+AB140+AB146</f>
        <v>2.2800720424206653</v>
      </c>
      <c r="AC151" s="243">
        <f t="shared" si="28"/>
        <v>2.3069994652155139</v>
      </c>
      <c r="AF151" s="413"/>
      <c r="BW151" s="65"/>
      <c r="BX151" s="481"/>
      <c r="BY151" s="481"/>
      <c r="BZ151" s="481"/>
      <c r="CA151" s="481"/>
      <c r="CB151" s="481"/>
    </row>
    <row r="152" spans="1:80" s="124" customFormat="1">
      <c r="A152" s="635">
        <v>1.1942043850738444</v>
      </c>
      <c r="B152" s="635">
        <v>1.2504231477499352</v>
      </c>
      <c r="C152" s="51"/>
      <c r="E152" s="239" t="s">
        <v>225</v>
      </c>
      <c r="F152" s="243">
        <f t="shared" si="27"/>
        <v>2.3273278686557801</v>
      </c>
      <c r="G152" s="243">
        <f t="shared" si="27"/>
        <v>2.3622709342963102</v>
      </c>
      <c r="H152" s="243">
        <f>SUM(AF8:AM8)/1000</f>
        <v>2.3622709342963097</v>
      </c>
      <c r="I152" s="243">
        <f>H152-G152</f>
        <v>0</v>
      </c>
      <c r="K152" s="168"/>
      <c r="L152" s="157"/>
      <c r="M152" s="157"/>
      <c r="N152" s="169"/>
      <c r="O152" s="157"/>
      <c r="P152" s="157"/>
      <c r="AB152" s="243">
        <f t="shared" si="28"/>
        <v>2.3273278686557801</v>
      </c>
      <c r="AC152" s="243">
        <f t="shared" si="28"/>
        <v>2.3622709342963102</v>
      </c>
      <c r="AF152" s="413"/>
      <c r="BW152" s="65"/>
      <c r="BX152" s="481"/>
      <c r="BY152" s="481"/>
      <c r="BZ152" s="481"/>
      <c r="CA152" s="481"/>
      <c r="CB152" s="481"/>
    </row>
    <row r="153" spans="1:80" s="124" customFormat="1">
      <c r="A153" s="635">
        <v>0.76811525333553188</v>
      </c>
      <c r="B153" s="635">
        <v>0.86108029102724626</v>
      </c>
      <c r="C153" s="51"/>
      <c r="E153" s="239" t="s">
        <v>225</v>
      </c>
      <c r="F153" s="243">
        <f>F130+F136+F142+F148</f>
        <v>-6.8015194795114642E-2</v>
      </c>
      <c r="G153" s="243">
        <f t="shared" si="27"/>
        <v>-7.60308376407966E-2</v>
      </c>
      <c r="H153" s="243">
        <f>H151-H152</f>
        <v>-7.6030837640795657E-2</v>
      </c>
      <c r="I153" s="243">
        <f>H153-G153</f>
        <v>9.4368957093138306E-16</v>
      </c>
      <c r="K153" s="168"/>
      <c r="L153" s="157"/>
      <c r="M153" s="157"/>
      <c r="N153" s="169"/>
      <c r="O153" s="157"/>
      <c r="P153" s="157"/>
      <c r="AB153" s="243">
        <f t="shared" si="28"/>
        <v>-4.7255826235114595E-2</v>
      </c>
      <c r="AC153" s="243">
        <f t="shared" si="28"/>
        <v>-5.5271469080796554E-2</v>
      </c>
      <c r="AF153" s="413"/>
      <c r="BW153" s="65"/>
      <c r="BX153" s="481"/>
      <c r="BY153" s="481"/>
      <c r="BZ153" s="481"/>
      <c r="CA153" s="481"/>
      <c r="CB153" s="481"/>
    </row>
    <row r="154" spans="1:80" s="124" customFormat="1">
      <c r="A154" s="635">
        <v>1.8348961959765025E-2</v>
      </c>
      <c r="B154" s="635">
        <v>9.4538109912233916E-3</v>
      </c>
      <c r="C154" s="51"/>
      <c r="F154" s="371">
        <f>F153/F152</f>
        <v>-2.9224586578941673E-2</v>
      </c>
      <c r="G154" s="371">
        <f>G153/G152</f>
        <v>-3.2185485812382141E-2</v>
      </c>
      <c r="H154" s="371"/>
      <c r="I154" s="371"/>
      <c r="J154" s="371"/>
      <c r="K154" s="371"/>
      <c r="L154" s="371"/>
      <c r="M154" s="371"/>
      <c r="N154" s="371"/>
      <c r="O154" s="371"/>
      <c r="P154" s="371"/>
      <c r="Q154" s="371"/>
      <c r="R154" s="371"/>
      <c r="S154" s="371"/>
      <c r="T154" s="371"/>
      <c r="U154" s="371"/>
      <c r="V154" s="371"/>
      <c r="W154" s="371"/>
      <c r="X154" s="371"/>
      <c r="Y154" s="371"/>
      <c r="Z154" s="371"/>
      <c r="AA154" s="371"/>
      <c r="AB154" s="371">
        <f t="shared" ref="AB154:AC154" si="29">AB153/AB152</f>
        <v>-2.0304756743367083E-2</v>
      </c>
      <c r="AC154" s="371">
        <f t="shared" si="29"/>
        <v>-2.339759943634967E-2</v>
      </c>
      <c r="AF154" s="413"/>
    </row>
    <row r="155" spans="1:80" s="124" customFormat="1">
      <c r="A155" s="635">
        <v>0.27864407349152404</v>
      </c>
      <c r="B155" s="635">
        <v>0.2063706188873751</v>
      </c>
      <c r="C155" s="51"/>
      <c r="K155" s="168"/>
      <c r="L155" s="157"/>
      <c r="M155" s="157"/>
      <c r="N155" s="169"/>
      <c r="O155" s="157"/>
      <c r="P155" s="157"/>
      <c r="AF155" s="413"/>
    </row>
    <row r="156" spans="1:80" s="124" customFormat="1">
      <c r="K156" s="168"/>
      <c r="L156" s="157"/>
      <c r="M156" s="157"/>
      <c r="N156" s="169"/>
      <c r="O156" s="157"/>
      <c r="P156" s="157"/>
      <c r="AF156" s="413"/>
    </row>
    <row r="157" spans="1:80">
      <c r="A157" s="1" t="s">
        <v>207</v>
      </c>
      <c r="B157" s="32" t="s">
        <v>231</v>
      </c>
      <c r="C157" s="108"/>
      <c r="D157" s="108"/>
      <c r="E157" s="108"/>
      <c r="F157" s="108"/>
      <c r="G157" s="108"/>
      <c r="H157" s="108"/>
      <c r="K157" s="168"/>
      <c r="L157" s="157"/>
      <c r="M157" s="157"/>
      <c r="O157" s="157"/>
      <c r="P157" s="157"/>
      <c r="R157" s="1" t="s">
        <v>208</v>
      </c>
      <c r="S157" s="246" t="s">
        <v>233</v>
      </c>
      <c r="AB157"/>
      <c r="AF157" s="413"/>
    </row>
    <row r="158" spans="1:80">
      <c r="B158" s="65"/>
      <c r="C158" s="108"/>
      <c r="D158" s="108"/>
      <c r="E158" s="108"/>
      <c r="F158" s="108"/>
      <c r="G158" s="108"/>
      <c r="H158" s="108"/>
      <c r="K158" s="168"/>
      <c r="L158" s="157"/>
      <c r="M158" s="157"/>
      <c r="O158" s="157"/>
      <c r="P158" s="157"/>
      <c r="R158" s="157"/>
      <c r="AB158"/>
      <c r="AF158" s="413"/>
    </row>
    <row r="159" spans="1:80" ht="12.9" thickBot="1">
      <c r="B159" s="106"/>
      <c r="C159" s="50" t="s">
        <v>179</v>
      </c>
      <c r="D159" s="50"/>
      <c r="E159" s="124"/>
      <c r="F159" s="97" t="s">
        <v>133</v>
      </c>
      <c r="G159" s="97" t="s">
        <v>176</v>
      </c>
      <c r="H159" s="98" t="s">
        <v>134</v>
      </c>
      <c r="K159" s="168"/>
      <c r="L159" s="157"/>
      <c r="M159" s="157"/>
      <c r="O159" s="157"/>
      <c r="P159" s="157"/>
      <c r="R159" s="157"/>
      <c r="S159" s="106"/>
      <c r="T159" s="50" t="s">
        <v>179</v>
      </c>
      <c r="U159" s="124"/>
      <c r="V159" s="97" t="s">
        <v>133</v>
      </c>
      <c r="W159" s="97" t="s">
        <v>176</v>
      </c>
      <c r="X159" s="98" t="s">
        <v>134</v>
      </c>
      <c r="AB159"/>
      <c r="AE159" s="124"/>
      <c r="AF159" s="413"/>
      <c r="AG159" s="89"/>
    </row>
    <row r="160" spans="1:80" ht="12.9" thickBot="1">
      <c r="B160" s="726" t="s">
        <v>79</v>
      </c>
      <c r="C160" s="50" t="s">
        <v>135</v>
      </c>
      <c r="D160" s="50"/>
      <c r="E160" s="124"/>
      <c r="F160" s="159">
        <f>A186</f>
        <v>0.43857999287082722</v>
      </c>
      <c r="G160" s="159">
        <f>('[4]2.4_Totex'!$M$10+'[4]2.4_Totex'!$M$11)/1000</f>
        <v>0.42950591729153664</v>
      </c>
      <c r="H160" s="748"/>
      <c r="J160" s="189"/>
      <c r="K160" s="600"/>
      <c r="L160" s="157"/>
      <c r="M160" s="588"/>
      <c r="N160" s="89"/>
      <c r="O160" s="588"/>
      <c r="R160" s="157"/>
      <c r="S160" s="726" t="s">
        <v>79</v>
      </c>
      <c r="T160" s="50" t="s">
        <v>135</v>
      </c>
      <c r="U160" s="124"/>
      <c r="V160" s="159">
        <f>F160</f>
        <v>0.43857999287082722</v>
      </c>
      <c r="W160" s="159">
        <v>0.42950591729153664</v>
      </c>
      <c r="X160" s="748"/>
      <c r="AB160" s="89"/>
      <c r="AC160" s="89"/>
      <c r="AD160" s="89"/>
      <c r="AE160" s="89"/>
      <c r="AF160" s="413"/>
      <c r="AG160" s="89"/>
    </row>
    <row r="161" spans="1:33" ht="12.9" thickBot="1">
      <c r="B161" s="727"/>
      <c r="C161" s="50" t="s">
        <v>136</v>
      </c>
      <c r="D161" s="50"/>
      <c r="E161" s="124"/>
      <c r="F161" s="159">
        <f>B186</f>
        <v>0.33622637692204421</v>
      </c>
      <c r="G161" s="159">
        <f>('[4]2.4_Totex'!$M$37+'[4]2.4_Totex'!$M$38)/1000</f>
        <v>0.33921883670603936</v>
      </c>
      <c r="H161" s="749"/>
      <c r="J161" s="189"/>
      <c r="K161" s="600"/>
      <c r="L161" s="157"/>
      <c r="M161" s="588"/>
      <c r="N161" s="89"/>
      <c r="O161" s="588"/>
      <c r="Q161" s="89"/>
      <c r="R161" s="157"/>
      <c r="S161" s="727"/>
      <c r="T161" s="50" t="s">
        <v>136</v>
      </c>
      <c r="U161" s="124"/>
      <c r="V161" s="159">
        <f>F161</f>
        <v>0.33622637692204421</v>
      </c>
      <c r="W161" s="159">
        <v>0.33921883670603936</v>
      </c>
      <c r="X161" s="749"/>
      <c r="Z161" s="630"/>
      <c r="AA161" s="89"/>
      <c r="AB161" s="89"/>
      <c r="AC161" s="89"/>
      <c r="AD161" s="89"/>
      <c r="AE161" s="89"/>
      <c r="AF161" s="413"/>
      <c r="AG161" s="89"/>
    </row>
    <row r="162" spans="1:33" ht="12.9" thickBot="1">
      <c r="B162" s="727"/>
      <c r="C162" s="50" t="s">
        <v>223</v>
      </c>
      <c r="D162" s="50"/>
      <c r="E162" s="124"/>
      <c r="F162" s="160">
        <f>F160-F161</f>
        <v>0.10235361594878301</v>
      </c>
      <c r="G162" s="160">
        <f>G160-G161</f>
        <v>9.0287080585497281E-2</v>
      </c>
      <c r="H162" s="158">
        <f>G162-F162</f>
        <v>-1.2066535363285724E-2</v>
      </c>
      <c r="J162" s="189"/>
      <c r="K162" s="600"/>
      <c r="L162" s="157"/>
      <c r="M162" s="588"/>
      <c r="N162" s="89"/>
      <c r="O162" s="588"/>
      <c r="Q162" s="89"/>
      <c r="R162" s="157"/>
      <c r="S162" s="727"/>
      <c r="T162" s="50" t="s">
        <v>223</v>
      </c>
      <c r="U162" s="124"/>
      <c r="V162" s="160">
        <f>V160-V161</f>
        <v>0.10235361594878301</v>
      </c>
      <c r="W162" s="160">
        <f>W160-W161</f>
        <v>9.0287080585497281E-2</v>
      </c>
      <c r="X162" s="158">
        <f>W162-V162</f>
        <v>-1.2066535363285724E-2</v>
      </c>
      <c r="Z162" s="630"/>
      <c r="AA162" s="89"/>
      <c r="AB162" s="89"/>
      <c r="AC162" s="89"/>
      <c r="AD162" s="89"/>
      <c r="AE162" s="89"/>
      <c r="AF162" s="413"/>
      <c r="AG162" s="89"/>
    </row>
    <row r="163" spans="1:33" ht="13.5" customHeight="1" thickBot="1">
      <c r="B163" s="124"/>
      <c r="C163" s="124"/>
      <c r="D163" s="124"/>
      <c r="E163" s="237" t="s">
        <v>224</v>
      </c>
      <c r="F163" s="236">
        <f>F162/F161</f>
        <v>0.30441875764111809</v>
      </c>
      <c r="G163" s="236">
        <f>G162/G161</f>
        <v>0.26616175405299902</v>
      </c>
      <c r="H163" s="51"/>
      <c r="J163" s="740"/>
      <c r="K163" s="740"/>
      <c r="L163" s="157"/>
      <c r="M163" s="738"/>
      <c r="N163" s="738"/>
      <c r="O163" s="738"/>
      <c r="Q163" s="738"/>
      <c r="R163" s="157"/>
      <c r="S163" s="124"/>
      <c r="T163" s="124"/>
      <c r="U163" s="237" t="s">
        <v>224</v>
      </c>
      <c r="V163" s="236">
        <f>V162/V161</f>
        <v>0.30441875764111809</v>
      </c>
      <c r="W163" s="236">
        <f>W162/W161</f>
        <v>0.26616175405299902</v>
      </c>
      <c r="X163" s="51"/>
      <c r="Z163" s="738"/>
      <c r="AA163" s="738"/>
      <c r="AB163" s="89"/>
      <c r="AC163" s="738"/>
      <c r="AD163" s="738"/>
      <c r="AE163" s="738"/>
      <c r="AF163" s="413"/>
      <c r="AG163" s="738"/>
    </row>
    <row r="164" spans="1:33" s="124" customFormat="1">
      <c r="F164" s="161"/>
      <c r="G164" s="161"/>
      <c r="H164" s="51"/>
      <c r="J164" s="741"/>
      <c r="K164" s="741"/>
      <c r="L164" s="157"/>
      <c r="M164" s="739"/>
      <c r="N164" s="739"/>
      <c r="O164" s="739"/>
      <c r="Q164" s="739"/>
      <c r="R164" s="157"/>
      <c r="V164" s="161"/>
      <c r="W164" s="161"/>
      <c r="X164" s="51"/>
      <c r="Z164" s="739"/>
      <c r="AA164" s="739"/>
      <c r="AB164" s="89"/>
      <c r="AC164" s="739"/>
      <c r="AD164" s="739"/>
      <c r="AE164" s="739"/>
      <c r="AF164" s="413"/>
      <c r="AG164" s="739"/>
    </row>
    <row r="165" spans="1:33" ht="19.5" customHeight="1" thickBot="1">
      <c r="B165" s="106"/>
      <c r="C165" s="50" t="str">
        <f>C159</f>
        <v>£ billion, 2018-19 Prices</v>
      </c>
      <c r="D165" s="50"/>
      <c r="E165" s="124"/>
      <c r="F165" s="160" t="s">
        <v>133</v>
      </c>
      <c r="G165" s="160" t="s">
        <v>176</v>
      </c>
      <c r="H165" s="167" t="s">
        <v>134</v>
      </c>
      <c r="J165" s="741"/>
      <c r="K165" s="741"/>
      <c r="L165" s="157"/>
      <c r="M165" s="739"/>
      <c r="N165" s="739"/>
      <c r="O165" s="739"/>
      <c r="Q165" s="739"/>
      <c r="R165" s="157"/>
      <c r="S165" s="106"/>
      <c r="T165" s="50" t="str">
        <f>T159</f>
        <v>£ billion, 2018-19 Prices</v>
      </c>
      <c r="U165" s="124"/>
      <c r="V165" s="160" t="s">
        <v>133</v>
      </c>
      <c r="W165" s="160" t="s">
        <v>176</v>
      </c>
      <c r="X165" s="167" t="s">
        <v>134</v>
      </c>
      <c r="Z165" s="739"/>
      <c r="AA165" s="739"/>
      <c r="AB165" s="588"/>
      <c r="AC165" s="739"/>
      <c r="AD165" s="739"/>
      <c r="AE165" s="739"/>
      <c r="AF165" s="413"/>
      <c r="AG165" s="739"/>
    </row>
    <row r="166" spans="1:33" ht="12.9" thickBot="1">
      <c r="A166" s="641">
        <v>4.6600000000000003E-2</v>
      </c>
      <c r="B166" s="726" t="s">
        <v>175</v>
      </c>
      <c r="C166" s="50" t="s">
        <v>135</v>
      </c>
      <c r="D166" s="50"/>
      <c r="E166" s="124"/>
      <c r="F166" s="159">
        <f>A185</f>
        <v>2.7777890797817903</v>
      </c>
      <c r="G166" s="159">
        <f>('[4]2.4_Totex'!$M$9)/1000-A166</f>
        <v>3.0353874748730729</v>
      </c>
      <c r="H166" s="760"/>
      <c r="J166" s="600"/>
      <c r="K166" s="600"/>
      <c r="L166" s="168"/>
      <c r="M166" s="599"/>
      <c r="N166" s="599"/>
      <c r="O166" s="599"/>
      <c r="Q166" s="599"/>
      <c r="R166" s="157"/>
      <c r="S166" s="726" t="s">
        <v>175</v>
      </c>
      <c r="T166" s="50" t="s">
        <v>135</v>
      </c>
      <c r="U166" s="124"/>
      <c r="V166" s="159">
        <f>F166</f>
        <v>2.7777890797817903</v>
      </c>
      <c r="W166" s="613">
        <f>G166</f>
        <v>3.0353874748730729</v>
      </c>
      <c r="X166" s="760"/>
      <c r="Z166" s="628"/>
      <c r="AA166" s="628"/>
      <c r="AB166" s="599"/>
      <c r="AC166" s="599"/>
      <c r="AD166" s="599"/>
      <c r="AE166" s="599"/>
      <c r="AF166" s="413"/>
      <c r="AG166" s="599"/>
    </row>
    <row r="167" spans="1:33" ht="12.9" thickBot="1">
      <c r="A167" s="641">
        <v>8.1413898467851062E-2</v>
      </c>
      <c r="B167" s="727"/>
      <c r="C167" s="50" t="s">
        <v>136</v>
      </c>
      <c r="D167" s="50"/>
      <c r="E167" s="124"/>
      <c r="F167" s="159">
        <f>B185</f>
        <v>3.2507814597696743</v>
      </c>
      <c r="G167" s="159">
        <f>'[4]2.4_Totex'!$M$36/1000</f>
        <v>3.5065580484662564</v>
      </c>
      <c r="H167" s="761"/>
      <c r="J167" s="600"/>
      <c r="K167" s="600"/>
      <c r="L167" s="168"/>
      <c r="M167" s="599"/>
      <c r="N167" s="599"/>
      <c r="O167" s="599"/>
      <c r="Q167" s="599"/>
      <c r="R167" s="157"/>
      <c r="S167" s="727"/>
      <c r="T167" s="50" t="s">
        <v>136</v>
      </c>
      <c r="U167" s="124"/>
      <c r="V167" s="159">
        <f>F167+(($BA$52+$BB$52)/1000)</f>
        <v>3.1884388283997733</v>
      </c>
      <c r="W167" s="613">
        <f>G167+(($BA$52+$BB$52)/1000)</f>
        <v>3.4442154170963555</v>
      </c>
      <c r="X167" s="761"/>
      <c r="Z167" s="628"/>
      <c r="AA167" s="628"/>
      <c r="AB167" s="599"/>
      <c r="AC167" s="599"/>
      <c r="AD167" s="599"/>
      <c r="AE167" s="599"/>
      <c r="AF167" s="413"/>
      <c r="AG167" s="599"/>
    </row>
    <row r="168" spans="1:33" ht="12.9" thickBot="1">
      <c r="B168" s="727"/>
      <c r="C168" s="50" t="s">
        <v>223</v>
      </c>
      <c r="D168" s="50"/>
      <c r="E168" s="124"/>
      <c r="F168" s="532">
        <f>F166-F167</f>
        <v>-0.4729923799878839</v>
      </c>
      <c r="G168" s="532">
        <f>G166-G167</f>
        <v>-0.47117057359318348</v>
      </c>
      <c r="H168" s="532">
        <f>G168-F168</f>
        <v>1.8218063947004204E-3</v>
      </c>
      <c r="I168" s="168"/>
      <c r="J168" s="601"/>
      <c r="K168" s="601"/>
      <c r="L168" s="168"/>
      <c r="M168" s="599"/>
      <c r="N168" s="621"/>
      <c r="O168" s="621"/>
      <c r="P168" s="168"/>
      <c r="Q168" s="599"/>
      <c r="R168" s="157"/>
      <c r="S168" s="727"/>
      <c r="T168" s="50" t="s">
        <v>223</v>
      </c>
      <c r="U168" s="124"/>
      <c r="V168" s="532">
        <f>V166-V167</f>
        <v>-0.41064974861798298</v>
      </c>
      <c r="W168" s="532">
        <f>W166-W167</f>
        <v>-0.40882794222328256</v>
      </c>
      <c r="X168" s="532">
        <f>W168-V168</f>
        <v>1.8218063947004204E-3</v>
      </c>
      <c r="Y168" s="168"/>
      <c r="Z168" s="621"/>
      <c r="AA168" s="621"/>
      <c r="AB168" s="599"/>
      <c r="AC168" s="599"/>
      <c r="AD168" s="621"/>
      <c r="AE168" s="621"/>
      <c r="AF168" s="413"/>
      <c r="AG168" s="599"/>
    </row>
    <row r="169" spans="1:33" ht="12.9" thickBot="1">
      <c r="B169" s="124"/>
      <c r="C169" s="124"/>
      <c r="D169" s="124"/>
      <c r="E169" s="237" t="s">
        <v>224</v>
      </c>
      <c r="F169" s="236">
        <f>F168/F167</f>
        <v>-0.14550113129456466</v>
      </c>
      <c r="G169" s="236">
        <f>G168/G167</f>
        <v>-0.1343683940436321</v>
      </c>
      <c r="H169" s="51"/>
      <c r="J169" s="620"/>
      <c r="K169" s="620"/>
      <c r="L169" s="157"/>
      <c r="M169" s="492"/>
      <c r="N169" s="492"/>
      <c r="O169" s="492"/>
      <c r="Q169" s="492"/>
      <c r="R169" s="157"/>
      <c r="S169" s="124"/>
      <c r="T169" s="124"/>
      <c r="U169" s="237" t="s">
        <v>224</v>
      </c>
      <c r="V169" s="236">
        <f>V168/V167</f>
        <v>-0.12879335960918578</v>
      </c>
      <c r="W169" s="236">
        <f>W168/W167</f>
        <v>-0.11869987579579003</v>
      </c>
      <c r="X169" s="51"/>
      <c r="Z169" s="492"/>
      <c r="AA169" s="492"/>
      <c r="AB169" s="588"/>
      <c r="AC169" s="492"/>
      <c r="AD169" s="492"/>
      <c r="AE169" s="492"/>
      <c r="AF169" s="413"/>
      <c r="AG169" s="492"/>
    </row>
    <row r="170" spans="1:33" s="124" customFormat="1">
      <c r="F170" s="161"/>
      <c r="G170" s="161"/>
      <c r="H170" s="51"/>
      <c r="J170" s="189"/>
      <c r="K170" s="600"/>
      <c r="L170" s="157"/>
      <c r="M170" s="588"/>
      <c r="N170" s="89"/>
      <c r="O170" s="89"/>
      <c r="Q170" s="89"/>
      <c r="R170" s="157"/>
      <c r="V170" s="161"/>
      <c r="W170" s="161"/>
      <c r="X170" s="51"/>
      <c r="Z170" s="630"/>
      <c r="AA170" s="599"/>
      <c r="AB170" s="588"/>
      <c r="AC170" s="89"/>
      <c r="AD170" s="89"/>
      <c r="AE170" s="89"/>
      <c r="AF170" s="413"/>
      <c r="AG170" s="89"/>
    </row>
    <row r="171" spans="1:33" ht="12.9" thickBot="1">
      <c r="B171" s="106"/>
      <c r="C171" s="50" t="str">
        <f>C159</f>
        <v>£ billion, 2018-19 Prices</v>
      </c>
      <c r="D171" s="50"/>
      <c r="E171" s="124"/>
      <c r="F171" s="160" t="s">
        <v>133</v>
      </c>
      <c r="G171" s="160" t="s">
        <v>176</v>
      </c>
      <c r="H171" s="167" t="s">
        <v>134</v>
      </c>
      <c r="J171" s="189"/>
      <c r="K171" s="600"/>
      <c r="L171" s="157"/>
      <c r="M171" s="588"/>
      <c r="N171" s="599"/>
      <c r="O171" s="89"/>
      <c r="Q171" s="89"/>
      <c r="R171" s="157"/>
      <c r="S171" s="106"/>
      <c r="T171" s="50" t="str">
        <f>T159</f>
        <v>£ billion, 2018-19 Prices</v>
      </c>
      <c r="U171" s="124"/>
      <c r="V171" s="160" t="s">
        <v>133</v>
      </c>
      <c r="W171" s="160" t="s">
        <v>176</v>
      </c>
      <c r="X171" s="167" t="s">
        <v>134</v>
      </c>
      <c r="Z171" s="630"/>
      <c r="AA171" s="599"/>
      <c r="AB171" s="588"/>
      <c r="AC171" s="89"/>
      <c r="AD171" s="89"/>
      <c r="AE171" s="89"/>
      <c r="AF171" s="413"/>
      <c r="AG171" s="89"/>
    </row>
    <row r="172" spans="1:33" ht="12.9" thickBot="1">
      <c r="B172" s="726" t="s">
        <v>177</v>
      </c>
      <c r="C172" s="50" t="s">
        <v>135</v>
      </c>
      <c r="D172" s="50"/>
      <c r="E172" s="124"/>
      <c r="F172" s="155">
        <f>A187</f>
        <v>2.9284165701411086E-2</v>
      </c>
      <c r="G172" s="155">
        <f>'[4]2.4_Totex'!$M$12/1000</f>
        <v>2.44142E-2</v>
      </c>
      <c r="H172" s="760"/>
      <c r="J172" s="189"/>
      <c r="K172" s="600"/>
      <c r="L172" s="157"/>
      <c r="M172" s="588"/>
      <c r="N172" s="89"/>
      <c r="O172" s="89"/>
      <c r="Q172" s="89"/>
      <c r="R172" s="157"/>
      <c r="S172" s="726" t="s">
        <v>177</v>
      </c>
      <c r="T172" s="50" t="s">
        <v>135</v>
      </c>
      <c r="U172" s="124"/>
      <c r="V172" s="155">
        <f>F172</f>
        <v>2.9284165701411086E-2</v>
      </c>
      <c r="W172" s="155">
        <v>2.4414199999999997E-2</v>
      </c>
      <c r="X172" s="760"/>
      <c r="Z172" s="630"/>
      <c r="AA172" s="599"/>
      <c r="AB172" s="588"/>
      <c r="AC172" s="89"/>
      <c r="AD172" s="89"/>
      <c r="AE172" s="89"/>
      <c r="AF172" s="413"/>
      <c r="AG172" s="89"/>
    </row>
    <row r="173" spans="1:33" ht="12.9" thickBot="1">
      <c r="B173" s="727"/>
      <c r="C173" s="50" t="s">
        <v>136</v>
      </c>
      <c r="D173" s="50"/>
      <c r="E173" s="124"/>
      <c r="F173" s="155">
        <f>B187</f>
        <v>9.7212086484764447E-3</v>
      </c>
      <c r="G173" s="155">
        <f>'[4]2.4_Totex'!$M$39/1000</f>
        <v>9.7212086484764464E-3</v>
      </c>
      <c r="H173" s="761"/>
      <c r="J173" s="189"/>
      <c r="K173" s="600"/>
      <c r="L173" s="157"/>
      <c r="M173" s="622"/>
      <c r="N173" s="612"/>
      <c r="O173" s="612"/>
      <c r="Q173" s="89"/>
      <c r="R173" s="157"/>
      <c r="S173" s="727"/>
      <c r="T173" s="50" t="s">
        <v>136</v>
      </c>
      <c r="U173" s="124"/>
      <c r="V173" s="155">
        <f>F173</f>
        <v>9.7212086484764447E-3</v>
      </c>
      <c r="W173" s="155">
        <v>9.7212086484764447E-3</v>
      </c>
      <c r="X173" s="761"/>
      <c r="Z173" s="630"/>
      <c r="AA173" s="599"/>
      <c r="AB173" s="588"/>
      <c r="AC173" s="89"/>
      <c r="AD173" s="89"/>
      <c r="AE173" s="89"/>
      <c r="AF173" s="413"/>
      <c r="AG173" s="89"/>
    </row>
    <row r="174" spans="1:33" ht="12.9" thickBot="1">
      <c r="B174" s="727"/>
      <c r="C174" s="50" t="s">
        <v>223</v>
      </c>
      <c r="D174" s="50"/>
      <c r="E174" s="124"/>
      <c r="F174" s="158">
        <f>F172-F173</f>
        <v>1.9562957052934642E-2</v>
      </c>
      <c r="G174" s="158">
        <f>G172-G173</f>
        <v>1.4692991351523554E-2</v>
      </c>
      <c r="H174" s="158">
        <f>G174-F174</f>
        <v>-4.8699657014110876E-3</v>
      </c>
      <c r="J174" s="189"/>
      <c r="K174" s="600"/>
      <c r="L174" s="157"/>
      <c r="M174" s="612"/>
      <c r="N174" s="612"/>
      <c r="O174" s="612"/>
      <c r="Q174" s="89"/>
      <c r="R174" s="157"/>
      <c r="S174" s="727"/>
      <c r="T174" s="50" t="s">
        <v>223</v>
      </c>
      <c r="U174" s="124"/>
      <c r="V174" s="158">
        <f>V172-V173</f>
        <v>1.9562957052934642E-2</v>
      </c>
      <c r="W174" s="158">
        <f>W172-W173</f>
        <v>1.4692991351523552E-2</v>
      </c>
      <c r="X174" s="158">
        <f>W174-V174</f>
        <v>-4.8699657014110893E-3</v>
      </c>
      <c r="Z174" s="630"/>
      <c r="AA174" s="599"/>
      <c r="AB174" s="588"/>
      <c r="AC174" s="89"/>
      <c r="AD174" s="89"/>
      <c r="AE174" s="89"/>
      <c r="AF174" s="413"/>
    </row>
    <row r="175" spans="1:33" ht="12.9" thickBot="1">
      <c r="B175" s="124"/>
      <c r="C175" s="124"/>
      <c r="D175" s="124"/>
      <c r="E175" s="237" t="s">
        <v>224</v>
      </c>
      <c r="F175" s="236">
        <f>F174/F173</f>
        <v>2.0123996676072418</v>
      </c>
      <c r="G175" s="236">
        <f>G174/G173</f>
        <v>1.5114366827036789</v>
      </c>
      <c r="H175" s="51"/>
      <c r="J175" s="189"/>
      <c r="K175" s="600"/>
      <c r="L175" s="157"/>
      <c r="M175" s="612"/>
      <c r="N175" s="612"/>
      <c r="O175" s="612"/>
      <c r="R175" s="157"/>
      <c r="S175" s="124"/>
      <c r="T175" s="124"/>
      <c r="U175" s="237" t="s">
        <v>224</v>
      </c>
      <c r="V175" s="236">
        <f>V174/V173</f>
        <v>2.0123996676072418</v>
      </c>
      <c r="W175" s="236">
        <f>W174/W173</f>
        <v>1.5114366827036789</v>
      </c>
      <c r="X175" s="51"/>
      <c r="Z175" s="630"/>
      <c r="AA175" s="599"/>
      <c r="AB175" s="588"/>
      <c r="AC175" s="89"/>
      <c r="AD175" s="89"/>
      <c r="AE175" s="89"/>
      <c r="AF175" s="413"/>
    </row>
    <row r="176" spans="1:33" s="124" customFormat="1">
      <c r="F176" s="161"/>
      <c r="G176" s="161"/>
      <c r="H176" s="51"/>
      <c r="J176" s="189"/>
      <c r="K176" s="600"/>
      <c r="L176" s="157"/>
      <c r="M176" s="612"/>
      <c r="N176" s="612"/>
      <c r="O176" s="612"/>
      <c r="R176" s="157"/>
      <c r="V176" s="161"/>
      <c r="W176" s="161"/>
      <c r="X176" s="51"/>
      <c r="Z176" s="630"/>
      <c r="AA176" s="599"/>
      <c r="AB176" s="588"/>
      <c r="AC176" s="89"/>
      <c r="AD176" s="89"/>
      <c r="AE176" s="89"/>
      <c r="AF176" s="413"/>
    </row>
    <row r="177" spans="1:32" ht="12.9" thickBot="1">
      <c r="B177" s="106"/>
      <c r="C177" s="50" t="str">
        <f>C159</f>
        <v>£ billion, 2018-19 Prices</v>
      </c>
      <c r="D177" s="50"/>
      <c r="E177" s="124"/>
      <c r="F177" s="160" t="s">
        <v>133</v>
      </c>
      <c r="G177" s="160" t="s">
        <v>176</v>
      </c>
      <c r="H177" s="167" t="s">
        <v>134</v>
      </c>
      <c r="J177" s="189"/>
      <c r="K177" s="600"/>
      <c r="L177" s="157"/>
      <c r="M177" s="612"/>
      <c r="N177" s="612"/>
      <c r="O177" s="612"/>
      <c r="R177" s="157"/>
      <c r="S177" s="106"/>
      <c r="T177" s="50" t="str">
        <f>T159</f>
        <v>£ billion, 2018-19 Prices</v>
      </c>
      <c r="U177" s="124"/>
      <c r="V177" s="160" t="s">
        <v>133</v>
      </c>
      <c r="W177" s="160" t="s">
        <v>176</v>
      </c>
      <c r="X177" s="167" t="s">
        <v>134</v>
      </c>
      <c r="Z177" s="630"/>
      <c r="AA177" s="599"/>
      <c r="AB177" s="588"/>
      <c r="AC177" s="89"/>
      <c r="AD177" s="89"/>
      <c r="AE177" s="89"/>
      <c r="AF177" s="413"/>
    </row>
    <row r="178" spans="1:32" ht="12.9" thickBot="1">
      <c r="B178" s="726" t="s">
        <v>178</v>
      </c>
      <c r="C178" s="50" t="s">
        <v>135</v>
      </c>
      <c r="D178" s="50"/>
      <c r="E178" s="124"/>
      <c r="F178" s="159">
        <f>A188</f>
        <v>0.25324125837847378</v>
      </c>
      <c r="G178" s="159">
        <f>'[4]2.4_Totex'!$M$22/1000</f>
        <v>0.25702112263732235</v>
      </c>
      <c r="H178" s="760"/>
      <c r="J178" s="189"/>
      <c r="K178" s="600"/>
      <c r="L178" s="157"/>
      <c r="M178" s="612"/>
      <c r="N178" s="612"/>
      <c r="O178" s="612"/>
      <c r="R178" s="157"/>
      <c r="S178" s="726" t="s">
        <v>178</v>
      </c>
      <c r="T178" s="50" t="s">
        <v>135</v>
      </c>
      <c r="U178" s="124"/>
      <c r="V178" s="159">
        <f>F178</f>
        <v>0.25324125837847378</v>
      </c>
      <c r="W178" s="159">
        <v>0.25702112263732224</v>
      </c>
      <c r="X178" s="760"/>
      <c r="Z178" s="630"/>
      <c r="AA178" s="599"/>
      <c r="AB178" s="588"/>
      <c r="AC178" s="89"/>
      <c r="AD178" s="89"/>
      <c r="AE178" s="89"/>
      <c r="AF178" s="413"/>
    </row>
    <row r="179" spans="1:32" ht="13.5" customHeight="1" thickBot="1">
      <c r="B179" s="727"/>
      <c r="C179" s="50" t="s">
        <v>136</v>
      </c>
      <c r="D179" s="50"/>
      <c r="E179" s="124"/>
      <c r="F179" s="159">
        <f>B188</f>
        <v>0.25448982091592942</v>
      </c>
      <c r="G179" s="159">
        <f>'[4]2.4_Totex'!$M$48/1000</f>
        <v>0.25435112077614691</v>
      </c>
      <c r="H179" s="761"/>
      <c r="J179" s="189"/>
      <c r="K179" s="600"/>
      <c r="L179" s="157"/>
      <c r="M179" s="612"/>
      <c r="N179" s="612"/>
      <c r="O179" s="612"/>
      <c r="R179" s="157"/>
      <c r="S179" s="727"/>
      <c r="T179" s="50" t="s">
        <v>136</v>
      </c>
      <c r="U179" s="124"/>
      <c r="V179" s="159">
        <f>F179</f>
        <v>0.25448982091592942</v>
      </c>
      <c r="W179" s="159">
        <v>0.25435112077614691</v>
      </c>
      <c r="X179" s="761"/>
      <c r="Z179" s="630"/>
      <c r="AA179" s="599"/>
      <c r="AB179" s="588"/>
      <c r="AC179" s="89"/>
      <c r="AD179" s="89"/>
      <c r="AE179" s="89"/>
      <c r="AF179" s="413"/>
    </row>
    <row r="180" spans="1:32" ht="13.5" customHeight="1" thickBot="1">
      <c r="B180" s="727"/>
      <c r="C180" s="50" t="s">
        <v>223</v>
      </c>
      <c r="D180" s="50"/>
      <c r="E180" s="124"/>
      <c r="F180" s="532">
        <f>F178-F179</f>
        <v>-1.2485625374556442E-3</v>
      </c>
      <c r="G180" s="160">
        <f>G178-G179</f>
        <v>2.6700018611754417E-3</v>
      </c>
      <c r="H180" s="158">
        <f>G180-F180</f>
        <v>3.9185643986310859E-3</v>
      </c>
      <c r="J180" s="740"/>
      <c r="K180" s="740"/>
      <c r="L180" s="157"/>
      <c r="M180" s="588"/>
      <c r="N180" s="738"/>
      <c r="O180" s="738"/>
      <c r="R180" s="157"/>
      <c r="S180" s="727"/>
      <c r="T180" s="50" t="s">
        <v>223</v>
      </c>
      <c r="U180" s="124"/>
      <c r="V180" s="532">
        <f>V178-V179</f>
        <v>-1.2485625374556442E-3</v>
      </c>
      <c r="W180" s="160">
        <f>W178-W179</f>
        <v>2.6700018611753307E-3</v>
      </c>
      <c r="X180" s="158">
        <f>W180-V180</f>
        <v>3.9185643986309748E-3</v>
      </c>
      <c r="Z180" s="738"/>
      <c r="AA180" s="738"/>
      <c r="AB180" s="588"/>
      <c r="AC180" s="738"/>
      <c r="AD180" s="738"/>
      <c r="AE180" s="89"/>
      <c r="AF180" s="413"/>
    </row>
    <row r="181" spans="1:32" ht="12.9" thickBot="1">
      <c r="C181" s="124"/>
      <c r="D181" s="124"/>
      <c r="E181" s="237" t="s">
        <v>224</v>
      </c>
      <c r="F181" s="533">
        <f>F180/F179</f>
        <v>-4.9061394006328692E-3</v>
      </c>
      <c r="G181" s="236">
        <f>G180/G179</f>
        <v>1.0497307238230322E-2</v>
      </c>
      <c r="J181" s="741"/>
      <c r="K181" s="741"/>
      <c r="M181" s="89"/>
      <c r="N181" s="739"/>
      <c r="O181" s="739"/>
      <c r="T181" s="124"/>
      <c r="U181" s="237" t="s">
        <v>224</v>
      </c>
      <c r="V181" s="236">
        <f>V180/V179</f>
        <v>-4.9061394006328692E-3</v>
      </c>
      <c r="W181" s="236">
        <f>W180/W179</f>
        <v>1.0497307238229885E-2</v>
      </c>
      <c r="Z181" s="739"/>
      <c r="AA181" s="739"/>
      <c r="AB181" s="89"/>
      <c r="AC181" s="739"/>
      <c r="AD181" s="739"/>
      <c r="AE181" s="89"/>
      <c r="AF181" s="413"/>
    </row>
    <row r="182" spans="1:32" ht="18" customHeight="1">
      <c r="E182" s="108"/>
      <c r="F182" s="168"/>
      <c r="G182" s="168"/>
      <c r="J182" s="741"/>
      <c r="K182" s="741"/>
      <c r="M182" s="89"/>
      <c r="N182" s="739"/>
      <c r="O182" s="739"/>
      <c r="Z182" s="739"/>
      <c r="AA182" s="739"/>
      <c r="AB182" s="89"/>
      <c r="AC182" s="739"/>
      <c r="AD182" s="739"/>
      <c r="AE182" s="89"/>
      <c r="AF182" s="413"/>
    </row>
    <row r="183" spans="1:32">
      <c r="A183" s="594" t="s">
        <v>444</v>
      </c>
      <c r="B183" s="594"/>
      <c r="E183" s="239" t="s">
        <v>225</v>
      </c>
      <c r="F183" s="243">
        <f t="shared" ref="F183:G185" si="30">F160+F166+F172+F178</f>
        <v>3.4988944967325022</v>
      </c>
      <c r="G183" s="243">
        <f t="shared" si="30"/>
        <v>3.746328714801932</v>
      </c>
      <c r="H183" s="243">
        <f>SUM(AU6:BB7)/1000</f>
        <v>3.7929287148019313</v>
      </c>
      <c r="I183" s="243"/>
      <c r="J183" s="306"/>
      <c r="K183" s="306"/>
      <c r="M183" s="89"/>
      <c r="N183" s="588"/>
      <c r="O183" s="588"/>
      <c r="U183" s="239" t="s">
        <v>225</v>
      </c>
      <c r="V183" s="243">
        <f t="shared" ref="V183:W185" si="31">V160+V166+V172+V178</f>
        <v>3.4988944967325022</v>
      </c>
      <c r="W183" s="243">
        <f>W160+W166+W172+W178</f>
        <v>3.7463287148019315</v>
      </c>
      <c r="X183" s="243">
        <f>SUM(AU32:BB33)/1000</f>
        <v>3.7929287148019313</v>
      </c>
      <c r="Y183" s="243"/>
      <c r="Z183" s="588"/>
      <c r="AA183" s="588"/>
      <c r="AB183" s="89"/>
      <c r="AC183" s="588"/>
      <c r="AD183" s="588"/>
      <c r="AE183" s="89"/>
      <c r="AF183" s="413"/>
    </row>
    <row r="184" spans="1:32">
      <c r="A184" s="636" t="s">
        <v>442</v>
      </c>
      <c r="B184" s="636" t="s">
        <v>443</v>
      </c>
      <c r="E184" s="239" t="s">
        <v>225</v>
      </c>
      <c r="F184" s="243">
        <f t="shared" si="30"/>
        <v>3.8512188662561244</v>
      </c>
      <c r="G184" s="243">
        <f t="shared" si="30"/>
        <v>4.1098492145969194</v>
      </c>
      <c r="H184" s="243">
        <f>SUM(AU8:BB8)/1000</f>
        <v>4.1098492145969185</v>
      </c>
      <c r="I184" s="243"/>
      <c r="J184" s="306"/>
      <c r="K184" s="306"/>
      <c r="M184" s="89"/>
      <c r="N184" s="588"/>
      <c r="O184" s="588"/>
      <c r="U184" s="239" t="s">
        <v>225</v>
      </c>
      <c r="V184" s="243">
        <f t="shared" si="31"/>
        <v>3.7888762348862235</v>
      </c>
      <c r="W184" s="243">
        <f>W161+W167+W173+W179</f>
        <v>4.0475065832270181</v>
      </c>
      <c r="X184" s="243">
        <f>SUM(AU34:BB34)/1000</f>
        <v>4.0475065832270181</v>
      </c>
      <c r="Y184" s="243"/>
      <c r="Z184" s="588"/>
      <c r="AA184" s="588"/>
      <c r="AB184" s="89"/>
      <c r="AC184" s="588"/>
      <c r="AD184" s="588"/>
      <c r="AE184" s="89"/>
      <c r="AF184" s="413"/>
    </row>
    <row r="185" spans="1:32">
      <c r="A185" s="637">
        <v>2.7777890797817903</v>
      </c>
      <c r="B185" s="637">
        <v>3.2507814597696743</v>
      </c>
      <c r="C185" s="124"/>
      <c r="D185" s="530"/>
      <c r="E185" s="239" t="s">
        <v>225</v>
      </c>
      <c r="F185" s="243">
        <f t="shared" si="30"/>
        <v>-0.35232436952362189</v>
      </c>
      <c r="G185" s="243">
        <f t="shared" si="30"/>
        <v>-0.36352049979498718</v>
      </c>
      <c r="H185" s="243">
        <f>H183-H184</f>
        <v>-0.31692049979498726</v>
      </c>
      <c r="I185" s="243"/>
      <c r="J185" s="602"/>
      <c r="K185" s="602"/>
      <c r="M185" s="89"/>
      <c r="N185" s="623"/>
      <c r="O185" s="623"/>
      <c r="U185" s="239" t="s">
        <v>225</v>
      </c>
      <c r="V185" s="243">
        <f t="shared" si="31"/>
        <v>-0.28998173815372097</v>
      </c>
      <c r="W185" s="243">
        <f t="shared" si="31"/>
        <v>-0.30117786842508637</v>
      </c>
      <c r="X185" s="243">
        <f>X183-X184</f>
        <v>-0.25457786842508678</v>
      </c>
      <c r="Y185" s="243"/>
      <c r="Z185" s="631"/>
      <c r="AA185" s="631"/>
      <c r="AB185" s="631"/>
      <c r="AC185" s="623"/>
      <c r="AD185" s="623"/>
      <c r="AE185" s="89"/>
      <c r="AF185" s="413"/>
    </row>
    <row r="186" spans="1:32">
      <c r="A186" s="637">
        <v>0.43857999287082722</v>
      </c>
      <c r="B186" s="637">
        <v>0.33622637692204421</v>
      </c>
      <c r="C186" s="124"/>
      <c r="D186" s="51"/>
      <c r="F186" s="371">
        <f>F185/F184</f>
        <v>-9.1483860502097641E-2</v>
      </c>
      <c r="G186" s="371">
        <f>G185/G184</f>
        <v>-8.8451055212408827E-2</v>
      </c>
      <c r="J186" s="620"/>
      <c r="K186" s="620"/>
      <c r="M186" s="89"/>
      <c r="N186" s="492"/>
      <c r="O186" s="492"/>
      <c r="V186" s="447">
        <f>V185/V184</f>
        <v>-7.6535025209771429E-2</v>
      </c>
      <c r="W186" s="447">
        <f>W185/W184</f>
        <v>-7.4410717371819965E-2</v>
      </c>
      <c r="X186" s="447">
        <f>X185/X184</f>
        <v>-6.2897456295701828E-2</v>
      </c>
      <c r="Z186" s="492"/>
      <c r="AA186" s="492"/>
      <c r="AB186" s="89"/>
      <c r="AC186" s="492"/>
      <c r="AD186" s="492"/>
      <c r="AE186" s="89"/>
      <c r="AF186" s="413"/>
    </row>
    <row r="187" spans="1:32">
      <c r="A187" s="637">
        <v>2.9284165701411086E-2</v>
      </c>
      <c r="B187" s="637">
        <v>9.7212086484764447E-3</v>
      </c>
      <c r="C187" s="124"/>
      <c r="D187" s="51"/>
      <c r="J187" s="189"/>
      <c r="K187" s="189"/>
      <c r="M187" s="89"/>
      <c r="N187" s="89"/>
      <c r="O187" s="89"/>
      <c r="U187" s="596"/>
      <c r="V187" s="596"/>
      <c r="W187" s="596"/>
      <c r="X187" s="596"/>
      <c r="Y187" s="596"/>
      <c r="Z187" s="89"/>
      <c r="AA187" s="89"/>
      <c r="AB187" s="89"/>
      <c r="AC187" s="89"/>
      <c r="AD187" s="89"/>
      <c r="AE187" s="89"/>
      <c r="AF187" s="413"/>
    </row>
    <row r="188" spans="1:32">
      <c r="A188" s="637">
        <v>0.25324125837847378</v>
      </c>
      <c r="B188" s="637">
        <v>0.25448982091592942</v>
      </c>
      <c r="C188" s="124"/>
      <c r="D188" s="51"/>
      <c r="J188" s="189"/>
      <c r="K188" s="189"/>
      <c r="M188" s="502"/>
      <c r="N188" s="624"/>
      <c r="O188" s="564"/>
      <c r="U188" s="596"/>
      <c r="V188" s="596"/>
      <c r="W188" s="596"/>
      <c r="X188" s="596"/>
      <c r="Y188" s="596"/>
      <c r="Z188" s="89"/>
      <c r="AA188" s="89"/>
      <c r="AB188" s="89"/>
      <c r="AC188" s="89"/>
      <c r="AD188" s="89"/>
      <c r="AE188" s="89"/>
      <c r="AF188" s="413"/>
    </row>
    <row r="189" spans="1:32">
      <c r="A189" s="531"/>
      <c r="B189" s="531"/>
      <c r="C189" s="168"/>
      <c r="D189" s="529"/>
      <c r="F189" s="51"/>
      <c r="G189" s="51"/>
      <c r="I189" s="51"/>
      <c r="M189" s="502"/>
      <c r="N189" s="502"/>
      <c r="O189" s="625"/>
      <c r="U189" s="596"/>
      <c r="V189" s="596"/>
      <c r="W189" s="596"/>
      <c r="X189" s="596"/>
      <c r="Y189" s="596"/>
      <c r="Z189" s="89"/>
      <c r="AA189" s="89"/>
      <c r="AF189" s="413"/>
    </row>
    <row r="190" spans="1:32" s="124" customFormat="1">
      <c r="A190" s="531"/>
      <c r="B190" s="531"/>
      <c r="C190" s="168"/>
      <c r="D190" s="529"/>
      <c r="F190" s="51"/>
      <c r="G190" s="51"/>
      <c r="I190" s="51"/>
      <c r="M190" s="466"/>
      <c r="N190" s="466"/>
      <c r="O190" s="538"/>
      <c r="U190" s="596"/>
      <c r="V190" s="596"/>
      <c r="W190" s="596"/>
      <c r="X190" s="596"/>
      <c r="Y190" s="596"/>
      <c r="Z190" s="89"/>
      <c r="AA190" s="89"/>
      <c r="AF190" s="413"/>
    </row>
    <row r="191" spans="1:32" s="124" customFormat="1">
      <c r="A191" s="531"/>
      <c r="B191" s="531"/>
      <c r="C191" s="168"/>
      <c r="D191" s="529"/>
      <c r="F191" s="51"/>
      <c r="G191" s="51"/>
      <c r="I191" s="51"/>
      <c r="M191" s="466"/>
      <c r="N191" s="466"/>
      <c r="O191" s="538"/>
      <c r="U191" s="596"/>
      <c r="V191" s="596"/>
      <c r="W191" s="596"/>
      <c r="X191" s="596"/>
      <c r="Y191" s="596"/>
      <c r="Z191" s="596"/>
      <c r="AF191" s="413"/>
    </row>
    <row r="192" spans="1:32" s="124" customFormat="1" ht="12.9" thickBot="1">
      <c r="A192" s="1" t="s">
        <v>474</v>
      </c>
      <c r="B192" s="31" t="s">
        <v>473</v>
      </c>
      <c r="G192" s="51"/>
      <c r="I192" s="51"/>
      <c r="M192" s="466"/>
      <c r="N192" s="466"/>
      <c r="O192" s="538"/>
      <c r="U192" s="596"/>
      <c r="V192" s="596"/>
      <c r="W192" s="596"/>
      <c r="X192" s="596"/>
      <c r="Y192" s="596"/>
      <c r="Z192" s="596"/>
      <c r="AF192" s="413"/>
    </row>
    <row r="193" spans="1:32" s="124" customFormat="1" ht="28.5" customHeight="1" thickTop="1" thickBot="1">
      <c r="A193" s="531"/>
      <c r="B193" s="45" t="s">
        <v>167</v>
      </c>
      <c r="C193" s="728" t="s">
        <v>243</v>
      </c>
      <c r="D193" s="729"/>
      <c r="E193" s="729"/>
      <c r="F193" s="729"/>
      <c r="G193" s="51"/>
      <c r="I193" s="51"/>
      <c r="M193" s="466"/>
      <c r="N193" s="466"/>
      <c r="O193" s="538"/>
      <c r="U193" s="596"/>
      <c r="V193" s="596"/>
      <c r="W193" s="596"/>
      <c r="X193" s="596"/>
      <c r="Y193" s="596"/>
      <c r="Z193" s="596"/>
      <c r="AF193" s="413"/>
    </row>
    <row r="194" spans="1:32" s="124" customFormat="1">
      <c r="A194" s="531"/>
      <c r="B194" s="129"/>
      <c r="C194" s="131" t="s">
        <v>2</v>
      </c>
      <c r="D194" s="535" t="s">
        <v>4</v>
      </c>
      <c r="E194" s="730" t="s">
        <v>47</v>
      </c>
      <c r="F194" s="731"/>
      <c r="G194" s="51"/>
      <c r="H194" s="466"/>
      <c r="I194" s="549"/>
      <c r="M194" s="466"/>
      <c r="N194" s="466"/>
      <c r="O194" s="538"/>
      <c r="U194" s="245"/>
      <c r="AF194" s="413"/>
    </row>
    <row r="195" spans="1:32" s="124" customFormat="1" ht="12.9">
      <c r="A195" s="531"/>
      <c r="B195" s="129"/>
      <c r="C195" s="133"/>
      <c r="D195" s="134"/>
      <c r="E195" s="135" t="s">
        <v>48</v>
      </c>
      <c r="F195" s="136" t="s">
        <v>49</v>
      </c>
      <c r="G195" s="51"/>
      <c r="H195" s="466"/>
      <c r="I195" s="549"/>
      <c r="M195" s="466"/>
      <c r="N195" s="466"/>
      <c r="O195" s="538"/>
      <c r="U195" s="245"/>
      <c r="AF195" s="413"/>
    </row>
    <row r="196" spans="1:32" s="124" customFormat="1">
      <c r="A196" s="531"/>
      <c r="B196" s="638" t="s">
        <v>546</v>
      </c>
      <c r="C196" s="138">
        <v>12586.176480859051</v>
      </c>
      <c r="D196" s="29">
        <v>10681.70959011742</v>
      </c>
      <c r="E196" s="138">
        <f>D196-C196</f>
        <v>-1904.4668907416308</v>
      </c>
      <c r="F196" s="139">
        <f>E196/C196</f>
        <v>-0.15131417342176376</v>
      </c>
      <c r="G196" s="51"/>
      <c r="H196" s="550"/>
      <c r="I196" s="550"/>
      <c r="J196" s="552"/>
      <c r="M196" s="466"/>
      <c r="N196" s="466"/>
      <c r="O196" s="538"/>
      <c r="U196" s="245"/>
      <c r="AF196" s="413"/>
    </row>
    <row r="197" spans="1:32" s="124" customFormat="1">
      <c r="A197" s="531"/>
      <c r="B197" s="638" t="s">
        <v>547</v>
      </c>
      <c r="C197" s="138">
        <v>2326.9947182330088</v>
      </c>
      <c r="D197" s="29">
        <v>2260.0085992404729</v>
      </c>
      <c r="E197" s="138">
        <f>D197-C197</f>
        <v>-66.986118992535921</v>
      </c>
      <c r="F197" s="139">
        <f>E197/C197</f>
        <v>-2.8786536758193194E-2</v>
      </c>
      <c r="G197" s="51"/>
      <c r="H197" s="550"/>
      <c r="I197" s="550"/>
      <c r="J197" s="553"/>
      <c r="M197" s="466"/>
      <c r="N197" s="466"/>
      <c r="O197" s="538"/>
      <c r="U197" s="245"/>
      <c r="AF197" s="413"/>
    </row>
    <row r="198" spans="1:32" s="124" customFormat="1" ht="22.75">
      <c r="A198" s="531"/>
      <c r="B198" s="638" t="s">
        <v>548</v>
      </c>
      <c r="C198" s="138">
        <v>3851.1865642323974</v>
      </c>
      <c r="D198" s="29">
        <v>3498.7365227639789</v>
      </c>
      <c r="E198" s="138">
        <f>D198-C198</f>
        <v>-352.45004146841848</v>
      </c>
      <c r="F198" s="139">
        <f>E198/C198</f>
        <v>-9.1517259834091508E-2</v>
      </c>
      <c r="G198" s="51"/>
      <c r="H198" s="550"/>
      <c r="I198" s="550"/>
      <c r="J198" s="553"/>
      <c r="M198" s="466"/>
      <c r="N198" s="466"/>
      <c r="O198" s="538"/>
      <c r="U198" s="245"/>
      <c r="AF198" s="413"/>
    </row>
    <row r="199" spans="1:32" s="124" customFormat="1" ht="12.9" thickBot="1">
      <c r="A199" s="531"/>
      <c r="B199" s="130" t="s">
        <v>3</v>
      </c>
      <c r="C199" s="140">
        <f>SUM(C196:C198)</f>
        <v>18764.357763324457</v>
      </c>
      <c r="D199" s="140">
        <f>SUM(D196:D198)</f>
        <v>16440.454712121871</v>
      </c>
      <c r="E199" s="141">
        <f>D199-C199</f>
        <v>-2323.9030512025856</v>
      </c>
      <c r="F199" s="540">
        <f>E199/C199</f>
        <v>-0.12384666080843594</v>
      </c>
      <c r="G199" s="51"/>
      <c r="I199" s="51"/>
      <c r="M199" s="466"/>
      <c r="N199" s="466"/>
      <c r="O199" s="538"/>
      <c r="U199" s="245"/>
      <c r="AF199" s="413"/>
    </row>
    <row r="200" spans="1:32" s="124" customFormat="1" ht="12.9" thickTop="1">
      <c r="A200" s="531"/>
      <c r="B200" s="96" t="s">
        <v>130</v>
      </c>
      <c r="G200" s="51"/>
      <c r="I200" s="51"/>
      <c r="M200" s="466"/>
      <c r="N200" s="466"/>
      <c r="O200" s="538"/>
      <c r="U200" s="245"/>
      <c r="AF200" s="413"/>
    </row>
    <row r="201" spans="1:32" s="124" customFormat="1">
      <c r="A201" s="531"/>
      <c r="B201" s="531"/>
      <c r="C201" s="168"/>
      <c r="D201" s="529"/>
      <c r="F201" s="51"/>
      <c r="G201" s="51"/>
      <c r="I201" s="51"/>
      <c r="M201" s="466"/>
      <c r="N201" s="466"/>
      <c r="O201" s="538"/>
      <c r="U201" s="245"/>
      <c r="AF201" s="413"/>
    </row>
    <row r="202" spans="1:32" s="124" customFormat="1">
      <c r="A202" s="531"/>
      <c r="B202" s="541" t="s">
        <v>476</v>
      </c>
      <c r="C202" s="545">
        <f>F120*1000</f>
        <v>12585.941901420432</v>
      </c>
      <c r="D202" s="546">
        <f>F119*1000</f>
        <v>10681.451899380356</v>
      </c>
      <c r="E202" s="547">
        <f>D202-C202</f>
        <v>-1904.4900020400764</v>
      </c>
      <c r="F202" s="548">
        <f>E202/C202</f>
        <v>-0.1513188299260414</v>
      </c>
      <c r="G202" s="51"/>
      <c r="I202" s="51"/>
      <c r="M202" s="466"/>
      <c r="N202" s="466"/>
      <c r="O202" s="538"/>
      <c r="U202" s="245"/>
      <c r="AF202" s="413"/>
    </row>
    <row r="203" spans="1:32" s="124" customFormat="1">
      <c r="A203" s="531"/>
      <c r="B203" s="541" t="s">
        <v>477</v>
      </c>
      <c r="C203" s="545">
        <f>F152*1000</f>
        <v>2327.3278686557801</v>
      </c>
      <c r="D203" s="545">
        <f>F151*1000</f>
        <v>2259.3126738606657</v>
      </c>
      <c r="E203" s="547">
        <f>D203-C203</f>
        <v>-68.015194795114439</v>
      </c>
      <c r="F203" s="548">
        <f>E203/C203</f>
        <v>-2.9224586578941586E-2</v>
      </c>
      <c r="G203" s="51"/>
      <c r="I203" s="51"/>
      <c r="M203" s="466"/>
      <c r="N203" s="466"/>
      <c r="O203" s="538"/>
      <c r="U203" s="245"/>
      <c r="AF203" s="413"/>
    </row>
    <row r="204" spans="1:32" s="124" customFormat="1">
      <c r="A204" s="531"/>
      <c r="B204" s="541" t="s">
        <v>478</v>
      </c>
      <c r="C204" s="545">
        <f>F184*1000</f>
        <v>3851.2188662561243</v>
      </c>
      <c r="D204" s="545">
        <f>F183*1000</f>
        <v>3498.8944967325024</v>
      </c>
      <c r="E204" s="547">
        <f>D204-C204</f>
        <v>-352.32436952362195</v>
      </c>
      <c r="F204" s="548">
        <f>E204/C204</f>
        <v>-9.1483860502097655E-2</v>
      </c>
      <c r="G204" s="51"/>
      <c r="I204" s="51"/>
      <c r="M204" s="466"/>
      <c r="N204" s="466"/>
      <c r="O204" s="538"/>
      <c r="U204" s="245"/>
      <c r="AF204" s="413"/>
    </row>
    <row r="205" spans="1:32" s="124" customFormat="1">
      <c r="A205" s="531"/>
      <c r="B205" s="541"/>
      <c r="C205" s="168"/>
      <c r="D205" s="529"/>
      <c r="F205" s="51"/>
      <c r="G205" s="51"/>
      <c r="I205" s="51"/>
      <c r="M205" s="466"/>
      <c r="N205" s="466"/>
      <c r="O205" s="538"/>
      <c r="U205" s="245"/>
      <c r="AF205" s="413"/>
    </row>
    <row r="206" spans="1:32" s="124" customFormat="1">
      <c r="A206" s="531"/>
      <c r="B206" s="541"/>
      <c r="C206" s="168"/>
      <c r="D206" s="529"/>
      <c r="F206" s="51"/>
      <c r="G206" s="51"/>
      <c r="I206" s="51"/>
      <c r="M206" s="466"/>
      <c r="N206" s="466"/>
      <c r="O206" s="538"/>
      <c r="U206" s="245"/>
      <c r="AF206" s="413"/>
    </row>
    <row r="207" spans="1:32" s="124" customFormat="1" ht="12.9" thickBot="1">
      <c r="A207" s="544" t="s">
        <v>475</v>
      </c>
      <c r="B207" s="31" t="s">
        <v>473</v>
      </c>
      <c r="G207" s="51"/>
      <c r="I207" s="51"/>
      <c r="M207" s="466"/>
      <c r="N207" s="466"/>
      <c r="O207" s="538"/>
      <c r="U207" s="245"/>
      <c r="AF207" s="413"/>
    </row>
    <row r="208" spans="1:32" s="124" customFormat="1" ht="30" customHeight="1" thickTop="1" thickBot="1">
      <c r="A208" s="531"/>
      <c r="B208" s="45" t="s">
        <v>167</v>
      </c>
      <c r="C208" s="728" t="s">
        <v>243</v>
      </c>
      <c r="D208" s="729"/>
      <c r="E208" s="729"/>
      <c r="F208" s="729"/>
      <c r="G208" s="51"/>
      <c r="I208" s="51"/>
      <c r="M208" s="466"/>
      <c r="N208" s="466"/>
      <c r="O208" s="538"/>
      <c r="U208" s="245"/>
      <c r="AF208" s="413"/>
    </row>
    <row r="209" spans="1:32" s="124" customFormat="1">
      <c r="A209" s="531"/>
      <c r="B209" s="129"/>
      <c r="C209" s="131" t="s">
        <v>2</v>
      </c>
      <c r="D209" s="535" t="s">
        <v>4</v>
      </c>
      <c r="E209" s="730" t="s">
        <v>47</v>
      </c>
      <c r="F209" s="731"/>
      <c r="G209" s="51"/>
      <c r="H209" s="466"/>
      <c r="I209" s="549"/>
      <c r="M209" s="466"/>
      <c r="N209" s="466"/>
      <c r="O209" s="538"/>
      <c r="U209" s="245"/>
      <c r="AF209" s="413"/>
    </row>
    <row r="210" spans="1:32" s="124" customFormat="1" ht="12.9">
      <c r="A210" s="531"/>
      <c r="B210" s="129"/>
      <c r="C210" s="133"/>
      <c r="D210" s="134"/>
      <c r="E210" s="135" t="s">
        <v>48</v>
      </c>
      <c r="F210" s="136" t="s">
        <v>49</v>
      </c>
      <c r="G210" s="51"/>
      <c r="H210" s="466"/>
      <c r="I210" s="549"/>
      <c r="M210" s="466"/>
      <c r="N210" s="466"/>
      <c r="O210" s="538"/>
      <c r="U210" s="245"/>
      <c r="AF210" s="413"/>
    </row>
    <row r="211" spans="1:32" s="124" customFormat="1">
      <c r="A211" s="531"/>
      <c r="B211" s="543" t="s">
        <v>471</v>
      </c>
      <c r="C211" s="551">
        <f>V120*1000</f>
        <v>13216.195967501992</v>
      </c>
      <c r="D211" s="551">
        <f>V119*1000</f>
        <v>10681.451899380356</v>
      </c>
      <c r="E211" s="138">
        <f>D211-C211</f>
        <v>-2534.7440681216358</v>
      </c>
      <c r="F211" s="139">
        <f>E211/C211</f>
        <v>-0.19179074480693636</v>
      </c>
      <c r="G211" s="51"/>
      <c r="H211" s="550"/>
      <c r="I211" s="550"/>
      <c r="M211" s="466"/>
      <c r="N211" s="466"/>
      <c r="O211" s="538"/>
      <c r="U211" s="245"/>
      <c r="AF211" s="413"/>
    </row>
    <row r="212" spans="1:32" s="124" customFormat="1">
      <c r="A212" s="531"/>
      <c r="B212" s="542" t="s">
        <v>472</v>
      </c>
      <c r="C212" s="551">
        <f>F152*1000</f>
        <v>2327.3278686557801</v>
      </c>
      <c r="D212" s="551">
        <f>F151*1000</f>
        <v>2259.3126738606657</v>
      </c>
      <c r="E212" s="138">
        <f>D212-C212</f>
        <v>-68.015194795114439</v>
      </c>
      <c r="F212" s="139">
        <f>E212/C212</f>
        <v>-2.9224586578941586E-2</v>
      </c>
      <c r="G212" s="51"/>
      <c r="H212" s="550"/>
      <c r="I212" s="550"/>
      <c r="M212" s="466"/>
      <c r="N212" s="466"/>
      <c r="O212" s="538"/>
      <c r="U212" s="245"/>
      <c r="AF212" s="413"/>
    </row>
    <row r="213" spans="1:32" s="124" customFormat="1" ht="34.5" customHeight="1">
      <c r="A213" s="531"/>
      <c r="B213" s="638" t="s">
        <v>549</v>
      </c>
      <c r="C213" s="551">
        <f>V184*1000</f>
        <v>3788.8762348862233</v>
      </c>
      <c r="D213" s="551">
        <f>V183*1000</f>
        <v>3498.8944967325024</v>
      </c>
      <c r="E213" s="138">
        <f>D213-C213</f>
        <v>-289.98173815372093</v>
      </c>
      <c r="F213" s="139">
        <f>E213/C213</f>
        <v>-7.6535025209771415E-2</v>
      </c>
      <c r="G213" s="51"/>
      <c r="H213" s="550"/>
      <c r="I213" s="550"/>
      <c r="M213" s="466"/>
      <c r="N213" s="466"/>
      <c r="O213" s="538"/>
      <c r="U213" s="245"/>
      <c r="AF213" s="413"/>
    </row>
    <row r="214" spans="1:32" s="124" customFormat="1" ht="12.9" thickBot="1">
      <c r="A214" s="531"/>
      <c r="B214" s="130" t="s">
        <v>3</v>
      </c>
      <c r="C214" s="140">
        <f>SUM(C211:C213)</f>
        <v>19332.400071043994</v>
      </c>
      <c r="D214" s="140">
        <f>SUM(D211:D213)</f>
        <v>16439.659069973524</v>
      </c>
      <c r="E214" s="141">
        <f>D214-C214</f>
        <v>-2892.7410010704698</v>
      </c>
      <c r="F214" s="540">
        <f>E214/C214</f>
        <v>-0.14963175759036809</v>
      </c>
      <c r="G214" s="51"/>
      <c r="I214" s="51"/>
      <c r="M214" s="466"/>
      <c r="N214" s="466"/>
      <c r="O214" s="538"/>
      <c r="U214" s="245"/>
      <c r="AF214" s="413"/>
    </row>
    <row r="215" spans="1:32" s="124" customFormat="1" ht="12.9" thickTop="1">
      <c r="A215" s="531"/>
      <c r="B215" s="96" t="s">
        <v>130</v>
      </c>
      <c r="G215" s="51"/>
      <c r="I215" s="51"/>
      <c r="M215" s="466"/>
      <c r="N215" s="466"/>
      <c r="O215" s="538"/>
      <c r="U215" s="245"/>
      <c r="AF215" s="413"/>
    </row>
    <row r="216" spans="1:32" s="124" customFormat="1">
      <c r="A216" s="531"/>
      <c r="B216" s="531"/>
      <c r="C216" s="168"/>
      <c r="D216" s="529"/>
      <c r="F216" s="51"/>
      <c r="G216" s="51"/>
      <c r="I216" s="51"/>
      <c r="M216" s="466"/>
      <c r="N216" s="466"/>
      <c r="O216" s="538"/>
      <c r="U216" s="245"/>
      <c r="AF216" s="413"/>
    </row>
    <row r="217" spans="1:32" s="124" customFormat="1">
      <c r="A217" s="531"/>
      <c r="B217" s="531"/>
      <c r="C217" s="168"/>
      <c r="D217" s="529"/>
      <c r="F217" s="51"/>
      <c r="G217" s="51"/>
      <c r="I217" s="51"/>
      <c r="M217" s="466"/>
      <c r="N217" s="466"/>
      <c r="O217" s="538"/>
      <c r="U217" s="245"/>
      <c r="AF217" s="413"/>
    </row>
    <row r="218" spans="1:32">
      <c r="A218" s="413"/>
      <c r="B218" s="413"/>
      <c r="C218" s="413"/>
      <c r="D218" s="413"/>
      <c r="E218" s="413"/>
      <c r="F218" s="413"/>
      <c r="G218" s="413"/>
      <c r="H218" s="413"/>
      <c r="I218" s="413"/>
      <c r="J218" s="413"/>
      <c r="K218" s="413"/>
      <c r="L218" s="413"/>
      <c r="M218" s="413"/>
      <c r="N218" s="413"/>
      <c r="O218" s="413"/>
      <c r="P218" s="413"/>
      <c r="Q218" s="413"/>
      <c r="R218" s="413"/>
      <c r="S218" s="413"/>
      <c r="T218" s="413"/>
      <c r="U218" s="413"/>
      <c r="V218" s="413"/>
      <c r="W218" s="413"/>
      <c r="X218" s="413"/>
      <c r="Y218" s="413"/>
      <c r="Z218" s="413"/>
      <c r="AA218" s="413"/>
      <c r="AB218" s="413"/>
      <c r="AC218" s="413"/>
      <c r="AD218" s="413"/>
      <c r="AE218" s="413"/>
      <c r="AF218" s="413"/>
    </row>
    <row r="219" spans="1:32">
      <c r="A219" s="124"/>
      <c r="B219" s="124"/>
      <c r="C219" s="124"/>
      <c r="D219" s="124"/>
      <c r="E219" s="124"/>
      <c r="F219" s="124"/>
      <c r="G219" s="124"/>
      <c r="H219" s="124"/>
      <c r="I219" s="466">
        <v>1.2740983664300378</v>
      </c>
      <c r="J219" s="124"/>
      <c r="K219" s="124"/>
      <c r="N219" s="124"/>
      <c r="Q219" s="124"/>
      <c r="R219" s="124"/>
      <c r="S219" s="124"/>
      <c r="T219" s="124"/>
      <c r="U219" s="124"/>
      <c r="V219" s="124"/>
      <c r="W219" s="124"/>
      <c r="X219" s="124"/>
      <c r="Y219" s="124"/>
      <c r="Z219" s="124"/>
      <c r="AA219" s="124"/>
      <c r="AE219" s="124"/>
      <c r="AF219" s="413"/>
    </row>
    <row r="220" spans="1:32">
      <c r="A220" s="1" t="s">
        <v>452</v>
      </c>
      <c r="B220" s="1" t="s">
        <v>451</v>
      </c>
      <c r="C220" s="124"/>
      <c r="D220" s="124"/>
      <c r="E220" s="124"/>
      <c r="F220" s="124"/>
      <c r="G220" s="124"/>
      <c r="I220" s="466">
        <f>'Universal data'!C51</f>
        <v>1.3130293043365822</v>
      </c>
      <c r="J220" s="124"/>
      <c r="K220" s="124"/>
      <c r="AF220" s="413"/>
    </row>
    <row r="221" spans="1:32" ht="12.9" thickBot="1">
      <c r="A221" s="124"/>
      <c r="B221" s="124"/>
      <c r="C221" s="124"/>
      <c r="D221" s="124"/>
      <c r="E221" s="124"/>
      <c r="F221" s="124"/>
      <c r="G221" s="124"/>
      <c r="I221" s="124"/>
      <c r="J221" s="124"/>
      <c r="K221" s="124"/>
      <c r="AF221" s="413"/>
    </row>
    <row r="222" spans="1:32" ht="29.25" customHeight="1" thickBot="1">
      <c r="A222" s="124"/>
      <c r="B222" s="478" t="s">
        <v>414</v>
      </c>
      <c r="C222" s="496" t="s">
        <v>400</v>
      </c>
      <c r="D222" s="497" t="s">
        <v>401</v>
      </c>
      <c r="E222" s="497" t="s">
        <v>402</v>
      </c>
      <c r="F222" s="499"/>
      <c r="G222" s="500" t="s">
        <v>431</v>
      </c>
      <c r="I222" s="124"/>
      <c r="J222" s="124"/>
      <c r="K222" s="124"/>
      <c r="L222" s="742"/>
      <c r="M222" s="742"/>
      <c r="N222" s="742"/>
      <c r="O222" s="742"/>
      <c r="P222" s="189"/>
      <c r="AF222" s="413"/>
    </row>
    <row r="223" spans="1:32" ht="36" customHeight="1" thickBot="1">
      <c r="A223" s="725" t="s">
        <v>429</v>
      </c>
      <c r="B223" s="479" t="s">
        <v>396</v>
      </c>
      <c r="C223" s="474">
        <v>-203.01946833122349</v>
      </c>
      <c r="D223" s="465">
        <v>66.98611899253568</v>
      </c>
      <c r="E223" s="465">
        <f>C223+D223</f>
        <v>-136.0333493386878</v>
      </c>
      <c r="F223" s="124"/>
      <c r="G223" s="474">
        <v>125.72779257060543</v>
      </c>
      <c r="I223" s="124"/>
      <c r="J223" s="124"/>
      <c r="K223" s="124"/>
      <c r="L223" s="742"/>
      <c r="M223" s="742"/>
      <c r="N223" s="524"/>
      <c r="O223" s="742"/>
      <c r="P223" s="189"/>
      <c r="AF223" s="413"/>
    </row>
    <row r="224" spans="1:32" ht="14.6" thickBot="1">
      <c r="A224" s="725"/>
      <c r="B224" s="479" t="s">
        <v>397</v>
      </c>
      <c r="C224" s="474">
        <v>-23.702780566589549</v>
      </c>
      <c r="D224" s="465">
        <v>-73.169453053385126</v>
      </c>
      <c r="E224" s="465">
        <f>C224+D224</f>
        <v>-96.872233619974679</v>
      </c>
      <c r="F224" s="124"/>
      <c r="G224" s="474">
        <v>56.680562224453269</v>
      </c>
      <c r="I224" s="124"/>
      <c r="J224" s="124"/>
      <c r="K224" s="124"/>
      <c r="L224" s="742"/>
      <c r="M224" s="742"/>
      <c r="N224" s="524"/>
      <c r="O224" s="742"/>
      <c r="P224" s="189"/>
      <c r="AF224" s="413"/>
    </row>
    <row r="225" spans="1:32" ht="14.6" thickBot="1">
      <c r="A225" s="725"/>
      <c r="B225" s="479" t="s">
        <v>398</v>
      </c>
      <c r="C225" s="474">
        <v>-157.67501855166091</v>
      </c>
      <c r="D225" s="465">
        <v>559.59173250687502</v>
      </c>
      <c r="E225" s="465">
        <f>C225+D225</f>
        <v>401.91671395521411</v>
      </c>
      <c r="F225" s="124"/>
      <c r="G225" s="474">
        <v>184.4694661486752</v>
      </c>
      <c r="I225" s="124"/>
      <c r="J225" s="124"/>
      <c r="K225" s="124"/>
      <c r="L225" s="525"/>
      <c r="M225" s="736"/>
      <c r="N225" s="736"/>
      <c r="O225" s="736"/>
      <c r="P225" s="189"/>
      <c r="AF225" s="413"/>
    </row>
    <row r="226" spans="1:32" ht="12.9" thickBot="1">
      <c r="A226" s="124"/>
      <c r="B226" s="316"/>
      <c r="C226" s="471">
        <f>SUM(C223:C225)</f>
        <v>-384.39726744947393</v>
      </c>
      <c r="D226" s="472">
        <f>SUM(D223:D225)</f>
        <v>553.40839844602556</v>
      </c>
      <c r="E226" s="473">
        <f>SUM(E223:E225)</f>
        <v>169.01113099655163</v>
      </c>
      <c r="F226" s="124"/>
      <c r="G226" s="475">
        <f>SUM(G223:G225)</f>
        <v>366.87782094373392</v>
      </c>
      <c r="I226" s="124"/>
      <c r="J226" s="124"/>
      <c r="K226" s="124"/>
      <c r="L226" s="525"/>
      <c r="M226" s="737"/>
      <c r="N226" s="737"/>
      <c r="O226" s="737"/>
      <c r="P226" s="189"/>
      <c r="AF226" s="413"/>
    </row>
    <row r="227" spans="1:32" ht="14.6" thickBot="1">
      <c r="A227" s="725" t="s">
        <v>430</v>
      </c>
      <c r="B227" s="479" t="s">
        <v>396</v>
      </c>
      <c r="C227" s="474">
        <v>-194.34659479285051</v>
      </c>
      <c r="D227" s="465">
        <v>-57.768947202298307</v>
      </c>
      <c r="E227" s="465">
        <f>C227+D227</f>
        <v>-252.11554199514882</v>
      </c>
      <c r="F227" s="124"/>
      <c r="G227" s="474">
        <v>264</v>
      </c>
      <c r="I227" s="124"/>
      <c r="J227" s="124"/>
      <c r="K227" s="124"/>
      <c r="L227" s="525"/>
      <c r="M227" s="736"/>
      <c r="N227" s="736"/>
      <c r="O227" s="736"/>
      <c r="P227" s="189"/>
      <c r="AF227" s="413"/>
    </row>
    <row r="228" spans="1:32" ht="14.6" thickBot="1">
      <c r="A228" s="725"/>
      <c r="B228" s="479" t="s">
        <v>397</v>
      </c>
      <c r="C228" s="474">
        <v>-25.24561475049196</v>
      </c>
      <c r="D228" s="465">
        <v>-71.938159387122482</v>
      </c>
      <c r="E228" s="465">
        <f>C228+D228</f>
        <v>-97.183774137614449</v>
      </c>
      <c r="F228" s="124"/>
      <c r="G228" s="474">
        <v>141</v>
      </c>
      <c r="I228" s="124"/>
      <c r="J228" s="124"/>
      <c r="K228" s="124"/>
      <c r="L228" s="526"/>
      <c r="M228" s="737"/>
      <c r="N228" s="737"/>
      <c r="O228" s="737"/>
      <c r="P228" s="189"/>
      <c r="AF228" s="413"/>
    </row>
    <row r="229" spans="1:32" ht="14.6" thickBot="1">
      <c r="A229" s="725"/>
      <c r="B229" s="479" t="s">
        <v>398</v>
      </c>
      <c r="C229" s="474">
        <v>-147.40799999999999</v>
      </c>
      <c r="D229" s="467">
        <v>1229.162532006148</v>
      </c>
      <c r="E229" s="467">
        <f>C229+D229</f>
        <v>1081.7545320061481</v>
      </c>
      <c r="F229" s="124"/>
      <c r="G229" s="476">
        <v>233</v>
      </c>
      <c r="I229" s="124"/>
      <c r="J229" s="124"/>
      <c r="K229" s="124"/>
      <c r="L229" s="189"/>
      <c r="M229" s="189"/>
      <c r="N229" s="189"/>
      <c r="O229" s="189"/>
      <c r="P229" s="189"/>
      <c r="Q229" s="189"/>
      <c r="R229" s="189"/>
      <c r="S229" s="189"/>
      <c r="AF229" s="413"/>
    </row>
    <row r="230" spans="1:32" ht="12.9" thickBot="1">
      <c r="A230" s="124"/>
      <c r="B230" s="316"/>
      <c r="C230" s="471">
        <f>SUM(C227:C229)</f>
        <v>-367.00020954334246</v>
      </c>
      <c r="D230" s="472">
        <f>SUM(D227:D229)</f>
        <v>1099.4554254167272</v>
      </c>
      <c r="E230" s="473">
        <f>SUM(E227:E229)</f>
        <v>732.45521587338487</v>
      </c>
      <c r="F230" s="124"/>
      <c r="G230" s="475">
        <f>SUM(G227:G229)</f>
        <v>638</v>
      </c>
      <c r="I230" s="124"/>
      <c r="J230" s="124"/>
      <c r="K230" s="124"/>
      <c r="L230"/>
      <c r="M230"/>
      <c r="O230"/>
      <c r="P230"/>
      <c r="AF230" s="413"/>
    </row>
    <row r="231" spans="1:32" ht="14.6" thickBot="1">
      <c r="A231" s="124"/>
      <c r="B231" s="468" t="s">
        <v>399</v>
      </c>
      <c r="C231" s="480">
        <f>(C230-C226)/C230</f>
        <v>-4.7403400471565355E-2</v>
      </c>
      <c r="D231" s="469">
        <f>(D230-D226)/D230</f>
        <v>0.49665226470071139</v>
      </c>
      <c r="E231" s="470">
        <f>(E230-E226)/E230</f>
        <v>0.76925397302957077</v>
      </c>
      <c r="F231" s="124"/>
      <c r="G231" s="477">
        <f>(G230-G226)/G230</f>
        <v>0.42495639350511927</v>
      </c>
      <c r="I231" s="124"/>
      <c r="J231" s="124"/>
      <c r="K231" s="124"/>
      <c r="L231" s="34"/>
      <c r="M231"/>
      <c r="O231"/>
      <c r="P231"/>
      <c r="AF231" s="413"/>
    </row>
    <row r="232" spans="1:32" ht="12.9">
      <c r="A232" s="124"/>
      <c r="B232" s="522" t="s">
        <v>439</v>
      </c>
      <c r="C232" s="124"/>
      <c r="D232" s="124"/>
      <c r="E232" s="124"/>
      <c r="F232" s="124"/>
      <c r="G232" s="124"/>
      <c r="I232" s="124"/>
      <c r="J232" s="124"/>
      <c r="K232" s="124"/>
      <c r="L232" s="523"/>
      <c r="M232"/>
      <c r="O232"/>
      <c r="P232"/>
      <c r="AF232" s="413"/>
    </row>
    <row r="233" spans="1:32">
      <c r="H233" s="124"/>
      <c r="I233" s="124"/>
      <c r="J233" s="124"/>
      <c r="K233" s="124"/>
      <c r="AF233" s="413"/>
    </row>
    <row r="234" spans="1:32">
      <c r="A234" s="124"/>
      <c r="B234" s="195" t="s">
        <v>426</v>
      </c>
      <c r="C234" s="124"/>
      <c r="D234" s="124"/>
      <c r="E234" s="124"/>
      <c r="F234" s="124"/>
      <c r="G234" s="124"/>
      <c r="I234" s="124"/>
      <c r="J234" s="124"/>
      <c r="K234" s="124"/>
      <c r="AF234" s="413"/>
    </row>
    <row r="235" spans="1:32" s="124" customFormat="1">
      <c r="AF235" s="413"/>
    </row>
    <row r="236" spans="1:32">
      <c r="A236" s="124"/>
      <c r="B236" s="745" t="s">
        <v>410</v>
      </c>
      <c r="C236" s="733"/>
      <c r="D236" s="733"/>
      <c r="E236" s="733"/>
      <c r="F236" s="733"/>
      <c r="G236" s="718"/>
      <c r="I236" s="124"/>
      <c r="J236" s="124"/>
      <c r="K236" s="124"/>
      <c r="AF236" s="413"/>
    </row>
    <row r="237" spans="1:32">
      <c r="A237" s="124"/>
      <c r="B237" s="733"/>
      <c r="C237" s="733"/>
      <c r="D237" s="733"/>
      <c r="E237" s="733"/>
      <c r="F237" s="733"/>
      <c r="G237" s="718"/>
      <c r="I237" s="124"/>
      <c r="J237" s="124"/>
      <c r="K237" s="124"/>
      <c r="AF237" s="413"/>
    </row>
    <row r="238" spans="1:32">
      <c r="A238" s="124"/>
      <c r="I238" s="124"/>
      <c r="J238" s="124"/>
      <c r="K238" s="124"/>
      <c r="AF238" s="413"/>
    </row>
    <row r="239" spans="1:32">
      <c r="A239" s="124"/>
      <c r="B239" s="743" t="s">
        <v>411</v>
      </c>
      <c r="C239" s="733"/>
      <c r="D239" s="733"/>
      <c r="E239" s="733"/>
      <c r="F239" s="733"/>
      <c r="G239" s="718"/>
      <c r="I239" s="124"/>
      <c r="J239" s="124"/>
      <c r="K239" s="124"/>
      <c r="AF239" s="413"/>
    </row>
    <row r="240" spans="1:32">
      <c r="A240" s="124"/>
      <c r="B240" s="733"/>
      <c r="C240" s="733"/>
      <c r="D240" s="733"/>
      <c r="E240" s="733"/>
      <c r="F240" s="733"/>
      <c r="G240" s="718"/>
      <c r="I240" s="124"/>
      <c r="J240" s="124"/>
      <c r="K240" s="124"/>
      <c r="AF240" s="413"/>
    </row>
    <row r="241" spans="1:32">
      <c r="G241" s="124"/>
      <c r="I241" s="124"/>
      <c r="J241" s="124"/>
      <c r="K241" s="124"/>
      <c r="AF241" s="413"/>
    </row>
    <row r="242" spans="1:32">
      <c r="B242" s="280" t="s">
        <v>432</v>
      </c>
      <c r="G242" s="124"/>
      <c r="I242" s="124"/>
      <c r="J242" s="124"/>
      <c r="K242" s="124"/>
      <c r="AF242" s="413"/>
    </row>
    <row r="243" spans="1:32">
      <c r="A243" s="744">
        <v>1</v>
      </c>
      <c r="B243" s="746" t="s">
        <v>403</v>
      </c>
      <c r="C243" s="747"/>
      <c r="D243" s="747"/>
      <c r="E243" s="747"/>
      <c r="F243" s="747"/>
      <c r="G243" s="718"/>
      <c r="I243" s="124"/>
      <c r="J243" s="124"/>
      <c r="K243" s="124"/>
      <c r="AF243" s="413"/>
    </row>
    <row r="244" spans="1:32">
      <c r="A244" s="744"/>
      <c r="B244" s="747"/>
      <c r="C244" s="747"/>
      <c r="D244" s="747"/>
      <c r="E244" s="747"/>
      <c r="F244" s="747"/>
      <c r="G244" s="718"/>
      <c r="I244" s="124"/>
      <c r="J244" s="124"/>
      <c r="K244" s="124"/>
      <c r="AF244" s="413"/>
    </row>
    <row r="245" spans="1:32">
      <c r="A245" s="744"/>
      <c r="B245" s="747"/>
      <c r="C245" s="747"/>
      <c r="D245" s="747"/>
      <c r="E245" s="747"/>
      <c r="F245" s="747"/>
      <c r="G245" s="718"/>
      <c r="I245" s="124"/>
      <c r="J245" s="124"/>
      <c r="K245" s="124"/>
      <c r="AF245" s="413"/>
    </row>
    <row r="246" spans="1:32">
      <c r="A246" s="744"/>
      <c r="B246" s="747"/>
      <c r="C246" s="747"/>
      <c r="D246" s="747"/>
      <c r="E246" s="747"/>
      <c r="F246" s="747"/>
      <c r="G246" s="718"/>
      <c r="I246" s="124"/>
      <c r="J246" s="124"/>
      <c r="K246" s="124"/>
      <c r="AF246" s="413"/>
    </row>
    <row r="247" spans="1:32">
      <c r="G247" s="124"/>
      <c r="I247" s="124"/>
      <c r="J247" s="124"/>
      <c r="K247" s="124"/>
      <c r="AF247" s="413"/>
    </row>
    <row r="248" spans="1:32">
      <c r="A248" s="744">
        <v>2</v>
      </c>
      <c r="B248" s="746" t="s">
        <v>404</v>
      </c>
      <c r="C248" s="718"/>
      <c r="D248" s="718"/>
      <c r="E248" s="718"/>
      <c r="F248" s="718"/>
      <c r="G248" s="718"/>
      <c r="I248" s="124"/>
      <c r="J248" s="124"/>
      <c r="K248" s="124"/>
      <c r="AF248" s="413"/>
    </row>
    <row r="249" spans="1:32">
      <c r="A249" s="744"/>
      <c r="B249" s="718"/>
      <c r="C249" s="718"/>
      <c r="D249" s="718"/>
      <c r="E249" s="718"/>
      <c r="F249" s="718"/>
      <c r="G249" s="718"/>
      <c r="I249" s="124"/>
      <c r="J249" s="124"/>
      <c r="K249" s="124"/>
      <c r="AF249" s="413"/>
    </row>
    <row r="250" spans="1:32">
      <c r="A250" s="484"/>
      <c r="B250" s="482"/>
      <c r="C250" s="482"/>
      <c r="D250" s="482"/>
      <c r="E250" s="482"/>
      <c r="F250" s="482"/>
      <c r="G250" s="124"/>
      <c r="I250" s="124"/>
      <c r="J250" s="124"/>
      <c r="K250" s="124"/>
      <c r="AF250" s="413"/>
    </row>
    <row r="251" spans="1:32">
      <c r="A251" s="744">
        <v>3</v>
      </c>
      <c r="B251" s="746" t="s">
        <v>405</v>
      </c>
      <c r="C251" s="718"/>
      <c r="D251" s="718"/>
      <c r="E251" s="718"/>
      <c r="F251" s="718"/>
      <c r="G251" s="718"/>
      <c r="AF251" s="413"/>
    </row>
    <row r="252" spans="1:32">
      <c r="A252" s="718"/>
      <c r="B252" s="718"/>
      <c r="C252" s="718"/>
      <c r="D252" s="718"/>
      <c r="E252" s="718"/>
      <c r="F252" s="718"/>
      <c r="G252" s="718"/>
      <c r="N252" s="124"/>
      <c r="Q252" s="124"/>
      <c r="R252" s="124"/>
      <c r="AF252" s="413"/>
    </row>
    <row r="253" spans="1:32">
      <c r="A253" s="718"/>
      <c r="B253" s="718"/>
      <c r="C253" s="718"/>
      <c r="D253" s="718"/>
      <c r="E253" s="718"/>
      <c r="F253" s="718"/>
      <c r="G253" s="718"/>
      <c r="AF253" s="413"/>
    </row>
    <row r="254" spans="1:32">
      <c r="A254" s="484"/>
      <c r="AF254" s="413"/>
    </row>
    <row r="255" spans="1:32">
      <c r="A255" s="484"/>
      <c r="B255" s="1" t="s">
        <v>421</v>
      </c>
      <c r="AF255" s="413"/>
    </row>
    <row r="256" spans="1:32">
      <c r="A256" s="484"/>
      <c r="B256" s="482"/>
      <c r="C256" s="482"/>
      <c r="D256" s="482"/>
      <c r="E256" s="482"/>
      <c r="F256" s="482"/>
      <c r="AF256" s="413"/>
    </row>
    <row r="257" spans="1:32">
      <c r="AF257" s="413"/>
    </row>
    <row r="258" spans="1:32">
      <c r="AF258" s="413"/>
    </row>
    <row r="259" spans="1:32">
      <c r="AF259" s="413"/>
    </row>
    <row r="260" spans="1:32">
      <c r="AF260" s="413"/>
    </row>
    <row r="261" spans="1:32">
      <c r="AF261" s="413"/>
    </row>
    <row r="262" spans="1:32">
      <c r="A262" s="1" t="s">
        <v>454</v>
      </c>
      <c r="B262" s="1" t="s">
        <v>453</v>
      </c>
      <c r="C262" s="124"/>
      <c r="D262" s="124"/>
      <c r="E262" s="124"/>
      <c r="F262" s="124"/>
      <c r="G262" s="124"/>
      <c r="H262" s="124"/>
      <c r="AF262" s="413"/>
    </row>
    <row r="263" spans="1:32" ht="12.9" thickBot="1">
      <c r="B263" s="124"/>
      <c r="C263" s="124"/>
      <c r="D263" s="124"/>
      <c r="E263" s="124"/>
      <c r="F263" s="124"/>
      <c r="G263" s="124"/>
      <c r="H263" s="124"/>
      <c r="AF263" s="413"/>
    </row>
    <row r="264" spans="1:32" ht="23.6" thickBot="1">
      <c r="B264" s="478" t="s">
        <v>415</v>
      </c>
      <c r="C264" s="496" t="s">
        <v>406</v>
      </c>
      <c r="D264" s="497" t="s">
        <v>407</v>
      </c>
      <c r="E264" s="497" t="s">
        <v>408</v>
      </c>
      <c r="F264" s="498" t="s">
        <v>409</v>
      </c>
      <c r="G264" s="124"/>
      <c r="H264" s="124"/>
      <c r="AF264" s="413"/>
    </row>
    <row r="265" spans="1:32" ht="14.6" thickBot="1">
      <c r="B265" s="316" t="s">
        <v>433</v>
      </c>
      <c r="C265" s="639">
        <v>67.047234759357011</v>
      </c>
      <c r="D265" s="640">
        <v>191.55550345311119</v>
      </c>
      <c r="E265" s="640">
        <v>-179.89664236410965</v>
      </c>
      <c r="F265" s="639">
        <f>SUM(C265:E265)</f>
        <v>78.70609584835853</v>
      </c>
      <c r="G265" s="124"/>
      <c r="H265" s="124"/>
      <c r="AF265" s="413"/>
    </row>
    <row r="266" spans="1:32" ht="14.6" thickBot="1">
      <c r="B266" s="316" t="s">
        <v>434</v>
      </c>
      <c r="C266" s="639">
        <v>74.582145122634628</v>
      </c>
      <c r="D266" s="640">
        <v>125.67763304549293</v>
      </c>
      <c r="E266" s="640">
        <v>-119.9768184528231</v>
      </c>
      <c r="F266" s="639">
        <f>SUM(C266:E266)</f>
        <v>80.282959715304457</v>
      </c>
      <c r="G266" s="124"/>
      <c r="H266" s="611"/>
      <c r="I266" s="611"/>
      <c r="J266" s="611"/>
      <c r="K266" s="611"/>
      <c r="AF266" s="413"/>
    </row>
    <row r="267" spans="1:32" ht="14.6" thickBot="1">
      <c r="B267" s="468" t="s">
        <v>399</v>
      </c>
      <c r="C267" s="480">
        <f>(C266-C265)/C266</f>
        <v>0.10102834064222804</v>
      </c>
      <c r="D267" s="480">
        <f>(D266-D265)/D266</f>
        <v>-0.52418134246506476</v>
      </c>
      <c r="E267" s="480">
        <f>(E266-E265)/E266</f>
        <v>-0.49942834527528368</v>
      </c>
      <c r="F267" s="477">
        <f>(F266-F265)/F266</f>
        <v>1.9641327033005834E-2</v>
      </c>
      <c r="G267" s="124"/>
      <c r="H267" s="124"/>
      <c r="AF267" s="413"/>
    </row>
    <row r="268" spans="1:32">
      <c r="B268" s="522" t="s">
        <v>435</v>
      </c>
      <c r="C268" s="124"/>
      <c r="D268" s="124"/>
      <c r="E268" s="124"/>
      <c r="F268" s="124"/>
      <c r="G268" s="124"/>
      <c r="H268" s="124"/>
      <c r="AF268" s="413"/>
    </row>
    <row r="269" spans="1:32">
      <c r="B269" s="124"/>
      <c r="C269" s="124"/>
      <c r="D269" s="124"/>
      <c r="E269" s="124"/>
      <c r="F269" s="124"/>
      <c r="G269" s="124"/>
      <c r="H269" s="124"/>
      <c r="AF269" s="413"/>
    </row>
    <row r="270" spans="1:32">
      <c r="B270" s="195" t="s">
        <v>425</v>
      </c>
      <c r="C270" s="124"/>
      <c r="D270" s="124"/>
      <c r="E270" s="124"/>
      <c r="F270" s="124"/>
      <c r="G270" s="124"/>
      <c r="H270" s="124"/>
      <c r="AF270" s="413"/>
    </row>
    <row r="271" spans="1:32">
      <c r="C271" s="124"/>
      <c r="D271" s="124"/>
      <c r="E271" s="124"/>
      <c r="F271" s="124"/>
      <c r="G271" s="124"/>
      <c r="H271" s="124"/>
      <c r="AF271" s="413"/>
    </row>
    <row r="272" spans="1:32">
      <c r="B272" s="1" t="s">
        <v>423</v>
      </c>
      <c r="C272" s="124"/>
      <c r="D272" s="124"/>
      <c r="E272" s="124"/>
      <c r="F272" s="124"/>
      <c r="G272" s="124"/>
      <c r="H272" s="124"/>
      <c r="AF272" s="413"/>
    </row>
    <row r="273" spans="2:32">
      <c r="B273" s="733" t="s">
        <v>422</v>
      </c>
      <c r="C273" s="733"/>
      <c r="D273" s="733"/>
      <c r="E273" s="733"/>
      <c r="F273" s="733"/>
      <c r="G273" s="124"/>
      <c r="H273" s="124"/>
      <c r="AF273" s="413"/>
    </row>
    <row r="274" spans="2:32">
      <c r="B274" s="733"/>
      <c r="C274" s="733"/>
      <c r="D274" s="733"/>
      <c r="E274" s="733"/>
      <c r="F274" s="733"/>
      <c r="G274" s="124"/>
      <c r="H274" s="124"/>
      <c r="AF274" s="413"/>
    </row>
    <row r="275" spans="2:32">
      <c r="B275" s="733"/>
      <c r="C275" s="733"/>
      <c r="D275" s="733"/>
      <c r="E275" s="733"/>
      <c r="F275" s="733"/>
      <c r="G275" s="124"/>
      <c r="H275" s="124"/>
      <c r="AF275" s="413"/>
    </row>
    <row r="276" spans="2:32">
      <c r="B276" s="124"/>
      <c r="C276" s="124"/>
      <c r="D276" s="124"/>
      <c r="E276" s="124"/>
      <c r="F276" s="124"/>
      <c r="G276" s="124"/>
      <c r="H276" s="124"/>
      <c r="AF276" s="413"/>
    </row>
    <row r="277" spans="2:32">
      <c r="B277" s="1" t="s">
        <v>420</v>
      </c>
      <c r="C277" s="124"/>
      <c r="D277" s="124"/>
      <c r="E277" s="124"/>
      <c r="F277" s="124"/>
      <c r="G277" s="124"/>
      <c r="H277" s="124"/>
      <c r="AF277" s="413"/>
    </row>
    <row r="278" spans="2:32">
      <c r="B278" s="734" t="s">
        <v>417</v>
      </c>
      <c r="C278" s="733"/>
      <c r="D278" s="733"/>
      <c r="E278" s="733"/>
      <c r="F278" s="733"/>
      <c r="G278" s="124"/>
      <c r="H278" s="124"/>
      <c r="AF278" s="413"/>
    </row>
    <row r="279" spans="2:32">
      <c r="B279" s="733"/>
      <c r="C279" s="733"/>
      <c r="D279" s="733"/>
      <c r="E279" s="733"/>
      <c r="F279" s="733"/>
      <c r="G279" s="124"/>
      <c r="H279" s="124"/>
      <c r="AF279" s="413"/>
    </row>
    <row r="280" spans="2:32">
      <c r="B280" s="734" t="s">
        <v>418</v>
      </c>
      <c r="C280" s="733"/>
      <c r="D280" s="733"/>
      <c r="E280" s="733"/>
      <c r="F280" s="733"/>
      <c r="G280" s="124"/>
      <c r="AF280" s="413"/>
    </row>
    <row r="281" spans="2:32">
      <c r="B281" s="733"/>
      <c r="C281" s="733"/>
      <c r="D281" s="733"/>
      <c r="E281" s="733"/>
      <c r="F281" s="733"/>
      <c r="G281" s="124"/>
      <c r="AF281" s="413"/>
    </row>
    <row r="282" spans="2:32">
      <c r="G282" s="124"/>
      <c r="H282" s="124"/>
      <c r="AF282" s="413"/>
    </row>
    <row r="283" spans="2:32">
      <c r="B283" s="1" t="s">
        <v>424</v>
      </c>
      <c r="G283" s="124"/>
      <c r="AF283" s="413"/>
    </row>
    <row r="284" spans="2:32">
      <c r="B284" s="734" t="s">
        <v>419</v>
      </c>
      <c r="C284" s="733"/>
      <c r="D284" s="733"/>
      <c r="E284" s="733"/>
      <c r="F284" s="733"/>
      <c r="G284" s="124"/>
      <c r="AF284" s="413"/>
    </row>
    <row r="285" spans="2:32">
      <c r="B285" s="733"/>
      <c r="C285" s="733"/>
      <c r="D285" s="733"/>
      <c r="E285" s="733"/>
      <c r="F285" s="733"/>
      <c r="G285" s="124"/>
      <c r="H285" s="124"/>
      <c r="AF285" s="413"/>
    </row>
    <row r="286" spans="2:32">
      <c r="B286" s="124"/>
      <c r="C286" s="124"/>
      <c r="D286" s="124"/>
      <c r="E286" s="124"/>
      <c r="F286" s="124"/>
      <c r="G286" s="124"/>
      <c r="H286" s="124"/>
      <c r="AF286" s="413"/>
    </row>
    <row r="287" spans="2:32">
      <c r="G287" s="124"/>
      <c r="AF287" s="413"/>
    </row>
    <row r="288" spans="2:32">
      <c r="B288" s="280" t="s">
        <v>421</v>
      </c>
      <c r="C288" s="124"/>
      <c r="D288" s="124"/>
      <c r="E288" s="124"/>
      <c r="F288" s="124"/>
      <c r="G288" s="124"/>
      <c r="AF288" s="413"/>
    </row>
    <row r="289" spans="1:32">
      <c r="B289" s="735" t="s">
        <v>427</v>
      </c>
      <c r="C289" s="735"/>
      <c r="D289" s="735"/>
      <c r="E289" s="735"/>
      <c r="F289" s="735"/>
      <c r="G289" s="124"/>
      <c r="AF289" s="413"/>
    </row>
    <row r="290" spans="1:32">
      <c r="B290" s="735"/>
      <c r="C290" s="735"/>
      <c r="D290" s="735"/>
      <c r="E290" s="735"/>
      <c r="F290" s="735"/>
      <c r="G290" s="124"/>
      <c r="H290" s="124"/>
      <c r="AF290" s="413"/>
    </row>
    <row r="291" spans="1:32">
      <c r="C291" s="124"/>
      <c r="D291" s="124"/>
      <c r="E291" s="124"/>
      <c r="F291" s="124"/>
      <c r="G291" s="124"/>
      <c r="H291" s="124"/>
      <c r="AF291" s="413"/>
    </row>
    <row r="292" spans="1:32">
      <c r="AF292" s="413"/>
    </row>
    <row r="293" spans="1:32">
      <c r="AF293" s="413"/>
    </row>
    <row r="294" spans="1:32">
      <c r="A294" s="1" t="s">
        <v>416</v>
      </c>
      <c r="B294" s="1" t="s">
        <v>455</v>
      </c>
      <c r="C294" s="124"/>
      <c r="D294" s="124"/>
      <c r="E294" s="124"/>
      <c r="F294" s="124"/>
      <c r="G294" s="124"/>
      <c r="I294" s="124"/>
      <c r="J294" s="124"/>
      <c r="K294" s="124"/>
      <c r="AF294" s="413"/>
    </row>
    <row r="295" spans="1:32" ht="12.9" thickBot="1">
      <c r="A295" s="124"/>
      <c r="B295" s="124"/>
      <c r="C295" s="124"/>
      <c r="D295" s="124"/>
      <c r="E295" s="124"/>
      <c r="F295" s="124"/>
      <c r="G295" s="124"/>
      <c r="I295" s="124"/>
      <c r="J295" s="124"/>
      <c r="K295" s="124"/>
      <c r="AF295" s="413"/>
    </row>
    <row r="296" spans="1:32" ht="23.6" thickBot="1">
      <c r="A296" s="124"/>
      <c r="B296" s="478" t="s">
        <v>415</v>
      </c>
      <c r="C296" s="496" t="s">
        <v>406</v>
      </c>
      <c r="D296" s="497" t="s">
        <v>407</v>
      </c>
      <c r="E296" s="497" t="s">
        <v>408</v>
      </c>
      <c r="F296" s="498" t="s">
        <v>409</v>
      </c>
      <c r="G296" s="124"/>
      <c r="I296" s="124"/>
      <c r="J296" s="124"/>
      <c r="K296" s="124"/>
      <c r="AF296" s="413"/>
    </row>
    <row r="297" spans="1:32" ht="14.6" thickBot="1">
      <c r="A297" s="124"/>
      <c r="B297" s="316" t="s">
        <v>433</v>
      </c>
      <c r="C297" s="474">
        <v>-227.06527537623663</v>
      </c>
      <c r="D297" s="465">
        <v>-118.90769864666672</v>
      </c>
      <c r="E297" s="465">
        <v>-45.590407767303027</v>
      </c>
      <c r="F297" s="474">
        <f>SUM(C297:E297)</f>
        <v>-391.56338179020639</v>
      </c>
      <c r="G297" s="124"/>
      <c r="I297" s="124"/>
      <c r="J297" s="124"/>
      <c r="K297" s="124"/>
      <c r="AF297" s="413"/>
    </row>
    <row r="298" spans="1:32" ht="14.6" thickBot="1">
      <c r="A298" s="124"/>
      <c r="B298" s="316" t="s">
        <v>434</v>
      </c>
      <c r="C298" s="474">
        <v>-262.39999999999998</v>
      </c>
      <c r="D298" s="465">
        <v>-90.071179537999868</v>
      </c>
      <c r="E298" s="465">
        <v>-72</v>
      </c>
      <c r="F298" s="474">
        <f>SUM(C298:E298)</f>
        <v>-424.47117953799983</v>
      </c>
      <c r="G298" s="124"/>
      <c r="I298" s="124"/>
      <c r="J298" s="124"/>
      <c r="K298" s="124"/>
      <c r="AF298" s="413"/>
    </row>
    <row r="299" spans="1:32" ht="14.6" thickBot="1">
      <c r="A299" s="124"/>
      <c r="B299" s="468" t="s">
        <v>399</v>
      </c>
      <c r="C299" s="480">
        <f>(C298-C297)/C298</f>
        <v>0.13465977371861035</v>
      </c>
      <c r="D299" s="480">
        <f>(D298-D297)/D298</f>
        <v>-0.32015256441158402</v>
      </c>
      <c r="E299" s="480">
        <f>(E298-E297)/E298</f>
        <v>0.36679989212079128</v>
      </c>
      <c r="F299" s="477">
        <f>(F298-F297)/F298</f>
        <v>7.7526577384148268E-2</v>
      </c>
      <c r="G299" s="124"/>
      <c r="I299" s="124"/>
      <c r="J299" s="124"/>
      <c r="K299" s="124"/>
      <c r="AF299" s="413"/>
    </row>
    <row r="300" spans="1:32">
      <c r="A300" s="124"/>
      <c r="B300" s="522" t="s">
        <v>481</v>
      </c>
      <c r="C300" s="124"/>
      <c r="D300" s="124"/>
      <c r="E300" s="124"/>
      <c r="F300" s="124"/>
      <c r="G300" s="124"/>
      <c r="I300" s="124"/>
      <c r="J300" s="124"/>
      <c r="K300" s="124"/>
      <c r="AF300" s="413"/>
    </row>
    <row r="301" spans="1:32" ht="14.15">
      <c r="A301" s="89"/>
      <c r="B301" s="89"/>
      <c r="C301" s="488"/>
      <c r="D301" s="490"/>
      <c r="E301" s="490"/>
      <c r="F301" s="490"/>
      <c r="G301" s="124"/>
      <c r="H301" s="490"/>
      <c r="I301" s="89"/>
      <c r="J301" s="124"/>
      <c r="K301" s="124"/>
      <c r="AF301" s="413"/>
    </row>
    <row r="302" spans="1:32" s="124" customFormat="1" ht="14.15">
      <c r="A302" s="89"/>
      <c r="B302" s="195" t="s">
        <v>428</v>
      </c>
      <c r="H302" s="490"/>
      <c r="I302" s="89"/>
      <c r="AF302" s="413"/>
    </row>
    <row r="303" spans="1:32" s="124" customFormat="1" ht="14.15">
      <c r="A303" s="89"/>
      <c r="G303" s="89"/>
      <c r="H303" s="490"/>
      <c r="I303" s="89"/>
      <c r="AF303" s="413"/>
    </row>
    <row r="304" spans="1:32" s="124" customFormat="1" ht="14.15">
      <c r="A304" s="89"/>
      <c r="B304" s="733" t="s">
        <v>413</v>
      </c>
      <c r="C304" s="733"/>
      <c r="D304" s="733"/>
      <c r="E304" s="733"/>
      <c r="F304" s="733"/>
      <c r="G304" s="89"/>
      <c r="H304" s="490"/>
      <c r="I304" s="89"/>
      <c r="AF304" s="413"/>
    </row>
    <row r="305" spans="1:32" s="124" customFormat="1" ht="14.15">
      <c r="A305" s="89"/>
      <c r="B305" s="733"/>
      <c r="C305" s="733"/>
      <c r="D305" s="733"/>
      <c r="E305" s="733"/>
      <c r="F305" s="733"/>
      <c r="G305" s="89"/>
      <c r="H305" s="490"/>
      <c r="I305" s="89"/>
      <c r="AF305" s="413"/>
    </row>
    <row r="306" spans="1:32" s="124" customFormat="1" ht="14.15">
      <c r="A306" s="89"/>
      <c r="B306" s="733"/>
      <c r="C306" s="733"/>
      <c r="D306" s="733"/>
      <c r="E306" s="733"/>
      <c r="F306" s="733"/>
      <c r="G306" s="89"/>
      <c r="H306" s="501"/>
      <c r="I306" s="89"/>
      <c r="AF306" s="413"/>
    </row>
    <row r="307" spans="1:32" s="124" customFormat="1" ht="14.15">
      <c r="A307" s="89"/>
      <c r="G307" s="89"/>
      <c r="H307" s="490"/>
      <c r="I307" s="89"/>
      <c r="AF307" s="413"/>
    </row>
    <row r="308" spans="1:32" s="124" customFormat="1" ht="14.15">
      <c r="A308" s="89"/>
      <c r="B308" s="1" t="s">
        <v>436</v>
      </c>
      <c r="G308" s="89"/>
      <c r="H308" s="490"/>
      <c r="I308" s="89"/>
      <c r="AF308" s="413"/>
    </row>
    <row r="309" spans="1:32" s="124" customFormat="1" ht="14.15">
      <c r="A309" s="89"/>
      <c r="B309" s="734" t="s">
        <v>417</v>
      </c>
      <c r="C309" s="733"/>
      <c r="D309" s="733"/>
      <c r="E309" s="733"/>
      <c r="F309" s="733"/>
      <c r="G309" s="89"/>
      <c r="H309" s="490"/>
      <c r="I309" s="89"/>
      <c r="AF309" s="413"/>
    </row>
    <row r="310" spans="1:32" s="124" customFormat="1" ht="28.5" customHeight="1">
      <c r="A310" s="89"/>
      <c r="B310" s="733"/>
      <c r="C310" s="733"/>
      <c r="D310" s="733"/>
      <c r="E310" s="733"/>
      <c r="F310" s="733"/>
      <c r="G310" s="89"/>
      <c r="H310" s="490"/>
      <c r="I310" s="89"/>
      <c r="AF310" s="413"/>
    </row>
    <row r="311" spans="1:32" s="124" customFormat="1">
      <c r="A311" s="89"/>
      <c r="B311" s="734" t="s">
        <v>418</v>
      </c>
      <c r="C311" s="733"/>
      <c r="D311" s="733"/>
      <c r="E311" s="733"/>
      <c r="F311" s="733"/>
      <c r="AF311" s="413"/>
    </row>
    <row r="312" spans="1:32" s="124" customFormat="1">
      <c r="A312" s="89"/>
      <c r="B312" s="733"/>
      <c r="C312" s="733"/>
      <c r="D312" s="733"/>
      <c r="E312" s="733"/>
      <c r="F312" s="733"/>
      <c r="AF312" s="413"/>
    </row>
    <row r="313" spans="1:32" s="124" customFormat="1" ht="20.25" customHeight="1">
      <c r="A313" s="89"/>
      <c r="B313" s="718"/>
      <c r="C313" s="718"/>
      <c r="D313" s="718"/>
      <c r="E313" s="718"/>
      <c r="F313" s="718"/>
      <c r="G313" s="89"/>
      <c r="H313" s="490"/>
      <c r="I313" s="89"/>
      <c r="AF313" s="413"/>
    </row>
    <row r="314" spans="1:32" s="124" customFormat="1" ht="14.15">
      <c r="A314" s="89"/>
      <c r="G314" s="89"/>
      <c r="H314" s="490"/>
      <c r="I314" s="89"/>
      <c r="AF314" s="413"/>
    </row>
    <row r="315" spans="1:32" s="124" customFormat="1" ht="14.15">
      <c r="A315" s="89"/>
      <c r="B315" s="734" t="s">
        <v>412</v>
      </c>
      <c r="C315" s="733"/>
      <c r="D315" s="733"/>
      <c r="E315" s="733"/>
      <c r="F315" s="733"/>
      <c r="G315" s="89"/>
      <c r="H315" s="490"/>
      <c r="I315" s="89"/>
      <c r="AF315" s="413"/>
    </row>
    <row r="316" spans="1:32" s="124" customFormat="1" ht="24" customHeight="1">
      <c r="A316" s="89"/>
      <c r="B316" s="733"/>
      <c r="C316" s="733"/>
      <c r="D316" s="733"/>
      <c r="E316" s="733"/>
      <c r="F316" s="733"/>
      <c r="G316" s="89"/>
      <c r="H316" s="490"/>
      <c r="I316" s="89"/>
      <c r="AF316" s="413"/>
    </row>
    <row r="317" spans="1:32" s="124" customFormat="1" ht="14.15">
      <c r="A317" s="89"/>
      <c r="B317" s="89"/>
      <c r="C317" s="488"/>
      <c r="D317" s="490"/>
      <c r="E317" s="490"/>
      <c r="F317" s="490"/>
      <c r="G317" s="89"/>
      <c r="H317" s="490"/>
      <c r="I317" s="89"/>
      <c r="AF317" s="413"/>
    </row>
    <row r="318" spans="1:32" s="124" customFormat="1" ht="14.15">
      <c r="A318" s="89"/>
      <c r="B318" s="1" t="s">
        <v>421</v>
      </c>
      <c r="C318" s="488"/>
      <c r="D318" s="490"/>
      <c r="E318" s="490"/>
      <c r="F318" s="490"/>
      <c r="G318" s="89"/>
      <c r="H318" s="490"/>
      <c r="I318" s="89"/>
      <c r="AF318" s="413"/>
    </row>
    <row r="319" spans="1:32" s="124" customFormat="1" ht="14.15">
      <c r="A319" s="89"/>
      <c r="B319" s="732" t="s">
        <v>440</v>
      </c>
      <c r="C319" s="733"/>
      <c r="D319" s="733"/>
      <c r="E319" s="733"/>
      <c r="F319" s="733"/>
      <c r="G319" s="89"/>
      <c r="H319" s="490"/>
      <c r="I319" s="89"/>
      <c r="AF319" s="413"/>
    </row>
    <row r="320" spans="1:32" s="124" customFormat="1" ht="39.75" customHeight="1">
      <c r="A320" s="89"/>
      <c r="B320" s="733"/>
      <c r="C320" s="733"/>
      <c r="D320" s="733"/>
      <c r="E320" s="733"/>
      <c r="F320" s="733"/>
      <c r="G320" s="89"/>
      <c r="H320" s="490"/>
      <c r="I320" s="89"/>
      <c r="AF320" s="413"/>
    </row>
    <row r="321" spans="1:32" s="124" customFormat="1">
      <c r="A321" s="413"/>
      <c r="B321" s="413"/>
      <c r="C321" s="413"/>
      <c r="D321" s="413"/>
      <c r="E321" s="413"/>
      <c r="F321" s="413"/>
      <c r="G321" s="413"/>
      <c r="H321" s="413"/>
      <c r="I321" s="413"/>
      <c r="J321" s="413"/>
      <c r="K321" s="413"/>
      <c r="L321" s="413"/>
      <c r="M321" s="413"/>
      <c r="N321" s="413"/>
      <c r="O321" s="413"/>
      <c r="P321" s="413"/>
      <c r="Q321" s="413"/>
      <c r="R321" s="413"/>
      <c r="S321" s="413"/>
      <c r="T321" s="413"/>
      <c r="U321" s="413"/>
      <c r="V321" s="413"/>
      <c r="W321" s="413"/>
      <c r="X321" s="413"/>
      <c r="Y321" s="413"/>
      <c r="Z321" s="413"/>
      <c r="AA321" s="413"/>
      <c r="AB321" s="413"/>
      <c r="AC321" s="413"/>
      <c r="AD321" s="413"/>
      <c r="AE321" s="413"/>
      <c r="AF321" s="413"/>
    </row>
  </sheetData>
  <mergeCells count="146">
    <mergeCell ref="X166:X167"/>
    <mergeCell ref="BU14:BW18"/>
    <mergeCell ref="BU40:BW44"/>
    <mergeCell ref="BT67:BV71"/>
    <mergeCell ref="BA76:BF81"/>
    <mergeCell ref="BM106:BR107"/>
    <mergeCell ref="BM108:BR109"/>
    <mergeCell ref="BM111:BQ114"/>
    <mergeCell ref="BV120:BZ121"/>
    <mergeCell ref="BM115:BQ118"/>
    <mergeCell ref="BM119:BQ122"/>
    <mergeCell ref="BV116:BZ117"/>
    <mergeCell ref="AD128:AD129"/>
    <mergeCell ref="X134:X136"/>
    <mergeCell ref="AD134:AD135"/>
    <mergeCell ref="X96:X97"/>
    <mergeCell ref="X102:X103"/>
    <mergeCell ref="X108:X109"/>
    <mergeCell ref="CJ96:CJ97"/>
    <mergeCell ref="CE100:CH101"/>
    <mergeCell ref="CJ100:CJ101"/>
    <mergeCell ref="BV110:BZ111"/>
    <mergeCell ref="BV113:BZ114"/>
    <mergeCell ref="CC22:CC23"/>
    <mergeCell ref="CD22:CD23"/>
    <mergeCell ref="CC24:CC25"/>
    <mergeCell ref="CC26:CC27"/>
    <mergeCell ref="CC28:CC29"/>
    <mergeCell ref="BV105:BZ107"/>
    <mergeCell ref="AC180:AC182"/>
    <mergeCell ref="AD180:AD182"/>
    <mergeCell ref="Q163:Q165"/>
    <mergeCell ref="AG163:AG165"/>
    <mergeCell ref="M163:M165"/>
    <mergeCell ref="AC163:AC165"/>
    <mergeCell ref="BL115:BL118"/>
    <mergeCell ref="BL119:BL122"/>
    <mergeCell ref="X114:X115"/>
    <mergeCell ref="AE163:AE165"/>
    <mergeCell ref="AD163:AD165"/>
    <mergeCell ref="Z163:Z165"/>
    <mergeCell ref="AA163:AA165"/>
    <mergeCell ref="Z180:Z182"/>
    <mergeCell ref="AA180:AA182"/>
    <mergeCell ref="X172:X173"/>
    <mergeCell ref="BL111:BL114"/>
    <mergeCell ref="X178:X179"/>
    <mergeCell ref="X160:X161"/>
    <mergeCell ref="X128:X130"/>
    <mergeCell ref="X140:X142"/>
    <mergeCell ref="AD140:AD141"/>
    <mergeCell ref="X146:X148"/>
    <mergeCell ref="AD146:AD147"/>
    <mergeCell ref="S172:S174"/>
    <mergeCell ref="H160:H161"/>
    <mergeCell ref="H166:H167"/>
    <mergeCell ref="H172:H173"/>
    <mergeCell ref="H178:H179"/>
    <mergeCell ref="S166:S168"/>
    <mergeCell ref="S160:S162"/>
    <mergeCell ref="S178:S180"/>
    <mergeCell ref="B128:B130"/>
    <mergeCell ref="B134:B136"/>
    <mergeCell ref="B140:B142"/>
    <mergeCell ref="B146:B148"/>
    <mergeCell ref="B108:B110"/>
    <mergeCell ref="S96:S98"/>
    <mergeCell ref="S102:S104"/>
    <mergeCell ref="S108:S110"/>
    <mergeCell ref="S114:S116"/>
    <mergeCell ref="H114:H115"/>
    <mergeCell ref="B160:B162"/>
    <mergeCell ref="H128:H129"/>
    <mergeCell ref="H134:H135"/>
    <mergeCell ref="H140:H141"/>
    <mergeCell ref="H146:H147"/>
    <mergeCell ref="K128:N128"/>
    <mergeCell ref="C4:F4"/>
    <mergeCell ref="E5:F5"/>
    <mergeCell ref="H96:H97"/>
    <mergeCell ref="H102:H103"/>
    <mergeCell ref="H108:H109"/>
    <mergeCell ref="C70:F70"/>
    <mergeCell ref="E71:F71"/>
    <mergeCell ref="B114:B116"/>
    <mergeCell ref="T143:U143"/>
    <mergeCell ref="R128:U128"/>
    <mergeCell ref="T129:U129"/>
    <mergeCell ref="R135:U135"/>
    <mergeCell ref="T136:U136"/>
    <mergeCell ref="R142:U142"/>
    <mergeCell ref="M129:N129"/>
    <mergeCell ref="K135:N135"/>
    <mergeCell ref="M136:N136"/>
    <mergeCell ref="K142:N142"/>
    <mergeCell ref="M143:N143"/>
    <mergeCell ref="J5:K5"/>
    <mergeCell ref="C81:F81"/>
    <mergeCell ref="E82:F82"/>
    <mergeCell ref="B96:B98"/>
    <mergeCell ref="B102:B104"/>
    <mergeCell ref="A243:A246"/>
    <mergeCell ref="B280:F281"/>
    <mergeCell ref="B273:F275"/>
    <mergeCell ref="B236:G237"/>
    <mergeCell ref="B304:F306"/>
    <mergeCell ref="B309:F310"/>
    <mergeCell ref="B315:F316"/>
    <mergeCell ref="B243:G246"/>
    <mergeCell ref="B248:G249"/>
    <mergeCell ref="A248:A249"/>
    <mergeCell ref="B251:G253"/>
    <mergeCell ref="A251:A253"/>
    <mergeCell ref="B311:F313"/>
    <mergeCell ref="B319:F320"/>
    <mergeCell ref="B284:F285"/>
    <mergeCell ref="B289:F290"/>
    <mergeCell ref="O227:O228"/>
    <mergeCell ref="O163:O165"/>
    <mergeCell ref="M227:M228"/>
    <mergeCell ref="N227:N228"/>
    <mergeCell ref="M225:M226"/>
    <mergeCell ref="N225:N226"/>
    <mergeCell ref="O225:O226"/>
    <mergeCell ref="J163:J165"/>
    <mergeCell ref="K163:K165"/>
    <mergeCell ref="J180:J182"/>
    <mergeCell ref="K180:K182"/>
    <mergeCell ref="L222:L224"/>
    <mergeCell ref="M222:O222"/>
    <mergeCell ref="M223:M224"/>
    <mergeCell ref="O223:O224"/>
    <mergeCell ref="N163:N165"/>
    <mergeCell ref="B239:G240"/>
    <mergeCell ref="B278:F279"/>
    <mergeCell ref="N180:N182"/>
    <mergeCell ref="O180:O182"/>
    <mergeCell ref="A223:A225"/>
    <mergeCell ref="A227:A229"/>
    <mergeCell ref="B166:B168"/>
    <mergeCell ref="B172:B174"/>
    <mergeCell ref="B178:B180"/>
    <mergeCell ref="C208:F208"/>
    <mergeCell ref="E209:F209"/>
    <mergeCell ref="C193:F193"/>
    <mergeCell ref="E194:F194"/>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a9306fc-8436-45f0-b931-e34f519be3a3" ContentTypeId="0x01010033282546F0D44441B574BEAA5FBE93E4" PreviousValue="true"/>
</file>

<file path=customXml/item2.xml><?xml version="1.0" encoding="utf-8"?>
<p:properties xmlns:p="http://schemas.microsoft.com/office/2006/metadata/properties" xmlns:xsi="http://www.w3.org/2001/XMLSchema-instance" xmlns:pc="http://schemas.microsoft.com/office/infopath/2007/PartnerControls">
  <documentManagement>
    <_x003a_ xmlns="631298fc-6a88-4548-b7d9-3b164918c4a3" xsi:nil="true"/>
    <_Status xmlns="http://schemas.microsoft.com/sharepoint/v3/fields">Draft</_Status>
    <Classification xmlns="631298fc-6a88-4548-b7d9-3b164918c4a3">Unclassified</Classification>
    <Organisation xmlns="eecedeb9-13b3-4e62-b003-046c92e1668a">Choose an Organisation</Organisation>
    <Descriptor xmlns="eecedeb9-13b3-4e62-b003-046c92e1668a" xsi:nil="true"/>
    <_x003a__x003a_ xmlns="eecedeb9-13b3-4e62-b003-046c92e1668a">-Main Document</_x003a__x003a_>
  </documentManagement>
</p:properties>
</file>

<file path=customXml/item3.xml><?xml version="1.0" encoding="utf-8"?>
<ct:contentTypeSchema xmlns:ct="http://schemas.microsoft.com/office/2006/metadata/contentType" xmlns:ma="http://schemas.microsoft.com/office/2006/metadata/properties/metaAttributes" ct:_="" ma:_="" ma:contentTypeName="Information" ma:contentTypeID="0x01010033282546F0D44441B574BEAA5FBE93E4009E8AD276BD488B489EEC46FA78118417" ma:contentTypeVersion="8" ma:contentTypeDescription="" ma:contentTypeScope="" ma:versionID="5e28d19bf8ef92d5ebb90e9f12d23392">
  <xsd:schema xmlns:xsd="http://www.w3.org/2001/XMLSchema" xmlns:xs="http://www.w3.org/2001/XMLSchema" xmlns:p="http://schemas.microsoft.com/office/2006/metadata/properties" xmlns:ns2="eecedeb9-13b3-4e62-b003-046c92e1668a" xmlns:ns3="631298fc-6a88-4548-b7d9-3b164918c4a3" xmlns:ns4="http://schemas.microsoft.com/sharepoint/v3/fields" targetNamespace="http://schemas.microsoft.com/office/2006/metadata/properties" ma:root="true" ma:fieldsID="cbdce1f61aaec6280f9d2e19dabb1f80" ns2:_="" ns3:_="" ns4:_="">
    <xsd:import namespace="eecedeb9-13b3-4e62-b003-046c92e1668a"/>
    <xsd:import namespace="631298fc-6a88-4548-b7d9-3b164918c4a3"/>
    <xsd:import namespace="http://schemas.microsoft.com/sharepoint/v3/fields"/>
    <xsd:element name="properties">
      <xsd:complexType>
        <xsd:sequence>
          <xsd:element name="documentManagement">
            <xsd:complexType>
              <xsd:all>
                <xsd:element ref="ns2:Organisation" minOccurs="0"/>
                <xsd:element ref="ns3:_x003a_" minOccurs="0"/>
                <xsd:element ref="ns2:_x003a__x003a_" minOccurs="0"/>
                <xsd:element ref="ns4:_Status" minOccurs="0"/>
                <xsd:element ref="ns3: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edeb9-13b3-4e62-b003-046c92e1668a" elementFormDefault="qualified">
    <xsd:import namespace="http://schemas.microsoft.com/office/2006/documentManagement/types"/>
    <xsd:import namespace="http://schemas.microsoft.com/office/infopath/2007/PartnerControls"/>
    <xsd:element name="Organisation" ma:index="8"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_x003a__x003a_" ma:index="10" nillable="true" ma:displayName="::" ma:default="-Main Document" ma:description="Used to place Subsidiary Documents and Responses as 'children' to the Main Document, with Subsidiary Documents first" ma:format="Dropdown" ma:internalName="_x003A__x003A_">
      <xsd:simpleType>
        <xsd:restriction base="dms:Choice">
          <xsd:enumeration value="-Main Document"/>
          <xsd:enumeration value="-Subsidiary Document"/>
          <xsd:enumeration value="Response"/>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_x003a_" ma:index="9" nillable="true" ma:displayName=":" ma:description="To group documents together eg Responses with a Consultation Doc.  The format is Main Document Publication Date as YYYY/MM/DD - Main Document Title - Ref No &#10;(keep the Title part short and use copy and paste to ensure grouping works - check in Publication view)" ma:internalName="_x003A_">
      <xsd:simpleType>
        <xsd:restriction base="dms:Text">
          <xsd:maxLength value="255"/>
        </xsd:restrict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973096ae-7329-4b3b-9368-47aeba6959e1">
  <element uid="id_classification_nonbusiness" value=""/>
  <element uid="eaadb568-f939-47e9-ab90-f00bdd47735e" value=""/>
</sisl>
</file>

<file path=customXml/itemProps1.xml><?xml version="1.0" encoding="utf-8"?>
<ds:datastoreItem xmlns:ds="http://schemas.openxmlformats.org/officeDocument/2006/customXml" ds:itemID="{CA3039E6-186A-4904-B2D6-F1120AB2041F}">
  <ds:schemaRefs>
    <ds:schemaRef ds:uri="Microsoft.SharePoint.Taxonomy.ContentTypeSync"/>
  </ds:schemaRefs>
</ds:datastoreItem>
</file>

<file path=customXml/itemProps2.xml><?xml version="1.0" encoding="utf-8"?>
<ds:datastoreItem xmlns:ds="http://schemas.openxmlformats.org/officeDocument/2006/customXml" ds:itemID="{5FE28377-645D-4D26-9BD6-8D867B18B38D}">
  <ds:schemaRefs>
    <ds:schemaRef ds:uri="http://purl.org/dc/elements/1.1/"/>
    <ds:schemaRef ds:uri="http://schemas.microsoft.com/office/2006/metadata/properties"/>
    <ds:schemaRef ds:uri="http://schemas.microsoft.com/office/2006/documentManagement/types"/>
    <ds:schemaRef ds:uri="http://purl.org/dc/terms/"/>
    <ds:schemaRef ds:uri="631298fc-6a88-4548-b7d9-3b164918c4a3"/>
    <ds:schemaRef ds:uri="http://purl.org/dc/dcmitype/"/>
    <ds:schemaRef ds:uri="http://schemas.openxmlformats.org/package/2006/metadata/core-properties"/>
    <ds:schemaRef ds:uri="http://schemas.microsoft.com/office/infopath/2007/PartnerControls"/>
    <ds:schemaRef ds:uri="http://schemas.microsoft.com/sharepoint/v3/fields"/>
    <ds:schemaRef ds:uri="http://www.w3.org/XML/1998/namespace"/>
  </ds:schemaRefs>
</ds:datastoreItem>
</file>

<file path=customXml/itemProps3.xml><?xml version="1.0" encoding="utf-8"?>
<ds:datastoreItem xmlns:ds="http://schemas.openxmlformats.org/officeDocument/2006/customXml" ds:itemID="{A2AEC7F9-2A07-45B1-999C-035EEACE1CA1}"/>
</file>

<file path=customXml/itemProps4.xml><?xml version="1.0" encoding="utf-8"?>
<ds:datastoreItem xmlns:ds="http://schemas.openxmlformats.org/officeDocument/2006/customXml" ds:itemID="{71184612-CB16-4E9F-AC9D-B1DC1E2E78E7}">
  <ds:schemaRefs>
    <ds:schemaRef ds:uri="http://schemas.microsoft.com/sharepoint/v3/contenttype/forms"/>
  </ds:schemaRefs>
</ds:datastoreItem>
</file>

<file path=customXml/itemProps5.xml><?xml version="1.0" encoding="utf-8"?>
<ds:datastoreItem xmlns:ds="http://schemas.openxmlformats.org/officeDocument/2006/customXml" ds:itemID="{F4381CA8-D808-4F8A-8FD6-8A3206E3CC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Universal data</vt:lpstr>
      <vt:lpstr>Index</vt:lpstr>
      <vt:lpstr>Outputs</vt:lpstr>
      <vt:lpstr>Incentives - tables</vt:lpstr>
      <vt:lpstr>Incentives - charts </vt:lpstr>
      <vt:lpstr>Innovation</vt:lpstr>
      <vt:lpstr>Consumer bill impact</vt:lpstr>
      <vt:lpstr>8-year TO forecasts</vt:lpstr>
      <vt:lpstr>NGET SO totex performance</vt:lpstr>
      <vt:lpstr>RORE</vt:lpstr>
      <vt:lpstr>Forecast "True up" 1</vt:lpstr>
      <vt:lpstr>Forecast "True up" 2</vt:lpstr>
      <vt:lpstr>NGET T1+2</vt:lpstr>
      <vt:lpstr>SHET T1+2</vt:lpstr>
      <vt:lpstr>SHET Crossover</vt:lpstr>
      <vt:lpstr>'Consumer bill impact'!_ftn2</vt:lpstr>
      <vt:lpstr>Outputs!_ftn3</vt:lpstr>
      <vt:lpstr>Outputs!_ftn4</vt:lpstr>
      <vt:lpstr>Outputs!_ftn5</vt:lpstr>
      <vt:lpstr>Outputs!_ftn6</vt:lpstr>
      <vt:lpstr>Outputs!_ftn7</vt:lpstr>
      <vt:lpstr>Outputs!_ftn8</vt:lpstr>
      <vt:lpstr>Outputs!_ftn9</vt:lpstr>
      <vt:lpstr>Index!_ftnref1</vt:lpstr>
      <vt:lpstr>'Consumer bill impact'!_ftnref2</vt:lpstr>
      <vt:lpstr>Outputs!_ftnref3</vt:lpstr>
      <vt:lpstr>Outputs!_ftnref4</vt:lpstr>
      <vt:lpstr>Outputs!_ftnref5</vt:lpstr>
      <vt:lpstr>Outputs!_ftnref7</vt:lpstr>
      <vt:lpstr>Outputs!_ftnref8</vt:lpstr>
      <vt:lpstr>Outputs!_ftnref9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RIIO-ET1 Supplementary Data File 2018-19</dc:title>
  <dc:creator>Daniel Newby</dc:creator>
  <cp:lastModifiedBy>Christopher Haworth</cp:lastModifiedBy>
  <dcterms:created xsi:type="dcterms:W3CDTF">2016-11-27T14:18:33Z</dcterms:created>
  <dcterms:modified xsi:type="dcterms:W3CDTF">2020-02-06T17:23:48Z</dcterms:modified>
  <cp:contentStatus>Final and Sent to Registry</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70982c12-5047-4331-83e7-71c74482c69c</vt:lpwstr>
  </property>
  <property fmtid="{D5CDD505-2E9C-101B-9397-08002B2CF9AE}" pid="3" name="bjSaver">
    <vt:lpwstr>p/6tXeOXAcO3+DGDMi9dMIprFuNt3Cv+</vt:lpwstr>
  </property>
  <property fmtid="{D5CDD505-2E9C-101B-9397-08002B2CF9AE}" pid="4" name="ContentTypeId">
    <vt:lpwstr>0x01010033282546F0D44441B574BEAA5FBE93E4009E8AD276BD488B489EEC46FA78118417</vt:lpwstr>
  </property>
  <property fmtid="{D5CDD505-2E9C-101B-9397-08002B2CF9AE}" pid="5" name="BJSCdd9eba61-d6b9-469b_x">
    <vt:lpwstr>Internal Only</vt:lpwstr>
  </property>
  <property fmtid="{D5CDD505-2E9C-101B-9397-08002B2CF9AE}" pid="6" name="BJSCSummaryMarking">
    <vt:lpwstr>OFFICIAL Internal Only</vt:lpwstr>
  </property>
  <property fmtid="{D5CDD505-2E9C-101B-9397-08002B2CF9AE}" pid="7" name="BJSCInternalLabel">
    <vt:lpwstr>&lt;?xml version="1.0" encoding="us-ascii"?&gt;&lt;sisl xmlns:xsi="http://www.w3.org/2001/XMLSchema-instance" xmlns:xsd="http://www.w3.org/2001/XMLSchema" sislVersion="0" policy="973096ae-7329-4b3b-9368-47aeba6959e1" xmlns="http://www.boldonjames.com/2008/01/sie/internal/label"&gt;&lt;element uid="id_classification_nonbusiness" value="" /&gt;&lt;element uid="eaadb568-f939-47e9-ab90-f00bdd47735e" value="" /&gt;&lt;/sisl&gt;</vt:lpwstr>
  </property>
  <property fmtid="{D5CDD505-2E9C-101B-9397-08002B2CF9AE}" pid="8" name="BJSCc5a055b0-1bed-4579_x">
    <vt:lpwstr/>
  </property>
  <property fmtid="{D5CDD505-2E9C-101B-9397-08002B2CF9AE}" pid="9" name="bjDocumentLabelXM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0" name="bjDocumentLabelXML-0">
    <vt:lpwstr>nternal/label"&gt;&lt;element uid="id_classification_nonbusiness" value="" /&gt;&lt;element uid="eaadb568-f939-47e9-ab90-f00bdd47735e" value="" /&gt;&lt;/sisl&gt;</vt:lpwstr>
  </property>
  <property fmtid="{D5CDD505-2E9C-101B-9397-08002B2CF9AE}" pid="11" name="bjDocumentSecurityLabel">
    <vt:lpwstr>OFFICIAL Internal Only</vt:lpwstr>
  </property>
  <property fmtid="{D5CDD505-2E9C-101B-9397-08002B2CF9AE}" pid="12" name="bjCentreHeaderLabel">
    <vt:lpwstr>&amp;"Verdana,Regular"&amp;10&amp;K000000Internal Only</vt:lpwstr>
  </property>
  <property fmtid="{D5CDD505-2E9C-101B-9397-08002B2CF9AE}" pid="13" name="bjCentreFooterLabel">
    <vt:lpwstr>&amp;"Verdana,Regular"&amp;10&amp;K000000Internal Only</vt:lpwstr>
  </property>
</Properties>
</file>